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Аннотации" sheetId="1" state="visible" r:id="rId1"/>
  </sheets>
  <definedNames>
    <definedName name="_xlnm._FilterDatabase" localSheetId="0" hidden="1">'Аннотации'!$A$1:$O$4221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42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8" customWidth="1" min="3" max="3"/>
    <col width="36" customWidth="1" min="4" max="4"/>
    <col width="6" customWidth="1" min="5" max="5"/>
    <col width="15" customWidth="1" min="6" max="6"/>
    <col width="24" customWidth="1" min="7" max="7"/>
    <col width="7" customWidth="1" min="8" max="8"/>
    <col width="7" customWidth="1" min="9" max="9"/>
    <col width="9" customWidth="1" min="10" max="10"/>
    <col width="70" customWidth="1" min="11" max="11"/>
    <col width="30" customWidth="1" min="12" max="12"/>
    <col width="14" customWidth="1" min="13" max="13"/>
    <col width="70" customWidth="1" min="14" max="14"/>
    <col width="40" customWidth="1" min="15" max="15"/>
  </cols>
  <sheetData>
    <row r="1">
      <c r="A1" s="1" t="inlineStr">
        <is>
          <t>Приоритет</t>
        </is>
      </c>
      <c r="B1" s="1" t="inlineStr">
        <is>
          <t>Группа</t>
        </is>
      </c>
      <c r="C1" s="1" t="inlineStr">
        <is>
          <t>film_id</t>
        </is>
      </c>
      <c r="D1" s="1" t="inlineStr">
        <is>
          <t>Название</t>
        </is>
      </c>
      <c r="E1" s="1" t="inlineStr">
        <is>
          <t>Год</t>
        </is>
      </c>
      <c r="F1" s="1" t="inlineStr">
        <is>
          <t>Тип</t>
        </is>
      </c>
      <c r="G1" s="1" t="inlineStr">
        <is>
          <t>Студия</t>
        </is>
      </c>
      <c r="H1" s="1" t="inlineStr">
        <is>
          <t>Длина</t>
        </is>
      </c>
      <c r="I1" s="1" t="inlineStr">
        <is>
          <t>Обрыв</t>
        </is>
      </c>
      <c r="J1" s="1" t="inlineStr">
        <is>
          <t>Не сюжет</t>
        </is>
      </c>
      <c r="K1" s="1" t="inlineStr">
        <is>
          <t>Текущая аннотация</t>
        </is>
      </c>
      <c r="L1" s="1" t="inlineStr">
        <is>
          <t>Текущий источник</t>
        </is>
      </c>
      <c r="M1" s="1" t="inlineStr">
        <is>
          <t>Поиск в Википедии</t>
        </is>
      </c>
      <c r="N1" s="1" t="inlineStr">
        <is>
          <t>Новая аннотация</t>
        </is>
      </c>
      <c r="O1" s="1" t="inlineStr">
        <is>
          <t>Источник новой аннотации</t>
        </is>
      </c>
    </row>
    <row r="2">
      <c r="A2" s="2" t="n">
        <v>1</v>
      </c>
      <c r="B2" s="2" t="inlineStr">
        <is>
          <t>обрыв</t>
        </is>
      </c>
      <c r="C2" s="2" t="n">
        <v>9886</v>
      </c>
      <c r="D2" s="3" t="inlineStr">
        <is>
          <t>Лестница</t>
        </is>
      </c>
      <c r="E2" s="2" t="n">
        <v>1971</v>
      </c>
      <c r="F2" s="2" t="inlineStr">
        <is>
          <t>кинофильм</t>
        </is>
      </c>
      <c r="G2" s="2" t="inlineStr">
        <is>
          <t>ВГИК</t>
        </is>
      </c>
      <c r="H2" s="2" t="n">
        <v>43</v>
      </c>
      <c r="I2" s="2" t="inlineStr">
        <is>
          <t>да</t>
        </is>
      </c>
      <c r="J2" s="2" t="inlineStr"/>
      <c r="K2" s="3" t="inlineStr">
        <is>
          <t>Простая история о возвращении сына домой...</t>
        </is>
      </c>
      <c r="L2" s="2" t="inlineStr">
        <is>
          <t>https://www.kino-teatr.ru/short/movie/sov/107683/annot/</t>
        </is>
      </c>
      <c r="M2" s="2">
        <f>HYPERLINK("https://ru.wikipedia.org/w/index.php?search=%D0%9B%D0%B5%D1%81%D1%82%D0%BD%D0%B8%D1%86%D0%B0%201971%20%D1%84%D0%B8%D0%BB%D1%8C%D0%BC","искать")</f>
        <v/>
      </c>
      <c r="N2" s="3" t="n"/>
      <c r="O2" s="2" t="n"/>
    </row>
    <row r="3">
      <c r="A3" s="2" t="n">
        <v>2</v>
      </c>
      <c r="B3" s="2" t="inlineStr">
        <is>
          <t>обрыв</t>
        </is>
      </c>
      <c r="C3" s="2" t="n">
        <v>8247</v>
      </c>
      <c r="D3" s="3" t="inlineStr">
        <is>
          <t>Путана</t>
        </is>
      </c>
      <c r="E3" s="2" t="n">
        <v>1991</v>
      </c>
      <c r="F3" s="2" t="inlineStr">
        <is>
          <t>телефильм</t>
        </is>
      </c>
      <c r="G3" s="2" t="n"/>
      <c r="H3" s="2" t="n">
        <v>57</v>
      </c>
      <c r="I3" s="2" t="inlineStr">
        <is>
          <t>да</t>
        </is>
      </c>
      <c r="J3" s="2" t="inlineStr">
        <is>
          <t>да</t>
        </is>
      </c>
      <c r="K3" s="3" t="inlineStr">
        <is>
          <t>Несколько дней из жизни работниц древнейшей профессии....</t>
        </is>
      </c>
      <c r="L3" s="2" t="inlineStr">
        <is>
          <t>Кино_СССР сводный каталог.xlsx: список телефильмов</t>
        </is>
      </c>
      <c r="M3" s="2">
        <f>HYPERLINK("https://ru.wikipedia.org/w/index.php?search=%D0%9F%D1%83%D1%82%D0%B0%D0%BD%D0%B0%201991%20%D1%84%D0%B8%D0%BB%D1%8C%D0%BC","искать")</f>
        <v/>
      </c>
      <c r="N3" s="3" t="n"/>
      <c r="O3" s="2" t="n"/>
    </row>
    <row r="4">
      <c r="A4" s="2" t="n">
        <v>3</v>
      </c>
      <c r="B4" s="2" t="inlineStr">
        <is>
          <t>обрыв</t>
        </is>
      </c>
      <c r="C4" s="2" t="n">
        <v>8456</v>
      </c>
      <c r="D4" s="3" t="inlineStr">
        <is>
          <t>Ткачихи</t>
        </is>
      </c>
      <c r="E4" s="2" t="n">
        <v>1973</v>
      </c>
      <c r="F4" s="2" t="inlineStr">
        <is>
          <t>телефильм</t>
        </is>
      </c>
      <c r="G4" s="2" t="n"/>
      <c r="H4" s="2" t="n">
        <v>63</v>
      </c>
      <c r="I4" s="2" t="inlineStr">
        <is>
          <t>да</t>
        </is>
      </c>
      <c r="J4" s="2" t="inlineStr">
        <is>
          <t>да</t>
        </is>
      </c>
      <c r="K4" s="3" t="inlineStr">
        <is>
          <t>Рассказ о жизни трудового коллектива одной из ткацких фабрик...</t>
        </is>
      </c>
      <c r="L4" s="2" t="inlineStr">
        <is>
          <t>Кино_СССР сводный каталог.xlsx: список телефильмов</t>
        </is>
      </c>
      <c r="M4" s="2">
        <f>HYPERLINK("https://ru.wikipedia.org/w/index.php?search=%D0%A2%D0%BA%D0%B0%D1%87%D0%B8%D1%85%D0%B8%201973%20%D1%84%D0%B8%D0%BB%D1%8C%D0%BC","искать")</f>
        <v/>
      </c>
      <c r="N4" s="3" t="n"/>
      <c r="O4" s="2" t="n"/>
    </row>
    <row r="5">
      <c r="A5" s="2" t="n">
        <v>4</v>
      </c>
      <c r="B5" s="2" t="inlineStr">
        <is>
          <t>обрыв</t>
        </is>
      </c>
      <c r="C5" s="2" t="n">
        <v>8625</v>
      </c>
      <c r="D5" s="3" t="inlineStr">
        <is>
          <t>Аннотация одной судьбы</t>
        </is>
      </c>
      <c r="E5" s="2" t="n">
        <v>1991</v>
      </c>
      <c r="F5" s="2" t="inlineStr">
        <is>
          <t>кинофильм</t>
        </is>
      </c>
      <c r="G5" s="2" t="n"/>
      <c r="H5" s="2" t="n">
        <v>75</v>
      </c>
      <c r="I5" s="2" t="inlineStr">
        <is>
          <t>да</t>
        </is>
      </c>
      <c r="J5" s="2" t="inlineStr">
        <is>
          <t>да</t>
        </is>
      </c>
      <c r="K5" s="3" t="inlineStr">
        <is>
          <t>История отчуждения человеческих судеб. Время не лечит, любовь не спасает...</t>
        </is>
      </c>
      <c r="L5" s="2" t="inlineStr">
        <is>
          <t>Кино_СССР сводный каталог.xlsx: список фильмов (доп.)</t>
        </is>
      </c>
      <c r="M5" s="2">
        <f>HYPERLINK("https://ru.wikipedia.org/w/index.php?search=%D0%90%D0%BD%D0%BD%D0%BE%D1%82%D0%B0%D1%86%D0%B8%D1%8F%20%D0%BE%D0%B4%D0%BD%D0%BE%D0%B9%20%D1%81%D1%83%D0%B4%D1%8C%D0%B1%D1%8B%201991%20%D1%84%D0%B8%D0%BB%D1%8C%D0%BC","искать")</f>
        <v/>
      </c>
      <c r="N5" s="3" t="n"/>
      <c r="O5" s="2" t="n"/>
    </row>
    <row r="6">
      <c r="A6" s="2" t="n">
        <v>5</v>
      </c>
      <c r="B6" s="2" t="inlineStr">
        <is>
          <t>обрыв</t>
        </is>
      </c>
      <c r="C6" s="2" t="n">
        <v>9906</v>
      </c>
      <c r="D6" s="3" t="inlineStr">
        <is>
          <t>Лётное поле</t>
        </is>
      </c>
      <c r="E6" s="2" t="n">
        <v>1973</v>
      </c>
      <c r="F6" s="2" t="inlineStr">
        <is>
          <t>телефильм</t>
        </is>
      </c>
      <c r="G6" s="2" t="inlineStr">
        <is>
          <t>Узбектелефильм</t>
        </is>
      </c>
      <c r="H6" s="2" t="n">
        <v>78</v>
      </c>
      <c r="I6" s="2" t="inlineStr">
        <is>
          <t>да</t>
        </is>
      </c>
      <c r="J6" s="2" t="inlineStr">
        <is>
          <t>да</t>
        </is>
      </c>
      <c r="K6" s="3" t="inlineStr">
        <is>
          <t>Молодой рабочий Наби мечтает поступить в институт и стать авиаконструктором...</t>
        </is>
      </c>
      <c r="L6" s="2" t="inlineStr">
        <is>
          <t>https://www.kino-teatr.ru/short/movie/sov/92670/annot/</t>
        </is>
      </c>
      <c r="M6" s="2">
        <f>HYPERLINK("https://ru.wikipedia.org/w/index.php?search=%D0%9B%D1%91%D1%82%D0%BD%D0%BE%D0%B5%20%D0%BF%D0%BE%D0%BB%D0%B5%201973%20%D1%84%D0%B8%D0%BB%D1%8C%D0%BC","искать")</f>
        <v/>
      </c>
      <c r="N6" s="3" t="n"/>
      <c r="O6" s="2" t="n"/>
    </row>
    <row r="7">
      <c r="A7" s="2" t="n">
        <v>6</v>
      </c>
      <c r="B7" s="2" t="inlineStr">
        <is>
          <t>обрыв</t>
        </is>
      </c>
      <c r="C7" s="2" t="n">
        <v>10940</v>
      </c>
      <c r="D7" s="3" t="inlineStr">
        <is>
          <t>Дома на перекрестке</t>
        </is>
      </c>
      <c r="E7" s="2" t="n">
        <v>1982</v>
      </c>
      <c r="F7" s="2" t="inlineStr">
        <is>
          <t>фильм-спектакль</t>
        </is>
      </c>
      <c r="G7" s="2" t="n"/>
      <c r="H7" s="2" t="n">
        <v>84</v>
      </c>
      <c r="I7" s="2" t="inlineStr">
        <is>
          <t>да</t>
        </is>
      </c>
      <c r="J7" s="2" t="inlineStr"/>
      <c r="K7" s="3" t="inlineStr">
        <is>
          <t>У влюбленных сваты перепутали все на свете и в результате происходит неразбериха....</t>
        </is>
      </c>
      <c r="L7" s="2" t="inlineStr">
        <is>
          <t>https://www.kino-teatr.ru/teatr/movie/136556/annot/</t>
        </is>
      </c>
      <c r="M7" s="2">
        <f>HYPERLINK("https://ru.wikipedia.org/w/index.php?search=%D0%94%D0%BE%D0%BC%D0%B0%20%D0%BD%D0%B0%20%D0%BF%D0%B5%D1%80%D0%B5%D0%BA%D1%80%D0%B5%D1%81%D1%82%D0%BA%D0%B5%201982%20%D1%84%D0%B8%D0%BB%D1%8C%D0%BC","искать")</f>
        <v/>
      </c>
      <c r="N7" s="3" t="n"/>
      <c r="O7" s="2" t="n"/>
    </row>
    <row r="8">
      <c r="A8" s="2" t="n">
        <v>7</v>
      </c>
      <c r="B8" s="2" t="inlineStr">
        <is>
          <t>обрыв</t>
        </is>
      </c>
      <c r="C8" s="2" t="n">
        <v>9845</v>
      </c>
      <c r="D8" s="3" t="inlineStr">
        <is>
          <t>Шаги в солнце</t>
        </is>
      </c>
      <c r="E8" s="2" t="n">
        <v>1967</v>
      </c>
      <c r="F8" s="2" t="inlineStr">
        <is>
          <t>телефильм</t>
        </is>
      </c>
      <c r="G8" s="2" t="inlineStr">
        <is>
          <t>Ростовская студия телевидения</t>
        </is>
      </c>
      <c r="H8" s="2" t="n">
        <v>85</v>
      </c>
      <c r="I8" s="2" t="inlineStr">
        <is>
          <t>да</t>
        </is>
      </c>
      <c r="J8" s="2" t="inlineStr"/>
      <c r="K8" s="3" t="inlineStr">
        <is>
          <t>Солдат возвращается с войны домой. Видит пепелище и вспоминает мирную жизнь, семью...</t>
        </is>
      </c>
      <c r="L8" s="2" t="inlineStr">
        <is>
          <t>https://www.kino-teatr.ru/short/movie/sov/80860/annot/</t>
        </is>
      </c>
      <c r="M8" s="2">
        <f>HYPERLINK("https://ru.wikipedia.org/w/index.php?search=%D0%A8%D0%B0%D0%B3%D0%B8%20%D0%B2%20%D1%81%D0%BE%D0%BB%D0%BD%D1%86%D0%B5%201967%20%D1%84%D0%B8%D0%BB%D1%8C%D0%BC","искать")</f>
        <v/>
      </c>
      <c r="N8" s="3" t="n"/>
      <c r="O8" s="2" t="n"/>
    </row>
    <row r="9">
      <c r="A9" s="2" t="n">
        <v>8</v>
      </c>
      <c r="B9" s="2" t="inlineStr">
        <is>
          <t>обрыв</t>
        </is>
      </c>
      <c r="C9" s="2" t="n">
        <v>8298</v>
      </c>
      <c r="D9" s="3" t="inlineStr">
        <is>
          <t>Самые красивые корабли</t>
        </is>
      </c>
      <c r="E9" s="2" t="n">
        <v>1972</v>
      </c>
      <c r="F9" s="2" t="inlineStr">
        <is>
          <t>телефильм</t>
        </is>
      </c>
      <c r="G9" s="2" t="n"/>
      <c r="H9" s="2" t="n">
        <v>89</v>
      </c>
      <c r="I9" s="2" t="inlineStr">
        <is>
          <t>да</t>
        </is>
      </c>
      <c r="J9" s="2" t="inlineStr"/>
      <c r="K9" s="3" t="inlineStr">
        <is>
          <t>Юный герой после учебы возвращается на родную Чукотку и начинает самостоятельную жизнь...</t>
        </is>
      </c>
      <c r="L9" s="2" t="inlineStr">
        <is>
          <t>Кино_СССР сводный каталог.xlsx: список телефильмов</t>
        </is>
      </c>
      <c r="M9" s="2">
        <f>HYPERLINK("https://ru.wikipedia.org/w/index.php?search=%D0%A1%D0%B0%D0%BC%D1%8B%D0%B5%20%D0%BA%D1%80%D0%B0%D1%81%D0%B8%D0%B2%D1%8B%D0%B5%20%D0%BA%D0%BE%D1%80%D0%B0%D0%B1%D0%BB%D0%B8%201972%20%D1%84%D0%B8%D0%BB%D1%8C%D0%BC","искать")</f>
        <v/>
      </c>
      <c r="N9" s="3" t="n"/>
      <c r="O9" s="2" t="n"/>
    </row>
    <row r="10">
      <c r="A10" s="2" t="n">
        <v>9</v>
      </c>
      <c r="B10" s="2" t="inlineStr">
        <is>
          <t>обрыв</t>
        </is>
      </c>
      <c r="C10" s="2" t="n">
        <v>10030</v>
      </c>
      <c r="D10" s="3" t="inlineStr">
        <is>
          <t>Лапта</t>
        </is>
      </c>
      <c r="E10" s="2" t="n">
        <v>1988</v>
      </c>
      <c r="F10" s="2" t="inlineStr">
        <is>
          <t>телефильм</t>
        </is>
      </c>
      <c r="G10" s="2" t="inlineStr">
        <is>
          <t>ТО "Экран"</t>
        </is>
      </c>
      <c r="H10" s="2" t="n">
        <v>90</v>
      </c>
      <c r="I10" s="2" t="inlineStr">
        <is>
          <t>да</t>
        </is>
      </c>
      <c r="J10" s="2" t="inlineStr"/>
      <c r="K10" s="3" t="inlineStr">
        <is>
          <t>Фильм о том, как отцы пытаются научить своих детей играть в лапту - игру своего детства...</t>
        </is>
      </c>
      <c r="L10" s="2" t="inlineStr">
        <is>
          <t>https://www.kino-teatr.ru/short/movie/sov/3395/annot/</t>
        </is>
      </c>
      <c r="M10" s="2">
        <f>HYPERLINK("https://ru.wikipedia.org/w/index.php?search=%D0%9B%D0%B0%D0%BF%D1%82%D0%B0%201988%20%D1%84%D0%B8%D0%BB%D1%8C%D0%BC","искать")</f>
        <v/>
      </c>
      <c r="N10" s="3" t="n"/>
      <c r="O10" s="2" t="n"/>
    </row>
    <row r="11">
      <c r="A11" s="2" t="n">
        <v>10</v>
      </c>
      <c r="B11" s="2" t="inlineStr">
        <is>
          <t>обрыв</t>
        </is>
      </c>
      <c r="C11" s="2" t="n">
        <v>9215</v>
      </c>
      <c r="D11" s="3" t="inlineStr">
        <is>
          <t>Бабочки</t>
        </is>
      </c>
      <c r="E11" s="2" t="n">
        <v>1991</v>
      </c>
      <c r="F11" s="2" t="inlineStr">
        <is>
          <t>кинофильм</t>
        </is>
      </c>
      <c r="G11" s="2" t="n"/>
      <c r="H11" s="2" t="n">
        <v>94</v>
      </c>
      <c r="I11" s="2" t="inlineStr">
        <is>
          <t>да</t>
        </is>
      </c>
      <c r="J11" s="2" t="inlineStr"/>
      <c r="K11" s="3" t="inlineStr">
        <is>
          <t>Героя, скрывающегося в пустующей коммуналке от убийцы, неожиданно разыскала его бывшая жена...</t>
        </is>
      </c>
      <c r="L11" s="2" t="inlineStr">
        <is>
          <t>Кино_СССР сводный каталог.xlsx: список фильмов (доп.)</t>
        </is>
      </c>
      <c r="M11" s="2">
        <f>HYPERLINK("https://ru.wikipedia.org/w/index.php?search=%D0%91%D0%B0%D0%B1%D0%BE%D1%87%D0%BA%D0%B8%201991%20%D1%84%D0%B8%D0%BB%D1%8C%D0%BC","искать")</f>
        <v/>
      </c>
      <c r="N11" s="3" t="n"/>
      <c r="O11" s="2" t="n"/>
    </row>
    <row r="12">
      <c r="A12" s="2" t="n">
        <v>11</v>
      </c>
      <c r="B12" s="2" t="inlineStr">
        <is>
          <t>обрыв</t>
        </is>
      </c>
      <c r="C12" s="2" t="n">
        <v>9653</v>
      </c>
      <c r="D12" s="3" t="inlineStr">
        <is>
          <t>Смерть за кулисами</t>
        </is>
      </c>
      <c r="E12" s="2" t="n">
        <v>1991</v>
      </c>
      <c r="F12" s="2" t="inlineStr">
        <is>
          <t>кинофильм</t>
        </is>
      </c>
      <c r="G12" s="2" t="n"/>
      <c r="H12" s="2" t="n">
        <v>94</v>
      </c>
      <c r="I12" s="2" t="inlineStr">
        <is>
          <t>да</t>
        </is>
      </c>
      <c r="J12" s="2" t="inlineStr"/>
      <c r="K12" s="3" t="inlineStr">
        <is>
          <t>Вторая мировая война. Группа актеров-эмигрантов ставит в Стокгольмском театре "Войну и мир"...</t>
        </is>
      </c>
      <c r="L12" s="2" t="inlineStr">
        <is>
          <t>Кино_СССР сводный каталог.xlsx: список фильмов (доп.)</t>
        </is>
      </c>
      <c r="M12" s="2">
        <f>HYPERLINK("https://ru.wikipedia.org/w/index.php?search=%D0%A1%D0%BC%D0%B5%D1%80%D1%82%D1%8C%20%D0%B7%D0%B0%20%D0%BA%D1%83%D0%BB%D0%B8%D1%81%D0%B0%D0%BC%D0%B8%201991%20%D1%84%D0%B8%D0%BB%D1%8C%D0%BC","искать")</f>
        <v/>
      </c>
      <c r="N12" s="3" t="n"/>
      <c r="O12" s="2" t="n"/>
    </row>
    <row r="13">
      <c r="A13" s="2" t="n">
        <v>12</v>
      </c>
      <c r="B13" s="2" t="inlineStr">
        <is>
          <t>обрыв</t>
        </is>
      </c>
      <c r="C13" s="2" t="n">
        <v>9334</v>
      </c>
      <c r="D13" s="3" t="inlineStr">
        <is>
          <t>Диверсия</t>
        </is>
      </c>
      <c r="E13" s="2" t="n">
        <v>1989</v>
      </c>
      <c r="F13" s="2" t="inlineStr">
        <is>
          <t>кинофильм</t>
        </is>
      </c>
      <c r="G13" s="2" t="n"/>
      <c r="H13" s="2" t="n">
        <v>101</v>
      </c>
      <c r="I13" s="2" t="inlineStr">
        <is>
          <t>да</t>
        </is>
      </c>
      <c r="J13" s="2" t="inlineStr">
        <is>
          <t>да</t>
        </is>
      </c>
      <c r="K13" s="3" t="inlineStr">
        <is>
          <t>Вернувшись с афганской войны молодой человек не может смириться с несправедливостью и безразличием...</t>
        </is>
      </c>
      <c r="L13" s="2" t="inlineStr">
        <is>
          <t>Кино_СССР сводный каталог.xlsx: список фильмов (доп.)</t>
        </is>
      </c>
      <c r="M13" s="2">
        <f>HYPERLINK("https://ru.wikipedia.org/w/index.php?search=%D0%94%D0%B8%D0%B2%D0%B5%D1%80%D1%81%D0%B8%D1%8F%201989%20%D1%84%D0%B8%D0%BB%D1%8C%D0%BC","искать")</f>
        <v/>
      </c>
      <c r="N13" s="3" t="n"/>
      <c r="O13" s="2" t="n"/>
    </row>
    <row r="14">
      <c r="A14" s="2" t="n">
        <v>13</v>
      </c>
      <c r="B14" s="2" t="inlineStr">
        <is>
          <t>обрыв</t>
        </is>
      </c>
      <c r="C14" s="2" t="n">
        <v>10265</v>
      </c>
      <c r="D14" s="3" t="inlineStr">
        <is>
          <t>Плащ</t>
        </is>
      </c>
      <c r="E14" s="2" t="n">
        <v>1968</v>
      </c>
      <c r="F14" s="2" t="inlineStr">
        <is>
          <t>фильм-спектакль</t>
        </is>
      </c>
      <c r="G14" s="2" t="inlineStr">
        <is>
          <t>Телевизионный театр</t>
        </is>
      </c>
      <c r="H14" s="2" t="n">
        <v>101</v>
      </c>
      <c r="I14" s="2" t="inlineStr">
        <is>
          <t>да</t>
        </is>
      </c>
      <c r="J14" s="2" t="inlineStr">
        <is>
          <t>да</t>
        </is>
      </c>
      <c r="K14" s="3" t="inlineStr">
        <is>
          <t>Одноактная опера Дж.Пуччини по драме Д.Гольда "Плащ". Действие происходит на реке Сене под Парижем...</t>
        </is>
      </c>
      <c r="L14" s="2" t="inlineStr">
        <is>
          <t>https://www.kino-teatr.ru/teatr/movie/110992/annot/</t>
        </is>
      </c>
      <c r="M14" s="2">
        <f>HYPERLINK("https://ru.wikipedia.org/w/index.php?search=%D0%9F%D0%BB%D0%B0%D1%89%201968%20%D1%84%D0%B8%D0%BB%D1%8C%D0%BC","искать")</f>
        <v/>
      </c>
      <c r="N14" s="3" t="n"/>
      <c r="O14" s="2" t="n"/>
    </row>
    <row r="15">
      <c r="A15" s="2" t="n">
        <v>14</v>
      </c>
      <c r="B15" s="2" t="inlineStr">
        <is>
          <t>обрыв</t>
        </is>
      </c>
      <c r="C15" s="2" t="n">
        <v>9373</v>
      </c>
      <c r="D15" s="3" t="inlineStr">
        <is>
          <t>Застава у Чёртова брода</t>
        </is>
      </c>
      <c r="E15" s="2" t="n">
        <v>1936</v>
      </c>
      <c r="F15" s="2" t="inlineStr">
        <is>
          <t>кинофильм</t>
        </is>
      </c>
      <c r="G15" s="2" t="n"/>
      <c r="H15" s="2" t="n">
        <v>102</v>
      </c>
      <c r="I15" s="2" t="inlineStr">
        <is>
          <t>да</t>
        </is>
      </c>
      <c r="J15" s="2" t="inlineStr">
        <is>
          <t>да</t>
        </is>
      </c>
      <c r="K15" s="3" t="inlineStr">
        <is>
          <t>Действие происходит на советско-польской границе. Единственная «отрицательная» роль М.А.Ладыниной. ...</t>
        </is>
      </c>
      <c r="L15" s="2" t="inlineStr">
        <is>
          <t>Кино_СССР сводный каталог.xlsx: список фильмов (доп.)</t>
        </is>
      </c>
      <c r="M15" s="2">
        <f>HYPERLINK("https://ru.wikipedia.org/w/index.php?search=%D0%97%D0%B0%D1%81%D1%82%D0%B0%D0%B2%D0%B0%20%D1%83%20%D0%A7%D1%91%D1%80%D1%82%D0%BE%D0%B2%D0%B0%20%D0%B1%D1%80%D0%BE%D0%B4%D0%B0%201936%20%D1%84%D0%B8%D0%BB%D1%8C%D0%BC","искать")</f>
        <v/>
      </c>
      <c r="N15" s="3" t="n"/>
      <c r="O15" s="2" t="n"/>
    </row>
    <row r="16">
      <c r="A16" s="2" t="n">
        <v>15</v>
      </c>
      <c r="B16" s="2" t="inlineStr">
        <is>
          <t>обрыв</t>
        </is>
      </c>
      <c r="C16" s="2" t="n">
        <v>7485</v>
      </c>
      <c r="D16" s="3" t="inlineStr">
        <is>
          <t>Двое в пустыне</t>
        </is>
      </c>
      <c r="E16" s="2" t="n">
        <v>1968</v>
      </c>
      <c r="F16" s="2" t="inlineStr">
        <is>
          <t>телефильм</t>
        </is>
      </c>
      <c r="G16" s="2" t="n"/>
      <c r="H16" s="2" t="n">
        <v>104</v>
      </c>
      <c r="I16" s="2" t="inlineStr">
        <is>
          <t>да</t>
        </is>
      </c>
      <c r="J16" s="2" t="inlineStr"/>
      <c r="K16" s="3" t="inlineStr">
        <is>
          <t>Действие происходит в 1920-е годы в Средней Азии. Красноармеец и пленный басмач заблудились в пустыне...</t>
        </is>
      </c>
      <c r="L16" s="2" t="inlineStr">
        <is>
          <t>Кино_СССР сводный каталог.xlsx: список телефильмов</t>
        </is>
      </c>
      <c r="M16" s="2">
        <f>HYPERLINK("https://ru.wikipedia.org/w/index.php?search=%D0%94%D0%B2%D0%BE%D0%B5%20%D0%B2%20%D0%BF%D1%83%D1%81%D1%82%D1%8B%D0%BD%D0%B5%201968%20%D1%84%D0%B8%D0%BB%D1%8C%D0%BC","искать")</f>
        <v/>
      </c>
      <c r="N16" s="3" t="n"/>
      <c r="O16" s="2" t="n"/>
    </row>
    <row r="17">
      <c r="A17" s="2" t="n">
        <v>16</v>
      </c>
      <c r="B17" s="2" t="inlineStr">
        <is>
          <t>обрыв</t>
        </is>
      </c>
      <c r="C17" s="2" t="n">
        <v>7673</v>
      </c>
      <c r="D17" s="3" t="inlineStr">
        <is>
          <t>Игра</t>
        </is>
      </c>
      <c r="E17" s="2" t="n">
        <v>1973</v>
      </c>
      <c r="F17" s="2" t="inlineStr">
        <is>
          <t>телефильм</t>
        </is>
      </c>
      <c r="G17" s="2" t="n"/>
      <c r="H17" s="2" t="n">
        <v>104</v>
      </c>
      <c r="I17" s="2" t="inlineStr">
        <is>
          <t>да</t>
        </is>
      </c>
      <c r="J17" s="2" t="inlineStr"/>
      <c r="K17" s="3" t="inlineStr">
        <is>
          <t>Телефильм  о том, как общее дело, мечта помогли обрести дружбу одноклассникам, живущим на берегу моря...</t>
        </is>
      </c>
      <c r="L17" s="2" t="inlineStr">
        <is>
          <t>Кино_СССР сводный каталог.xlsx: список телефильмов</t>
        </is>
      </c>
      <c r="M17" s="2">
        <f>HYPERLINK("https://ru.wikipedia.org/w/index.php?search=%D0%98%D0%B3%D1%80%D0%B0%201973%20%D1%84%D0%B8%D0%BB%D1%8C%D0%BC","искать")</f>
        <v/>
      </c>
      <c r="N17" s="3" t="n"/>
      <c r="O17" s="2" t="n"/>
    </row>
    <row r="18">
      <c r="A18" s="2" t="n">
        <v>17</v>
      </c>
      <c r="B18" s="2" t="inlineStr">
        <is>
          <t>обрыв</t>
        </is>
      </c>
      <c r="C18" s="2" t="n">
        <v>9326</v>
      </c>
      <c r="D18" s="3" t="inlineStr">
        <is>
          <t>Двое на голой земле</t>
        </is>
      </c>
      <c r="E18" s="2" t="n">
        <v>1989</v>
      </c>
      <c r="F18" s="2" t="inlineStr">
        <is>
          <t>кинофильм</t>
        </is>
      </c>
      <c r="G18" s="2" t="n"/>
      <c r="H18" s="2" t="n">
        <v>104</v>
      </c>
      <c r="I18" s="2" t="inlineStr">
        <is>
          <t>да</t>
        </is>
      </c>
      <c r="J18" s="2" t="inlineStr"/>
      <c r="K18" s="3" t="inlineStr">
        <is>
          <t>По одноименному роману Владимира Карпова. Бросив много лет назад семью, отец встречает взрослого сына...</t>
        </is>
      </c>
      <c r="L18" s="2" t="inlineStr">
        <is>
          <t>Кино_СССР сводный каталог.xlsx: список фильмов (доп.)</t>
        </is>
      </c>
      <c r="M18" s="2">
        <f>HYPERLINK("https://ru.wikipedia.org/w/index.php?search=%D0%94%D0%B2%D0%BE%D0%B5%20%D0%BD%D0%B0%20%D0%B3%D0%BE%D0%BB%D0%BE%D0%B9%20%D0%B7%D0%B5%D0%BC%D0%BB%D0%B5%201989%20%D1%84%D0%B8%D0%BB%D1%8C%D0%BC","искать")</f>
        <v/>
      </c>
      <c r="N18" s="3" t="n"/>
      <c r="O18" s="2" t="n"/>
    </row>
    <row r="19">
      <c r="A19" s="2" t="n">
        <v>18</v>
      </c>
      <c r="B19" s="2" t="inlineStr">
        <is>
          <t>обрыв</t>
        </is>
      </c>
      <c r="C19" s="2" t="n">
        <v>8457</v>
      </c>
      <c r="D19" s="3" t="inlineStr">
        <is>
          <t>То мужчина, то женщина</t>
        </is>
      </c>
      <c r="E19" s="2" t="n">
        <v>1989</v>
      </c>
      <c r="F19" s="2" t="inlineStr">
        <is>
          <t>телефильм</t>
        </is>
      </c>
      <c r="G19" s="2" t="n"/>
      <c r="H19" s="2" t="n">
        <v>107</v>
      </c>
      <c r="I19" s="2" t="inlineStr">
        <is>
          <t>да</t>
        </is>
      </c>
      <c r="J19" s="2" t="inlineStr"/>
      <c r="K19" s="3" t="inlineStr">
        <is>
          <t>Актриса, готовящаяся сыграть легендарную Надежду Дурову, мысленно перевоплощается в свою будущую героиню...</t>
        </is>
      </c>
      <c r="L19" s="2" t="inlineStr">
        <is>
          <t>Кино_СССР сводный каталог.xlsx: список телефильмов</t>
        </is>
      </c>
      <c r="M19" s="2">
        <f>HYPERLINK("https://ru.wikipedia.org/w/index.php?search=%D0%A2%D0%BE%20%D0%BC%D1%83%D0%B6%D1%87%D0%B8%D0%BD%D0%B0%2C%20%D1%82%D0%BE%20%D0%B6%D0%B5%D0%BD%D1%89%D0%B8%D0%BD%D0%B0%201989%20%D1%84%D0%B8%D0%BB%D1%8C%D0%BC","искать")</f>
        <v/>
      </c>
      <c r="N19" s="3" t="n"/>
      <c r="O19" s="2" t="n"/>
    </row>
    <row r="20">
      <c r="A20" s="2" t="n">
        <v>19</v>
      </c>
      <c r="B20" s="2" t="inlineStr">
        <is>
          <t>обрыв</t>
        </is>
      </c>
      <c r="C20" s="2" t="n">
        <v>7908</v>
      </c>
      <c r="D20" s="3" t="inlineStr">
        <is>
          <t>Мужское самолюбие</t>
        </is>
      </c>
      <c r="E20" s="2" t="n">
        <v>1982</v>
      </c>
      <c r="F20" s="2" t="inlineStr">
        <is>
          <t>телефильм</t>
        </is>
      </c>
      <c r="G20" s="2" t="n"/>
      <c r="H20" s="2" t="n">
        <v>108</v>
      </c>
      <c r="I20" s="2" t="inlineStr">
        <is>
          <t>да</t>
        </is>
      </c>
      <c r="J20" s="2" t="inlineStr"/>
      <c r="K20" s="3" t="inlineStr">
        <is>
          <t>Герои фильма проводят отпуск в деревне. Местная комсомолка Роксана привлекает юношей к работе на сенокосе...</t>
        </is>
      </c>
      <c r="L20" s="2" t="inlineStr">
        <is>
          <t>Кино_СССР сводный каталог.xlsx: список телефильмов</t>
        </is>
      </c>
      <c r="M20" s="2">
        <f>HYPERLINK("https://ru.wikipedia.org/w/index.php?search=%D0%9C%D1%83%D0%B6%D1%81%D0%BA%D0%BE%D0%B5%20%D1%81%D0%B0%D0%BC%D0%BE%D0%BB%D1%8E%D0%B1%D0%B8%D0%B5%201982%20%D1%84%D0%B8%D0%BB%D1%8C%D0%BC","искать")</f>
        <v/>
      </c>
      <c r="N20" s="3" t="n"/>
      <c r="O20" s="2" t="n"/>
    </row>
    <row r="21">
      <c r="A21" s="2" t="n">
        <v>20</v>
      </c>
      <c r="B21" s="2" t="inlineStr">
        <is>
          <t>обрыв</t>
        </is>
      </c>
      <c r="C21" s="2" t="n">
        <v>9498</v>
      </c>
      <c r="D21" s="3" t="inlineStr">
        <is>
          <t>Небеса обетованные</t>
        </is>
      </c>
      <c r="E21" s="2" t="n">
        <v>1991</v>
      </c>
      <c r="F21" s="2" t="inlineStr">
        <is>
          <t>кинофильм</t>
        </is>
      </c>
      <c r="G21" s="2" t="n"/>
      <c r="H21" s="2" t="n">
        <v>109</v>
      </c>
      <c r="I21" s="2" t="inlineStr">
        <is>
          <t>да</t>
        </is>
      </c>
      <c r="J21" s="2" t="inlineStr">
        <is>
          <t>да</t>
        </is>
      </c>
      <c r="K21" s="3" t="inlineStr">
        <is>
          <t>Трагикомическая история о бездомных людях, живущих на городской свалке, об их судьбах, радостях и горестях...</t>
        </is>
      </c>
      <c r="L21" s="2" t="inlineStr">
        <is>
          <t>Кино_СССР сводный каталог.xlsx: список фильмов (доп.)</t>
        </is>
      </c>
      <c r="M21" s="2">
        <f>HYPERLINK("https://ru.wikipedia.org/w/index.php?search=%D0%9D%D0%B5%D0%B1%D0%B5%D1%81%D0%B0%20%D0%BE%D0%B1%D0%B5%D1%82%D0%BE%D0%B2%D0%B0%D0%BD%D0%BD%D1%8B%D0%B5%201991%20%D1%84%D0%B8%D0%BB%D1%8C%D0%BC","искать")</f>
        <v/>
      </c>
      <c r="N21" s="3" t="n"/>
      <c r="O21" s="2" t="n"/>
    </row>
    <row r="22">
      <c r="A22" s="2" t="n">
        <v>21</v>
      </c>
      <c r="B22" s="2" t="inlineStr">
        <is>
          <t>обрыв</t>
        </is>
      </c>
      <c r="C22" s="2" t="n">
        <v>7818</v>
      </c>
      <c r="D22" s="3" t="inlineStr">
        <is>
          <t>Лолита</t>
        </is>
      </c>
      <c r="E22" s="2" t="n">
        <v>1991</v>
      </c>
      <c r="F22" s="2" t="inlineStr">
        <is>
          <t>телефильм</t>
        </is>
      </c>
      <c r="G22" s="2" t="n"/>
      <c r="H22" s="2" t="n">
        <v>110</v>
      </c>
      <c r="I22" s="2" t="inlineStr">
        <is>
          <t>да</t>
        </is>
      </c>
      <c r="J22" s="2" t="inlineStr"/>
      <c r="K22" s="3" t="inlineStr">
        <is>
          <t>Провинциалка Лолита отказалась от дома своего отца и обосновалась в городе, пытаясь найти свой путь в жизни...</t>
        </is>
      </c>
      <c r="L22" s="2" t="inlineStr">
        <is>
          <t>Кино_СССР сводный каталог.xlsx: список телефильмов</t>
        </is>
      </c>
      <c r="M22" s="2">
        <f>HYPERLINK("https://ru.wikipedia.org/w/index.php?search=%D0%9B%D0%BE%D0%BB%D0%B8%D1%82%D0%B0%201991%20%D1%84%D0%B8%D0%BB%D1%8C%D0%BC","искать")</f>
        <v/>
      </c>
      <c r="N22" s="3" t="n"/>
      <c r="O22" s="2" t="n"/>
    </row>
    <row r="23">
      <c r="A23" s="2" t="n">
        <v>22</v>
      </c>
      <c r="B23" s="2" t="inlineStr">
        <is>
          <t>обрыв</t>
        </is>
      </c>
      <c r="C23" s="2" t="n">
        <v>8783</v>
      </c>
      <c r="D23" s="3" t="inlineStr">
        <is>
          <t>Крыса</t>
        </is>
      </c>
      <c r="E23" s="2" t="n">
        <v>1991</v>
      </c>
      <c r="F23" s="2" t="inlineStr">
        <is>
          <t>кинофильм</t>
        </is>
      </c>
      <c r="G23" s="2" t="n"/>
      <c r="H23" s="2" t="n">
        <v>111</v>
      </c>
      <c r="I23" s="2" t="inlineStr">
        <is>
          <t>да</t>
        </is>
      </c>
      <c r="J23" s="2" t="inlineStr"/>
      <c r="K23" s="3" t="inlineStr">
        <is>
          <t>Молодой человек, в страхе от окружающей его действительности, укрывается в подвале и заводит дружбу с крысой...</t>
        </is>
      </c>
      <c r="L23" s="2" t="inlineStr">
        <is>
          <t>Кино_СССР сводный каталог.xlsx: список фильмов (доп.)</t>
        </is>
      </c>
      <c r="M23" s="2">
        <f>HYPERLINK("https://ru.wikipedia.org/w/index.php?search=%D0%9A%D1%80%D1%8B%D1%81%D0%B0%201991%20%D1%84%D0%B8%D0%BB%D1%8C%D0%BC","искать")</f>
        <v/>
      </c>
      <c r="N23" s="3" t="n"/>
      <c r="O23" s="2" t="n"/>
    </row>
    <row r="24">
      <c r="A24" s="2" t="n">
        <v>23</v>
      </c>
      <c r="B24" s="2" t="inlineStr">
        <is>
          <t>обрыв</t>
        </is>
      </c>
      <c r="C24" s="2" t="n">
        <v>8023</v>
      </c>
      <c r="D24" s="3" t="inlineStr">
        <is>
          <t>Обретёшь в бою</t>
        </is>
      </c>
      <c r="E24" s="2" t="n">
        <v>1975</v>
      </c>
      <c r="F24" s="2" t="inlineStr">
        <is>
          <t>телефильм</t>
        </is>
      </c>
      <c r="G24" s="2" t="n"/>
      <c r="H24" s="2" t="n">
        <v>113</v>
      </c>
      <c r="I24" s="2" t="inlineStr">
        <is>
          <t>да</t>
        </is>
      </c>
      <c r="J24" s="2" t="inlineStr"/>
      <c r="K24" s="3" t="inlineStr">
        <is>
          <t>Молодой начальник доменного цеха, преодолевая косность коллег, внедряет новый прогрессивный метод плавки стали...</t>
        </is>
      </c>
      <c r="L24" s="2" t="inlineStr">
        <is>
          <t>Кино_СССР сводный каталог.xlsx: список телефильмов</t>
        </is>
      </c>
      <c r="M24" s="2">
        <f>HYPERLINK("https://ru.wikipedia.org/w/index.php?search=%D0%9E%D0%B1%D1%80%D0%B5%D1%82%D1%91%D1%88%D1%8C%20%D0%B2%20%D0%B1%D0%BE%D1%8E%201975%20%D1%84%D0%B8%D0%BB%D1%8C%D0%BC","искать")</f>
        <v/>
      </c>
      <c r="N24" s="3" t="n"/>
      <c r="O24" s="2" t="n"/>
    </row>
    <row r="25">
      <c r="A25" s="2" t="n">
        <v>24</v>
      </c>
      <c r="B25" s="2" t="inlineStr">
        <is>
          <t>обрыв</t>
        </is>
      </c>
      <c r="C25" s="2" t="n">
        <v>9333</v>
      </c>
      <c r="D25" s="3" t="inlineStr">
        <is>
          <t>Дети солнца</t>
        </is>
      </c>
      <c r="E25" s="2" t="n">
        <v>1991</v>
      </c>
      <c r="F25" s="2" t="inlineStr">
        <is>
          <t>кинофильм</t>
        </is>
      </c>
      <c r="G25" s="2" t="n"/>
      <c r="H25" s="2" t="n">
        <v>118</v>
      </c>
      <c r="I25" s="2" t="inlineStr">
        <is>
          <t>да</t>
        </is>
      </c>
      <c r="J25" s="2" t="inlineStr">
        <is>
          <t>да</t>
        </is>
      </c>
      <c r="K25" s="3" t="inlineStr">
        <is>
          <t>1940. Период, так называемого, безвременья. Заканчивается учеба у старшеклассников. Юные герои — в ожидании свободы...</t>
        </is>
      </c>
      <c r="L25" s="2" t="inlineStr">
        <is>
          <t>Кино_СССР сводный каталог.xlsx: список фильмов (доп.)</t>
        </is>
      </c>
      <c r="M25" s="2">
        <f>HYPERLINK("https://ru.wikipedia.org/w/index.php?search=%D0%94%D0%B5%D1%82%D0%B8%20%D1%81%D0%BE%D0%BB%D0%BD%D1%86%D0%B0%201991%20%D1%84%D0%B8%D0%BB%D1%8C%D0%BC","искать")</f>
        <v/>
      </c>
      <c r="N25" s="3" t="n"/>
      <c r="O25" s="2" t="n"/>
    </row>
    <row r="26">
      <c r="A26" s="2" t="n">
        <v>25</v>
      </c>
      <c r="B26" s="2" t="inlineStr">
        <is>
          <t>обрыв</t>
        </is>
      </c>
      <c r="C26" s="2" t="n">
        <v>9962</v>
      </c>
      <c r="D26" s="3" t="inlineStr">
        <is>
          <t>Гиблое дело</t>
        </is>
      </c>
      <c r="E26" s="2" t="n">
        <v>1981</v>
      </c>
      <c r="F26" s="2" t="inlineStr">
        <is>
          <t>кинофильм</t>
        </is>
      </c>
      <c r="G26" s="2" t="inlineStr">
        <is>
          <t>Мосфильм, ЭТМО "Дебют"(Ленфильм)</t>
        </is>
      </c>
      <c r="H26" s="2" t="n">
        <v>118</v>
      </c>
      <c r="I26" s="2" t="inlineStr">
        <is>
          <t>да</t>
        </is>
      </c>
      <c r="J26" s="2" t="inlineStr"/>
      <c r="K26" s="3" t="inlineStr">
        <is>
          <t>Пассажир поезда обнаружил пропажу сумки с деньгами, вырученными от продажи дома. Подозреваются все пассажиры вагона...</t>
        </is>
      </c>
      <c r="L26" s="2" t="inlineStr">
        <is>
          <t>https://www.kino-teatr.ru/short/movie/sov/1369/annot/</t>
        </is>
      </c>
      <c r="M26" s="2">
        <f>HYPERLINK("https://ru.wikipedia.org/w/index.php?search=%D0%93%D0%B8%D0%B1%D0%BB%D0%BE%D0%B5%20%D0%B4%D0%B5%D0%BB%D0%BE%201981%20%D1%84%D0%B8%D0%BB%D1%8C%D0%BC","искать")</f>
        <v/>
      </c>
      <c r="N26" s="3" t="n"/>
      <c r="O26" s="2" t="n"/>
    </row>
    <row r="27">
      <c r="A27" s="2" t="n">
        <v>26</v>
      </c>
      <c r="B27" s="2" t="inlineStr">
        <is>
          <t>обрыв</t>
        </is>
      </c>
      <c r="C27" s="2" t="n">
        <v>11375</v>
      </c>
      <c r="D27" s="3" t="inlineStr">
        <is>
          <t>Карамболина-карамболетта</t>
        </is>
      </c>
      <c r="E27" s="2" t="n">
        <v>1983</v>
      </c>
      <c r="F27" s="2" t="inlineStr">
        <is>
          <t>не игровое</t>
        </is>
      </c>
      <c r="G27" s="2" t="n"/>
      <c r="H27" s="2" t="n">
        <v>118</v>
      </c>
      <c r="I27" s="2" t="inlineStr">
        <is>
          <t>да</t>
        </is>
      </c>
      <c r="J27" s="2" t="inlineStr">
        <is>
          <t>да</t>
        </is>
      </c>
      <c r="K27" s="3" t="inlineStr">
        <is>
          <t>Пожилая костюмерша музыкального театра вспоминает о своей жизни. Перед ее взором оживают картины из любимых оперетт...</t>
        </is>
      </c>
      <c r="L27" s="2" t="inlineStr">
        <is>
          <t>Кино_СССР телефильмы и пропуски включить в базу.xlsx</t>
        </is>
      </c>
      <c r="M27" s="2">
        <f>HYPERLINK("https://ru.wikipedia.org/w/index.php?search=%D0%9A%D0%B0%D1%80%D0%B0%D0%BC%D0%B1%D0%BE%D0%BB%D0%B8%D0%BD%D0%B0-%D0%BA%D0%B0%D1%80%D0%B0%D0%BC%D0%B1%D0%BE%D0%BB%D0%B5%D1%82%D1%82%D0%B0%201983%20%D1%84%D0%B8%D0%BB%D1%8C%D0%BC","искать")</f>
        <v/>
      </c>
      <c r="N27" s="3" t="n"/>
      <c r="O27" s="2" t="n"/>
    </row>
    <row r="28">
      <c r="A28" s="2" t="n">
        <v>27</v>
      </c>
      <c r="B28" s="2" t="inlineStr">
        <is>
          <t>обрыв</t>
        </is>
      </c>
      <c r="C28" s="2" t="n">
        <v>9159</v>
      </c>
      <c r="D28" s="3" t="inlineStr">
        <is>
          <t>Чертов пьяница</t>
        </is>
      </c>
      <c r="E28" s="2" t="n">
        <v>1991</v>
      </c>
      <c r="F28" s="2" t="inlineStr">
        <is>
          <t>кинофильм</t>
        </is>
      </c>
      <c r="G28" s="2" t="n"/>
      <c r="H28" s="2" t="n">
        <v>119</v>
      </c>
      <c r="I28" s="2" t="inlineStr">
        <is>
          <t>да</t>
        </is>
      </c>
      <c r="J28" s="2" t="inlineStr">
        <is>
          <t>да</t>
        </is>
      </c>
      <c r="K28" s="3" t="inlineStr">
        <is>
          <t>Лёгкая и непритязательная комедия, в основе которой анекдот: однажды в токарном станке была обнаружена бутылка водки...</t>
        </is>
      </c>
      <c r="L28" s="2" t="inlineStr">
        <is>
          <t>Кино_СССР сводный каталог.xlsx: список фильмов (доп.)</t>
        </is>
      </c>
      <c r="M28" s="2">
        <f>HYPERLINK("https://ru.wikipedia.org/w/index.php?search=%D0%A7%D0%B5%D1%80%D1%82%D0%BE%D0%B2%20%D0%BF%D1%8C%D1%8F%D0%BD%D0%B8%D1%86%D0%B0%201991%20%D1%84%D0%B8%D0%BB%D1%8C%D0%BC","искать")</f>
        <v/>
      </c>
      <c r="N28" s="3" t="n"/>
      <c r="O28" s="2" t="n"/>
    </row>
    <row r="29">
      <c r="A29" s="2" t="n">
        <v>28</v>
      </c>
      <c r="B29" s="2" t="inlineStr">
        <is>
          <t>обрыв</t>
        </is>
      </c>
      <c r="C29" s="2" t="n">
        <v>8150</v>
      </c>
      <c r="D29" s="3" t="inlineStr">
        <is>
          <t>Поздняя любовь</t>
        </is>
      </c>
      <c r="E29" s="2" t="n">
        <v>1983</v>
      </c>
      <c r="F29" s="2" t="inlineStr">
        <is>
          <t>телефильм</t>
        </is>
      </c>
      <c r="G29" s="2" t="n"/>
      <c r="H29" s="2" t="n">
        <v>122</v>
      </c>
      <c r="I29" s="2" t="inlineStr">
        <is>
          <t>да</t>
        </is>
      </c>
      <c r="J29" s="2" t="inlineStr">
        <is>
          <t>да</t>
        </is>
      </c>
      <c r="K29" s="3" t="inlineStr">
        <is>
          <t>По одноименной пьесе А.Н. Островского. О верности и коварстве, о чистоте человеческих чувств и вере в подлинное счастье...</t>
        </is>
      </c>
      <c r="L29" s="2" t="inlineStr">
        <is>
          <t>Кино_СССР сводный каталог.xlsx: список телефильмов</t>
        </is>
      </c>
      <c r="M29" s="2">
        <f>HYPERLINK("https://ru.wikipedia.org/w/index.php?search=%D0%9F%D0%BE%D0%B7%D0%B4%D0%BD%D1%8F%D1%8F%20%D0%BB%D1%8E%D0%B1%D0%BE%D0%B2%D1%8C%201983%20%D1%84%D0%B8%D0%BB%D1%8C%D0%BC","искать")</f>
        <v/>
      </c>
      <c r="N29" s="3" t="n"/>
      <c r="O29" s="2" t="n"/>
    </row>
    <row r="30">
      <c r="A30" s="2" t="n">
        <v>29</v>
      </c>
      <c r="B30" s="2" t="inlineStr">
        <is>
          <t>обрыв</t>
        </is>
      </c>
      <c r="C30" s="2" t="n">
        <v>8218</v>
      </c>
      <c r="D30" s="3" t="inlineStr">
        <is>
          <t>Причал</t>
        </is>
      </c>
      <c r="E30" s="2" t="n">
        <v>1973</v>
      </c>
      <c r="F30" s="2" t="inlineStr">
        <is>
          <t>телефильм</t>
        </is>
      </c>
      <c r="G30" s="2" t="n"/>
      <c r="H30" s="2" t="n">
        <v>124</v>
      </c>
      <c r="I30" s="2" t="inlineStr">
        <is>
          <t>да</t>
        </is>
      </c>
      <c r="J30" s="2" t="inlineStr"/>
      <c r="K30" s="3" t="inlineStr">
        <is>
          <t>О бригаде докеров, в сложной обстановке испытывающих сплошную технологическую линию, созданную по предложению их товарища...</t>
        </is>
      </c>
      <c r="L30" s="2" t="inlineStr">
        <is>
          <t>Кино_СССР сводный каталог.xlsx: список телефильмов</t>
        </is>
      </c>
      <c r="M30" s="2">
        <f>HYPERLINK("https://ru.wikipedia.org/w/index.php?search=%D0%9F%D1%80%D0%B8%D1%87%D0%B0%D0%BB%201973%20%D1%84%D0%B8%D0%BB%D1%8C%D0%BC","искать")</f>
        <v/>
      </c>
      <c r="N30" s="3" t="n"/>
      <c r="O30" s="2" t="n"/>
    </row>
    <row r="31">
      <c r="A31" s="2" t="n">
        <v>30</v>
      </c>
      <c r="B31" s="2" t="inlineStr">
        <is>
          <t>обрыв</t>
        </is>
      </c>
      <c r="C31" s="2" t="n">
        <v>8325</v>
      </c>
      <c r="D31" s="3" t="inlineStr">
        <is>
          <t>Семейные дела Гаюровых</t>
        </is>
      </c>
      <c r="E31" s="2" t="n">
        <v>1975</v>
      </c>
      <c r="F31" s="2" t="inlineStr">
        <is>
          <t>телефильм</t>
        </is>
      </c>
      <c r="G31" s="2" t="n"/>
      <c r="H31" s="2" t="n">
        <v>125</v>
      </c>
      <c r="I31" s="2" t="inlineStr">
        <is>
          <t>да</t>
        </is>
      </c>
      <c r="J31" s="2" t="inlineStr"/>
      <c r="K31" s="3" t="inlineStr">
        <is>
          <t>Телефильм. В горах строиться гидроэлектростанция. Властно вторгается новая жизнь в горный кишлак, где живет семья Гаюровых...</t>
        </is>
      </c>
      <c r="L31" s="2" t="inlineStr">
        <is>
          <t>Кино_СССР сводный каталог.xlsx: список телефильмов</t>
        </is>
      </c>
      <c r="M31" s="2">
        <f>HYPERLINK("https://ru.wikipedia.org/w/index.php?search=%D0%A1%D0%B5%D0%BC%D0%B5%D0%B9%D0%BD%D1%8B%D0%B5%20%D0%B4%D0%B5%D0%BB%D0%B0%20%D0%93%D0%B0%D1%8E%D1%80%D0%BE%D0%B2%D1%8B%D1%85%201975%20%D1%84%D0%B8%D0%BB%D1%8C%D0%BC","искать")</f>
        <v/>
      </c>
      <c r="N31" s="3" t="n"/>
      <c r="O31" s="2" t="n"/>
    </row>
    <row r="32">
      <c r="A32" s="2" t="n">
        <v>31</v>
      </c>
      <c r="B32" s="2" t="inlineStr">
        <is>
          <t>обрыв</t>
        </is>
      </c>
      <c r="C32" s="2" t="n">
        <v>7647</v>
      </c>
      <c r="D32" s="3" t="inlineStr">
        <is>
          <t>Зима в раю</t>
        </is>
      </c>
      <c r="E32" s="2" t="n">
        <v>1989</v>
      </c>
      <c r="F32" s="2" t="inlineStr">
        <is>
          <t>телефильм</t>
        </is>
      </c>
      <c r="G32" s="2" t="n"/>
      <c r="H32" s="2" t="n">
        <v>126</v>
      </c>
      <c r="I32" s="2" t="inlineStr">
        <is>
          <t>да</t>
        </is>
      </c>
      <c r="J32" s="2" t="inlineStr"/>
      <c r="K32" s="3" t="inlineStr">
        <is>
          <t>Восемнадцатилетняя Катя, снимавшаяся в массовке фильма, остаётся на зиму в Крыму и поселяется у одинокого пожилого плотника...</t>
        </is>
      </c>
      <c r="L32" s="2" t="inlineStr">
        <is>
          <t>Кино_СССР сводный каталог.xlsx: список телефильмов</t>
        </is>
      </c>
      <c r="M32" s="2">
        <f>HYPERLINK("https://ru.wikipedia.org/w/index.php?search=%D0%97%D0%B8%D0%BC%D0%B0%20%D0%B2%20%D1%80%D0%B0%D1%8E%201989%20%D1%84%D0%B8%D0%BB%D1%8C%D0%BC","искать")</f>
        <v/>
      </c>
      <c r="N32" s="3" t="n"/>
      <c r="O32" s="2" t="n"/>
    </row>
    <row r="33">
      <c r="A33" s="2" t="n">
        <v>32</v>
      </c>
      <c r="B33" s="2" t="inlineStr">
        <is>
          <t>обрыв</t>
        </is>
      </c>
      <c r="C33" s="2" t="n">
        <v>8270</v>
      </c>
      <c r="D33" s="3" t="inlineStr">
        <is>
          <t>Ребячий патруль</t>
        </is>
      </c>
      <c r="E33" s="2" t="n">
        <v>1984</v>
      </c>
      <c r="F33" s="2" t="inlineStr">
        <is>
          <t>телефильм</t>
        </is>
      </c>
      <c r="G33" s="2" t="n"/>
      <c r="H33" s="2" t="n">
        <v>126</v>
      </c>
      <c r="I33" s="2" t="inlineStr">
        <is>
          <t>да</t>
        </is>
      </c>
      <c r="J33" s="2" t="inlineStr"/>
      <c r="K33" s="3" t="inlineStr">
        <is>
          <t>Телефильм. Поселковые ребята своими силами организуют патруль по борьбе с браконьерами, уничтожающими рыбу в местных озерах...</t>
        </is>
      </c>
      <c r="L33" s="2" t="inlineStr">
        <is>
          <t>Кино_СССР сводный каталог.xlsx: список телефильмов</t>
        </is>
      </c>
      <c r="M33" s="2">
        <f>HYPERLINK("https://ru.wikipedia.org/w/index.php?search=%D0%A0%D0%B5%D0%B1%D1%8F%D1%87%D0%B8%D0%B9%20%D0%BF%D0%B0%D1%82%D1%80%D1%83%D0%BB%D1%8C%201984%20%D1%84%D0%B8%D0%BB%D1%8C%D0%BC","искать")</f>
        <v/>
      </c>
      <c r="N33" s="3" t="n"/>
      <c r="O33" s="2" t="n"/>
    </row>
    <row r="34">
      <c r="A34" s="2" t="n">
        <v>33</v>
      </c>
      <c r="B34" s="2" t="inlineStr">
        <is>
          <t>обрыв</t>
        </is>
      </c>
      <c r="C34" s="2" t="n">
        <v>8592</v>
      </c>
      <c r="D34" s="3" t="inlineStr">
        <is>
          <t>Эта весёлая планета</t>
        </is>
      </c>
      <c r="E34" s="2" t="n">
        <v>1973</v>
      </c>
      <c r="F34" s="2" t="inlineStr">
        <is>
          <t>телефильм</t>
        </is>
      </c>
      <c r="G34" s="2" t="inlineStr">
        <is>
          <t>Мосфильм</t>
        </is>
      </c>
      <c r="H34" s="2" t="n">
        <v>126</v>
      </c>
      <c r="I34" s="2" t="inlineStr">
        <is>
          <t>да</t>
        </is>
      </c>
      <c r="J34" s="2" t="inlineStr"/>
      <c r="K34" s="3" t="inlineStr">
        <is>
          <t>Телевизионная музыкальная фантастическая комедия о том, как на Землю прилетели инопланетяне и попали на встречу Нового года...</t>
        </is>
      </c>
      <c r="L34" s="2" t="inlineStr">
        <is>
          <t>Кино_СССР сводный каталог.xlsx: список телефильмов</t>
        </is>
      </c>
      <c r="M34" s="2">
        <f>HYPERLINK("https://ru.wikipedia.org/w/index.php?search=%D0%AD%D1%82%D0%B0%20%D0%B2%D0%B5%D1%81%D1%91%D0%BB%D0%B0%D1%8F%20%D0%BF%D0%BB%D0%B0%D0%BD%D0%B5%D1%82%D0%B0%201973%20%D1%84%D0%B8%D0%BB%D1%8C%D0%BC","искать")</f>
        <v/>
      </c>
      <c r="N34" s="3" t="n"/>
      <c r="O34" s="2" t="n"/>
    </row>
    <row r="35">
      <c r="A35" s="2" t="n">
        <v>34</v>
      </c>
      <c r="B35" s="2" t="inlineStr">
        <is>
          <t>обрыв</t>
        </is>
      </c>
      <c r="C35" s="2" t="n">
        <v>7879</v>
      </c>
      <c r="D35" s="3" t="inlineStr">
        <is>
          <t>Миргород и его обитатели</t>
        </is>
      </c>
      <c r="E35" s="2" t="n">
        <v>1983</v>
      </c>
      <c r="F35" s="2" t="inlineStr">
        <is>
          <t>телефильм</t>
        </is>
      </c>
      <c r="G35" s="2" t="n"/>
      <c r="H35" s="2" t="n">
        <v>127</v>
      </c>
      <c r="I35" s="2" t="inlineStr">
        <is>
          <t>да</t>
        </is>
      </c>
      <c r="J35" s="2" t="inlineStr"/>
      <c r="K35" s="3" t="inlineStr">
        <is>
          <t>Телефильм по мотивам произведений Н.В.Гоголя. С появлением в Миргороде авантюриста и проходимца Голопузя, город теряет покой...</t>
        </is>
      </c>
      <c r="L35" s="2" t="inlineStr">
        <is>
          <t>Кино_СССР сводный каталог.xlsx: список телефильмов</t>
        </is>
      </c>
      <c r="M35" s="2">
        <f>HYPERLINK("https://ru.wikipedia.org/w/index.php?search=%D0%9C%D0%B8%D1%80%D0%B3%D0%BE%D1%80%D0%BE%D0%B4%20%D0%B8%20%D0%B5%D0%B3%D0%BE%20%D0%BE%D0%B1%D0%B8%D1%82%D0%B0%D1%82%D0%B5%D0%BB%D0%B8%201983%20%D1%84%D0%B8%D0%BB%D1%8C%D0%BC","искать")</f>
        <v/>
      </c>
      <c r="N35" s="3" t="n"/>
      <c r="O35" s="2" t="n"/>
    </row>
    <row r="36">
      <c r="A36" s="2" t="n">
        <v>35</v>
      </c>
      <c r="B36" s="2" t="inlineStr">
        <is>
          <t>обрыв</t>
        </is>
      </c>
      <c r="C36" s="2" t="n">
        <v>10843</v>
      </c>
      <c r="D36" s="3" t="inlineStr">
        <is>
          <t>Ещё о войне</t>
        </is>
      </c>
      <c r="E36" s="2" t="n">
        <v>1980</v>
      </c>
      <c r="F36" s="2" t="inlineStr">
        <is>
          <t>фильм-спектакль</t>
        </is>
      </c>
      <c r="G36" s="2" t="inlineStr">
        <is>
          <t>Ленинградское телевидение</t>
        </is>
      </c>
      <c r="H36" s="2" t="n">
        <v>127</v>
      </c>
      <c r="I36" s="2" t="inlineStr">
        <is>
          <t>да</t>
        </is>
      </c>
      <c r="J36" s="2" t="inlineStr"/>
      <c r="K36" s="3" t="inlineStr">
        <is>
          <t>Телеспектакль по рассказу Виктор Конецкого.
Двое влюблённых и разгар войны. Володе и Марии предстоит узнать силу своей любви...</t>
        </is>
      </c>
      <c r="L36" s="2" t="inlineStr">
        <is>
          <t>https://www.kino-teatr.ru/teatr/movie/122798/annot/</t>
        </is>
      </c>
      <c r="M36" s="2">
        <f>HYPERLINK("https://ru.wikipedia.org/w/index.php?search=%D0%95%D1%89%D1%91%20%D0%BE%20%D0%B2%D0%BE%D0%B9%D0%BD%D0%B5%201980%20%D1%84%D0%B8%D0%BB%D1%8C%D0%BC","искать")</f>
        <v/>
      </c>
      <c r="N36" s="3" t="n"/>
      <c r="O36" s="2" t="n"/>
    </row>
    <row r="37">
      <c r="A37" s="2" t="n">
        <v>36</v>
      </c>
      <c r="B37" s="2" t="inlineStr">
        <is>
          <t>обрыв</t>
        </is>
      </c>
      <c r="C37" s="2" t="n">
        <v>9130</v>
      </c>
      <c r="D37" s="3" t="inlineStr">
        <is>
          <t>Улыбнись соседу</t>
        </is>
      </c>
      <c r="E37" s="2" t="n">
        <v>1968</v>
      </c>
      <c r="F37" s="2" t="inlineStr">
        <is>
          <t>кинофильм</t>
        </is>
      </c>
      <c r="G37" s="2" t="n"/>
      <c r="H37" s="2" t="n">
        <v>129</v>
      </c>
      <c r="I37" s="2" t="inlineStr">
        <is>
          <t>да</t>
        </is>
      </c>
      <c r="J37" s="2" t="inlineStr">
        <is>
          <t>да</t>
        </is>
      </c>
      <c r="K37" s="3" t="inlineStr">
        <is>
          <t>О том, как складывались отношения семьи Ивановых, получившей новую квартиру в доме, где жили певцы, музыканты, артисты эстрады...</t>
        </is>
      </c>
      <c r="L37" s="2" t="inlineStr">
        <is>
          <t>Кино_СССР сводный каталог.xlsx: список фильмов (доп.)</t>
        </is>
      </c>
      <c r="M37" s="2">
        <f>HYPERLINK("https://ru.wikipedia.org/w/index.php?search=%D0%A3%D0%BB%D1%8B%D0%B1%D0%BD%D0%B8%D1%81%D1%8C%20%D1%81%D0%BE%D1%81%D0%B5%D0%B4%D1%83%201968%20%D1%84%D0%B8%D0%BB%D1%8C%D0%BC","искать")</f>
        <v/>
      </c>
      <c r="N37" s="3" t="n"/>
      <c r="O37" s="2" t="n"/>
    </row>
    <row r="38">
      <c r="A38" s="2" t="n">
        <v>37</v>
      </c>
      <c r="B38" s="2" t="inlineStr">
        <is>
          <t>обрыв</t>
        </is>
      </c>
      <c r="C38" s="2" t="n">
        <v>8657</v>
      </c>
      <c r="D38" s="3" t="inlineStr">
        <is>
          <t>Вне</t>
        </is>
      </c>
      <c r="E38" s="2" t="n">
        <v>1991</v>
      </c>
      <c r="F38" s="2" t="inlineStr">
        <is>
          <t>кинофильм</t>
        </is>
      </c>
      <c r="G38" s="2" t="n"/>
      <c r="H38" s="2" t="n">
        <v>130</v>
      </c>
      <c r="I38" s="2" t="inlineStr">
        <is>
          <t>да</t>
        </is>
      </c>
      <c r="J38" s="2" t="inlineStr"/>
      <c r="K38" s="3" t="inlineStr">
        <is>
          <t>Герой фильма, без убеждений и принципов, не следующий никаким правилам, в конце концов приходит к тому, что предает самого себя...</t>
        </is>
      </c>
      <c r="L38" s="2" t="inlineStr">
        <is>
          <t>Кино_СССР сводный каталог.xlsx: список фильмов (доп.)</t>
        </is>
      </c>
      <c r="M38" s="2">
        <f>HYPERLINK("https://ru.wikipedia.org/w/index.php?search=%D0%92%D0%BD%D0%B5%201991%20%D1%84%D0%B8%D0%BB%D1%8C%D0%BC","искать")</f>
        <v/>
      </c>
      <c r="N38" s="3" t="n"/>
      <c r="O38" s="2" t="n"/>
    </row>
    <row r="39">
      <c r="A39" s="2" t="n">
        <v>38</v>
      </c>
      <c r="B39" s="2" t="inlineStr">
        <is>
          <t>обрыв</t>
        </is>
      </c>
      <c r="C39" s="2" t="n">
        <v>10176</v>
      </c>
      <c r="D39" s="3" t="inlineStr">
        <is>
          <t>Тебе, юность!</t>
        </is>
      </c>
      <c r="E39" s="2" t="n">
        <v>1966</v>
      </c>
      <c r="F39" s="2" t="inlineStr">
        <is>
          <t>фильм-спектакль</t>
        </is>
      </c>
      <c r="G39" s="2" t="n"/>
      <c r="H39" s="2" t="n">
        <v>130</v>
      </c>
      <c r="I39" s="2" t="inlineStr">
        <is>
          <t>да</t>
        </is>
      </c>
      <c r="J39" s="2" t="inlineStr"/>
      <c r="K39" s="3" t="inlineStr">
        <is>
          <t>Рассказ о подготовке старшеклассников к новогоднему вечеру и о том, что может получиться, если за дело возьмется не тот человек...</t>
        </is>
      </c>
      <c r="L39" s="2" t="inlineStr">
        <is>
          <t>https://www.kino-teatr.ru/teatr/movie/135086/annot/</t>
        </is>
      </c>
      <c r="M39" s="2">
        <f>HYPERLINK("https://ru.wikipedia.org/w/index.php?search=%D0%A2%D0%B5%D0%B1%D0%B5%2C%20%D1%8E%D0%BD%D0%BE%D1%81%D1%82%D1%8C%21%201966%20%D1%84%D0%B8%D0%BB%D1%8C%D0%BC","искать")</f>
        <v/>
      </c>
      <c r="N39" s="3" t="n"/>
      <c r="O39" s="2" t="n"/>
    </row>
    <row r="40">
      <c r="A40" s="2" t="n">
        <v>39</v>
      </c>
      <c r="B40" s="2" t="inlineStr">
        <is>
          <t>обрыв</t>
        </is>
      </c>
      <c r="C40" s="2" t="n">
        <v>8092</v>
      </c>
      <c r="D40" s="3" t="inlineStr">
        <is>
          <t>Перевод с английского</t>
        </is>
      </c>
      <c r="E40" s="2" t="n">
        <v>1972</v>
      </c>
      <c r="F40" s="2" t="inlineStr">
        <is>
          <t>телефильм</t>
        </is>
      </c>
      <c r="G40" s="2" t="n"/>
      <c r="H40" s="2" t="n">
        <v>131</v>
      </c>
      <c r="I40" s="2" t="inlineStr">
        <is>
          <t>да</t>
        </is>
      </c>
      <c r="J40" s="2" t="inlineStr"/>
      <c r="K40" s="3" t="inlineStr">
        <is>
          <t>Студент-практикант педагогического института временно заменил опытную преподавательницу - руководителя "трудного" шестого класса...</t>
        </is>
      </c>
      <c r="L40" s="2" t="inlineStr">
        <is>
          <t>Кино_СССР сводный каталог.xlsx: список телефильмов</t>
        </is>
      </c>
      <c r="M40" s="2">
        <f>HYPERLINK("https://ru.wikipedia.org/w/index.php?search=%D0%9F%D0%B5%D1%80%D0%B5%D0%B2%D0%BE%D0%B4%20%D1%81%20%D0%B0%D0%BD%D0%B3%D0%BB%D0%B8%D0%B9%D1%81%D0%BA%D0%BE%D0%B3%D0%BE%201972%20%D1%84%D0%B8%D0%BB%D1%8C%D0%BC","искать")</f>
        <v/>
      </c>
      <c r="N40" s="3" t="n"/>
      <c r="O40" s="2" t="n"/>
    </row>
    <row r="41">
      <c r="A41" s="2" t="n">
        <v>40</v>
      </c>
      <c r="B41" s="2" t="inlineStr">
        <is>
          <t>обрыв</t>
        </is>
      </c>
      <c r="C41" s="2" t="n">
        <v>9367</v>
      </c>
      <c r="D41" s="3" t="inlineStr">
        <is>
          <t>Заговор</t>
        </is>
      </c>
      <c r="E41" s="2" t="n">
        <v>1989</v>
      </c>
      <c r="F41" s="2" t="inlineStr">
        <is>
          <t>кинофильм</t>
        </is>
      </c>
      <c r="G41" s="2" t="n"/>
      <c r="H41" s="2" t="n">
        <v>133</v>
      </c>
      <c r="I41" s="2" t="inlineStr">
        <is>
          <t>да</t>
        </is>
      </c>
      <c r="J41" s="2" t="inlineStr"/>
      <c r="K41" s="3" t="inlineStr">
        <is>
          <t>Калман, освобожденный по амнистии из колонии, оказывается единственным, кто приходит на помощь женщине, у которой похитили ребенка...</t>
        </is>
      </c>
      <c r="L41" s="2" t="inlineStr">
        <is>
          <t>Кино_СССР сводный каталог.xlsx: список фильмов (доп.)</t>
        </is>
      </c>
      <c r="M41" s="2">
        <f>HYPERLINK("https://ru.wikipedia.org/w/index.php?search=%D0%97%D0%B0%D0%B3%D0%BE%D0%B2%D0%BE%D1%80%201989%20%D1%84%D0%B8%D0%BB%D1%8C%D0%BC","искать")</f>
        <v/>
      </c>
      <c r="N41" s="3" t="n"/>
      <c r="O41" s="2" t="n"/>
    </row>
    <row r="42">
      <c r="A42" s="2" t="n">
        <v>41</v>
      </c>
      <c r="B42" s="2" t="inlineStr">
        <is>
          <t>обрыв</t>
        </is>
      </c>
      <c r="C42" s="2" t="n">
        <v>9527</v>
      </c>
      <c r="D42" s="3" t="inlineStr">
        <is>
          <t>Опалённые Кандагаром</t>
        </is>
      </c>
      <c r="E42" s="2" t="n">
        <v>1989</v>
      </c>
      <c r="F42" s="2" t="inlineStr">
        <is>
          <t>кинофильм</t>
        </is>
      </c>
      <c r="G42" s="2" t="n"/>
      <c r="H42" s="2" t="n">
        <v>133</v>
      </c>
      <c r="I42" s="2" t="inlineStr">
        <is>
          <t>да</t>
        </is>
      </c>
      <c r="J42" s="2" t="inlineStr"/>
      <c r="K42" s="3" t="inlineStr">
        <is>
          <t>Списанный по ранению офицер-афганец вступает в борьбу с мафией и, в конце концов, ценой собственной жизни разоблачает преступников...</t>
        </is>
      </c>
      <c r="L42" s="2" t="inlineStr">
        <is>
          <t>Кино_СССР сводный каталог.xlsx: список фильмов (доп.)</t>
        </is>
      </c>
      <c r="M42" s="2">
        <f>HYPERLINK("https://ru.wikipedia.org/w/index.php?search=%D0%9E%D0%BF%D0%B0%D0%BB%D1%91%D0%BD%D0%BD%D1%8B%D0%B5%20%D0%9A%D0%B0%D0%BD%D0%B4%D0%B0%D0%B3%D0%B0%D1%80%D0%BE%D0%BC%201989%20%D1%84%D0%B8%D0%BB%D1%8C%D0%BC","искать")</f>
        <v/>
      </c>
      <c r="N42" s="3" t="n"/>
      <c r="O42" s="2" t="n"/>
    </row>
    <row r="43">
      <c r="A43" s="2" t="n">
        <v>42</v>
      </c>
      <c r="B43" s="2" t="inlineStr">
        <is>
          <t>обрыв</t>
        </is>
      </c>
      <c r="C43" s="2" t="n">
        <v>8237</v>
      </c>
      <c r="D43" s="3" t="inlineStr">
        <is>
          <t>Пространство для манёвра</t>
        </is>
      </c>
      <c r="E43" s="2" t="n">
        <v>1982</v>
      </c>
      <c r="F43" s="2" t="inlineStr">
        <is>
          <t>телефильм</t>
        </is>
      </c>
      <c r="G43" s="2" t="n"/>
      <c r="H43" s="2" t="n">
        <v>134</v>
      </c>
      <c r="I43" s="2" t="inlineStr">
        <is>
          <t>да</t>
        </is>
      </c>
      <c r="J43" s="2" t="inlineStr"/>
      <c r="K43" s="3" t="inlineStr">
        <is>
          <t>По одноименной повести Юрия Чернякова. В конструкторское бюро приходит новый руководитель, нестандартно мыслящий, отметающий рутину...</t>
        </is>
      </c>
      <c r="L43" s="2" t="inlineStr">
        <is>
          <t>Кино_СССР сводный каталог.xlsx: список телефильмов</t>
        </is>
      </c>
      <c r="M43" s="2">
        <f>HYPERLINK("https://ru.wikipedia.org/w/index.php?search=%D0%9F%D1%80%D0%BE%D1%81%D1%82%D1%80%D0%B0%D0%BD%D1%81%D1%82%D0%B2%D0%BE%20%D0%B4%D0%BB%D1%8F%20%D0%BC%D0%B0%D0%BD%D1%91%D0%B2%D1%80%D0%B0%201982%20%D1%84%D0%B8%D0%BB%D1%8C%D0%BC","искать")</f>
        <v/>
      </c>
      <c r="N43" s="3" t="n"/>
      <c r="O43" s="2" t="n"/>
    </row>
    <row r="44">
      <c r="A44" s="2" t="n">
        <v>43</v>
      </c>
      <c r="B44" s="2" t="inlineStr">
        <is>
          <t>обрыв</t>
        </is>
      </c>
      <c r="C44" s="2" t="n">
        <v>8776</v>
      </c>
      <c r="D44" s="3" t="inlineStr">
        <is>
          <t>Кошечка</t>
        </is>
      </c>
      <c r="E44" s="2" t="n">
        <v>1991</v>
      </c>
      <c r="F44" s="2" t="inlineStr">
        <is>
          <t>кинофильм</t>
        </is>
      </c>
      <c r="G44" s="2" t="n"/>
      <c r="H44" s="2" t="n">
        <v>134</v>
      </c>
      <c r="I44" s="2" t="inlineStr">
        <is>
          <t>да</t>
        </is>
      </c>
      <c r="J44" s="2" t="inlineStr"/>
      <c r="K44" s="3" t="inlineStr">
        <is>
          <t>Крутой супермен с мешком денег снимает самый шикарный номер в приморском отеле. Он может купить все, но ему нужно только одно - она...</t>
        </is>
      </c>
      <c r="L44" s="2" t="inlineStr">
        <is>
          <t>Кино_СССР сводный каталог.xlsx: список фильмов (доп.)</t>
        </is>
      </c>
      <c r="M44" s="2">
        <f>HYPERLINK("https://ru.wikipedia.org/w/index.php?search=%D0%9A%D0%BE%D1%88%D0%B5%D1%87%D0%BA%D0%B0%201991%20%D1%84%D0%B8%D0%BB%D1%8C%D0%BC","искать")</f>
        <v/>
      </c>
      <c r="N44" s="3" t="n"/>
      <c r="O44" s="2" t="n"/>
    </row>
    <row r="45">
      <c r="A45" s="2" t="n">
        <v>44</v>
      </c>
      <c r="B45" s="2" t="inlineStr">
        <is>
          <t>обрыв</t>
        </is>
      </c>
      <c r="C45" s="2" t="n">
        <v>9318</v>
      </c>
      <c r="D45" s="3" t="inlineStr">
        <is>
          <t>Грешник</t>
        </is>
      </c>
      <c r="E45" s="2" t="n">
        <v>1988</v>
      </c>
      <c r="F45" s="2" t="inlineStr">
        <is>
          <t>кинофильм</t>
        </is>
      </c>
      <c r="G45" s="2" t="inlineStr">
        <is>
          <t>К/ст имени А.П. Довженко</t>
        </is>
      </c>
      <c r="H45" s="2" t="n">
        <v>135</v>
      </c>
      <c r="I45" s="2" t="inlineStr">
        <is>
          <t>да</t>
        </is>
      </c>
      <c r="J45" s="2" t="inlineStr">
        <is>
          <t>да</t>
        </is>
      </c>
      <c r="K45" s="3" t="inlineStr">
        <is>
          <t>Рассказ о слесаре, талантливая работа которого, не вписываясь в нормы и традиции завода, нашла своё применение в частном автосервисе...</t>
        </is>
      </c>
      <c r="L45" s="2" t="inlineStr">
        <is>
          <t>Кино_СССР сводный каталог.xlsx: список фильмов (доп.)</t>
        </is>
      </c>
      <c r="M45" s="2">
        <f>HYPERLINK("https://ru.wikipedia.org/w/index.php?search=%D0%93%D1%80%D0%B5%D1%88%D0%BD%D0%B8%D0%BA%201988%20%D1%84%D0%B8%D0%BB%D1%8C%D0%BC","искать")</f>
        <v/>
      </c>
      <c r="N45" s="3" t="n"/>
      <c r="O45" s="2" t="n"/>
    </row>
    <row r="46">
      <c r="A46" s="2" t="n">
        <v>45</v>
      </c>
      <c r="B46" s="2" t="inlineStr">
        <is>
          <t>обрыв</t>
        </is>
      </c>
      <c r="C46" s="2" t="n">
        <v>9555</v>
      </c>
      <c r="D46" s="3" t="inlineStr">
        <is>
          <t>По Таганке ходят танки</t>
        </is>
      </c>
      <c r="E46" s="2" t="n">
        <v>1991</v>
      </c>
      <c r="F46" s="2" t="inlineStr">
        <is>
          <t>кинофильм</t>
        </is>
      </c>
      <c r="G46" s="2" t="n"/>
      <c r="H46" s="2" t="n">
        <v>135</v>
      </c>
      <c r="I46" s="2" t="inlineStr">
        <is>
          <t>да</t>
        </is>
      </c>
      <c r="J46" s="2" t="inlineStr"/>
      <c r="K46" s="3" t="inlineStr">
        <is>
          <t>После тяжелой травмы герой теряет память, но обретает дар внушения. В прогулках по Москве его сопровождает демон-искуситель Брокгауз...</t>
        </is>
      </c>
      <c r="L46" s="2" t="inlineStr">
        <is>
          <t>Кино_СССР сводный каталог.xlsx: список фильмов (доп.)</t>
        </is>
      </c>
      <c r="M46" s="2">
        <f>HYPERLINK("https://ru.wikipedia.org/w/index.php?search=%D0%9F%D0%BE%20%D0%A2%D0%B0%D0%B3%D0%B0%D0%BD%D0%BA%D0%B5%20%D1%85%D0%BE%D0%B4%D1%8F%D1%82%20%D1%82%D0%B0%D0%BD%D0%BA%D0%B8%201991%20%D1%84%D0%B8%D0%BB%D1%8C%D0%BC","искать")</f>
        <v/>
      </c>
      <c r="N46" s="3" t="n"/>
      <c r="O46" s="2" t="n"/>
    </row>
    <row r="47">
      <c r="A47" s="2" t="n">
        <v>46</v>
      </c>
      <c r="B47" s="2" t="inlineStr">
        <is>
          <t>обрыв</t>
        </is>
      </c>
      <c r="C47" s="2" t="n">
        <v>9357</v>
      </c>
      <c r="D47" s="3" t="inlineStr">
        <is>
          <t>Женский день</t>
        </is>
      </c>
      <c r="E47" s="2" t="n">
        <v>1990</v>
      </c>
      <c r="F47" s="2" t="inlineStr">
        <is>
          <t>кинофильм</t>
        </is>
      </c>
      <c r="G47" s="2" t="n"/>
      <c r="H47" s="2" t="n">
        <v>138</v>
      </c>
      <c r="I47" s="2" t="inlineStr">
        <is>
          <t>да</t>
        </is>
      </c>
      <c r="J47" s="2" t="inlineStr"/>
      <c r="K47" s="3" t="inlineStr">
        <is>
          <t>О современной женщине, её борьбе за лидерство на работе и дома, в результате чего проходит любовь, распадается семья. Она остается одна...</t>
        </is>
      </c>
      <c r="L47" s="2" t="inlineStr">
        <is>
          <t>Кино_СССР сводный каталог.xlsx: список фильмов (доп.)</t>
        </is>
      </c>
      <c r="M47" s="2">
        <f>HYPERLINK("https://ru.wikipedia.org/w/index.php?search=%D0%96%D0%B5%D0%BD%D1%81%D0%BA%D0%B8%D0%B9%20%D0%B4%D0%B5%D0%BD%D1%8C%201990%20%D1%84%D0%B8%D0%BB%D1%8C%D0%BC","искать")</f>
        <v/>
      </c>
      <c r="N47" s="3" t="n"/>
      <c r="O47" s="2" t="n"/>
    </row>
    <row r="48">
      <c r="A48" s="2" t="n">
        <v>47</v>
      </c>
      <c r="B48" s="2" t="inlineStr">
        <is>
          <t>обрыв</t>
        </is>
      </c>
      <c r="C48" s="2" t="n">
        <v>7228</v>
      </c>
      <c r="D48" s="3" t="inlineStr">
        <is>
          <t>Ах, любовь!..</t>
        </is>
      </c>
      <c r="E48" s="2" t="n">
        <v>1977</v>
      </c>
      <c r="F48" s="2" t="inlineStr">
        <is>
          <t>телефильм</t>
        </is>
      </c>
      <c r="G48" s="2" t="n"/>
      <c r="H48" s="2" t="n">
        <v>140</v>
      </c>
      <c r="I48" s="2" t="inlineStr">
        <is>
          <t>да</t>
        </is>
      </c>
      <c r="J48" s="2" t="inlineStr">
        <is>
          <t>да</t>
        </is>
      </c>
      <c r="K48" s="3" t="inlineStr">
        <is>
          <t>Телефильм. Рассказ о незатейливом, но очень сердобольном почтальоне Бицко, который сердечно переживает радости и печали своих односельчан...</t>
        </is>
      </c>
      <c r="L48" s="2" t="inlineStr">
        <is>
          <t>Кино_СССР сводный каталог.xlsx: список телефильмов</t>
        </is>
      </c>
      <c r="M48" s="2">
        <f>HYPERLINK("https://ru.wikipedia.org/w/index.php?search=%D0%90%D1%85%2C%20%D0%BB%D1%8E%D0%B1%D0%BE%D0%B2%D1%8C%21..%201977%20%D1%84%D0%B8%D0%BB%D1%8C%D0%BC","искать")</f>
        <v/>
      </c>
      <c r="N48" s="3" t="n"/>
      <c r="O48" s="2" t="n"/>
    </row>
    <row r="49">
      <c r="A49" s="2" t="n">
        <v>48</v>
      </c>
      <c r="B49" s="2" t="inlineStr">
        <is>
          <t>обрыв</t>
        </is>
      </c>
      <c r="C49" s="2" t="n">
        <v>9134</v>
      </c>
      <c r="D49" s="3" t="inlineStr">
        <is>
          <t>Ущелье "Духов"</t>
        </is>
      </c>
      <c r="E49" s="2" t="n">
        <v>1991</v>
      </c>
      <c r="F49" s="2" t="inlineStr">
        <is>
          <t>кинофильм</t>
        </is>
      </c>
      <c r="G49" s="2" t="n"/>
      <c r="H49" s="2" t="n">
        <v>140</v>
      </c>
      <c r="I49" s="2" t="inlineStr">
        <is>
          <t>да</t>
        </is>
      </c>
      <c r="J49" s="2" t="inlineStr"/>
      <c r="K49" s="3" t="inlineStr">
        <is>
          <t>О последней военной операции в Афганистане. Командир разведроты Грачев и его бойцы пытаются осмыслить суть этой странной и страшной войны...</t>
        </is>
      </c>
      <c r="L49" s="2" t="inlineStr">
        <is>
          <t>Кино_СССР сводный каталог.xlsx: список фильмов (доп.)</t>
        </is>
      </c>
      <c r="M49" s="2">
        <f>HYPERLINK("https://ru.wikipedia.org/w/index.php?search=%D0%A3%D1%89%D0%B5%D0%BB%D1%8C%D0%B5%20%22%D0%94%D1%83%D1%85%D0%BE%D0%B2%22%201991%20%D1%84%D0%B8%D0%BB%D1%8C%D0%BC","искать")</f>
        <v/>
      </c>
      <c r="N49" s="3" t="n"/>
      <c r="O49" s="2" t="n"/>
    </row>
    <row r="50">
      <c r="A50" s="2" t="n">
        <v>49</v>
      </c>
      <c r="B50" s="2" t="inlineStr">
        <is>
          <t>обрыв</t>
        </is>
      </c>
      <c r="C50" s="2" t="n">
        <v>9236</v>
      </c>
      <c r="D50" s="3" t="inlineStr">
        <is>
          <t>Бес</t>
        </is>
      </c>
      <c r="E50" s="2" t="n">
        <v>1991</v>
      </c>
      <c r="F50" s="2" t="inlineStr">
        <is>
          <t>кинофильм</t>
        </is>
      </c>
      <c r="G50" s="2" t="n"/>
      <c r="H50" s="2" t="n">
        <v>140</v>
      </c>
      <c r="I50" s="2" t="inlineStr">
        <is>
          <t>да</t>
        </is>
      </c>
      <c r="J50" s="2" t="inlineStr"/>
      <c r="K50" s="3" t="inlineStr">
        <is>
          <t>Современная фарсовая мистическая притча, в которой Бес проигрывает соревнование с человеком по мелким и большим пакостям и покидает Землю...</t>
        </is>
      </c>
      <c r="L50" s="2" t="inlineStr">
        <is>
          <t>Кино_СССР сводный каталог.xlsx: список фильмов (доп.)</t>
        </is>
      </c>
      <c r="M50" s="2">
        <f>HYPERLINK("https://ru.wikipedia.org/w/index.php?search=%D0%91%D0%B5%D1%81%201991%20%D1%84%D0%B8%D0%BB%D1%8C%D0%BC","искать")</f>
        <v/>
      </c>
      <c r="N50" s="3" t="n"/>
      <c r="O50" s="2" t="n"/>
    </row>
    <row r="51">
      <c r="A51" s="2" t="n">
        <v>50</v>
      </c>
      <c r="B51" s="2" t="inlineStr">
        <is>
          <t>обрыв</t>
        </is>
      </c>
      <c r="C51" s="2" t="n">
        <v>9776</v>
      </c>
      <c r="D51" s="3" t="inlineStr">
        <is>
          <t>Щен из созвездия Гончих псов</t>
        </is>
      </c>
      <c r="E51" s="2" t="n">
        <v>1991</v>
      </c>
      <c r="F51" s="2" t="inlineStr">
        <is>
          <t>кинофильм</t>
        </is>
      </c>
      <c r="G51" s="2" t="n"/>
      <c r="H51" s="2" t="n">
        <v>140</v>
      </c>
      <c r="I51" s="2" t="inlineStr">
        <is>
          <t>да</t>
        </is>
      </c>
      <c r="J51" s="2" t="inlineStr"/>
      <c r="K51" s="3" t="inlineStr">
        <is>
          <t>По мотивам одноименной повести Лилии Неменовой. В созвездии гончих псов исчезла звезда и в этот миг на земле появился щенок по кличке Щен...</t>
        </is>
      </c>
      <c r="L51" s="2" t="inlineStr">
        <is>
          <t>Кино_СССР сводный каталог.xlsx: список фильмов (доп.)</t>
        </is>
      </c>
      <c r="M51" s="2">
        <f>HYPERLINK("https://ru.wikipedia.org/w/index.php?search=%D0%A9%D0%B5%D0%BD%20%D0%B8%D0%B7%20%D1%81%D0%BE%D0%B7%D0%B2%D0%B5%D0%B7%D0%B4%D0%B8%D1%8F%20%D0%93%D0%BE%D0%BD%D1%87%D0%B8%D1%85%20%D0%BF%D1%81%D0%BE%D0%B2%201991%20%D1%84%D0%B8%D0%BB%D1%8C%D0%BC","искать")</f>
        <v/>
      </c>
      <c r="N51" s="3" t="n"/>
      <c r="O51" s="2" t="n"/>
    </row>
    <row r="52">
      <c r="A52" s="2" t="n">
        <v>51</v>
      </c>
      <c r="B52" s="2" t="inlineStr">
        <is>
          <t>обрыв</t>
        </is>
      </c>
      <c r="C52" s="2" t="n">
        <v>8805</v>
      </c>
      <c r="D52" s="3" t="inlineStr">
        <is>
          <t>Любовь с привилегиями</t>
        </is>
      </c>
      <c r="E52" s="2" t="n">
        <v>1989</v>
      </c>
      <c r="F52" s="2" t="inlineStr">
        <is>
          <t>кинофильм</t>
        </is>
      </c>
      <c r="G52" s="2" t="inlineStr">
        <is>
          <t>Мосфильм</t>
        </is>
      </c>
      <c r="H52" s="2" t="n">
        <v>141</v>
      </c>
      <c r="I52" s="2" t="inlineStr">
        <is>
          <t>да</t>
        </is>
      </c>
      <c r="J52" s="2" t="inlineStr">
        <is>
          <t>да</t>
        </is>
      </c>
      <c r="K52" s="3" t="inlineStr">
        <is>
          <t>Не совсем благополучная история любви пенсионера, бывшего крупного чиновника, и женщины, работающей на южном курорте водителем автофургона...</t>
        </is>
      </c>
      <c r="L52" s="2" t="inlineStr">
        <is>
          <t>Кино_СССР сводный каталог.xlsx: список фильмов (доп.)</t>
        </is>
      </c>
      <c r="M52" s="2">
        <f>HYPERLINK("https://ru.wikipedia.org/w/index.php?search=%D0%9B%D1%8E%D0%B1%D0%BE%D0%B2%D1%8C%20%D1%81%20%D0%BF%D1%80%D0%B8%D0%B2%D0%B8%D0%BB%D0%B5%D0%B3%D0%B8%D1%8F%D0%BC%D0%B8%201989%20%D1%84%D0%B8%D0%BB%D1%8C%D0%BC","искать")</f>
        <v/>
      </c>
      <c r="N52" s="3" t="n"/>
      <c r="O52" s="2" t="n"/>
    </row>
    <row r="53">
      <c r="A53" s="2" t="n">
        <v>52</v>
      </c>
      <c r="B53" s="2" t="inlineStr">
        <is>
          <t>обрыв</t>
        </is>
      </c>
      <c r="C53" s="2" t="n">
        <v>7522</v>
      </c>
      <c r="D53" s="3" t="inlineStr">
        <is>
          <t>До луны рукой подать</t>
        </is>
      </c>
      <c r="E53" s="2" t="n">
        <v>1986</v>
      </c>
      <c r="F53" s="2" t="inlineStr">
        <is>
          <t>телефильм</t>
        </is>
      </c>
      <c r="G53" s="2" t="n"/>
      <c r="H53" s="2" t="n">
        <v>142</v>
      </c>
      <c r="I53" s="2" t="inlineStr">
        <is>
          <t>да</t>
        </is>
      </c>
      <c r="J53" s="2" t="inlineStr"/>
      <c r="K53" s="3" t="inlineStr">
        <is>
          <t>ახალი არკადია Смешная и в то же время грустная история о том, как два пенсионера приютили заблудшую корову на девятом этаже городского дома...</t>
        </is>
      </c>
      <c r="L53" s="2" t="inlineStr">
        <is>
          <t>Кино_СССР сводный каталог.xlsx: список телефильмов</t>
        </is>
      </c>
      <c r="M53" s="2">
        <f>HYPERLINK("https://ru.wikipedia.org/w/index.php?search=%D0%94%D0%BE%20%D0%BB%D1%83%D0%BD%D1%8B%20%D1%80%D1%83%D0%BA%D0%BE%D0%B9%20%D0%BF%D0%BE%D0%B4%D0%B0%D1%82%D1%8C%201986%20%D1%84%D0%B8%D0%BB%D1%8C%D0%BC","искать")</f>
        <v/>
      </c>
      <c r="N53" s="3" t="n"/>
      <c r="O53" s="2" t="n"/>
    </row>
    <row r="54">
      <c r="A54" s="2" t="n">
        <v>53</v>
      </c>
      <c r="B54" s="2" t="inlineStr">
        <is>
          <t>обрыв</t>
        </is>
      </c>
      <c r="C54" s="2" t="n">
        <v>8905</v>
      </c>
      <c r="D54" s="3" t="inlineStr">
        <is>
          <t>Остров змей</t>
        </is>
      </c>
      <c r="E54" s="2" t="n">
        <v>1991</v>
      </c>
      <c r="F54" s="2" t="inlineStr">
        <is>
          <t>кинофильм</t>
        </is>
      </c>
      <c r="G54" s="2" t="n"/>
      <c r="H54" s="2" t="n">
        <v>142</v>
      </c>
      <c r="I54" s="2" t="inlineStr">
        <is>
          <t>да</t>
        </is>
      </c>
      <c r="J54" s="2" t="inlineStr"/>
      <c r="K54" s="3" t="inlineStr">
        <is>
          <t>Героиня фильма, Жерген, бежит из дома, попадая при этом в самые различные ситуации, её молодой человек Бегли отправляется на поиски девушки...</t>
        </is>
      </c>
      <c r="L54" s="2" t="inlineStr">
        <is>
          <t>Кино_СССР сводный каталог.xlsx: список фильмов (доп.)</t>
        </is>
      </c>
      <c r="M54" s="2">
        <f>HYPERLINK("https://ru.wikipedia.org/w/index.php?search=%D0%9E%D1%81%D1%82%D1%80%D0%BE%D0%B2%20%D0%B7%D0%BC%D0%B5%D0%B9%201991%20%D1%84%D0%B8%D0%BB%D1%8C%D0%BC","искать")</f>
        <v/>
      </c>
      <c r="N54" s="3" t="n"/>
      <c r="O54" s="2" t="n"/>
    </row>
    <row r="55">
      <c r="A55" s="2" t="n">
        <v>54</v>
      </c>
      <c r="B55" s="2" t="inlineStr">
        <is>
          <t>обрыв</t>
        </is>
      </c>
      <c r="C55" s="2" t="n">
        <v>9917</v>
      </c>
      <c r="D55" s="3" t="inlineStr">
        <is>
          <t>Иваника и Симоника</t>
        </is>
      </c>
      <c r="E55" s="2" t="n">
        <v>1976</v>
      </c>
      <c r="F55" s="2" t="inlineStr">
        <is>
          <t>телефильм</t>
        </is>
      </c>
      <c r="G55" s="2" t="inlineStr">
        <is>
          <t>Грузия-фильм, по заказу государственного комитета Совета министров СССР по телевидению и радиовещанию</t>
        </is>
      </c>
      <c r="H55" s="2" t="n">
        <v>143</v>
      </c>
      <c r="I55" s="2" t="inlineStr">
        <is>
          <t>да</t>
        </is>
      </c>
      <c r="J55" s="2" t="inlineStr"/>
      <c r="K55" s="3" t="inlineStr">
        <is>
          <t>По мотивам грузинских народных сказок. О двух братьях - злом и добром, о том, как козни старшего, злого брата, обернулись против него самого...</t>
        </is>
      </c>
      <c r="L55" s="2" t="inlineStr">
        <is>
          <t>https://www.kino-teatr.ru/short/movie/sov/15258/annot/</t>
        </is>
      </c>
      <c r="M55" s="2">
        <f>HYPERLINK("https://ru.wikipedia.org/w/index.php?search=%D0%98%D0%B2%D0%B0%D0%BD%D0%B8%D0%BA%D0%B0%20%D0%B8%20%D0%A1%D0%B8%D0%BC%D0%BE%D0%BD%D0%B8%D0%BA%D0%B0%201976%20%D1%84%D0%B8%D0%BB%D1%8C%D0%BC","искать")</f>
        <v/>
      </c>
      <c r="N55" s="3" t="n"/>
      <c r="O55" s="2" t="n"/>
    </row>
    <row r="56">
      <c r="A56" s="2" t="n">
        <v>55</v>
      </c>
      <c r="B56" s="2" t="inlineStr">
        <is>
          <t>обрыв</t>
        </is>
      </c>
      <c r="C56" s="2" t="n">
        <v>8117</v>
      </c>
      <c r="D56" s="3" t="inlineStr">
        <is>
          <t>Плыви, кораблик...</t>
        </is>
      </c>
      <c r="E56" s="2" t="n">
        <v>1983</v>
      </c>
      <c r="F56" s="2" t="inlineStr">
        <is>
          <t>телефильм</t>
        </is>
      </c>
      <c r="G56" s="2" t="n"/>
      <c r="H56" s="2" t="n">
        <v>144</v>
      </c>
      <c r="I56" s="2" t="inlineStr">
        <is>
          <t>да</t>
        </is>
      </c>
      <c r="J56" s="2" t="inlineStr"/>
      <c r="K56" s="3" t="inlineStr">
        <is>
          <t>Телефильм. Пожилая женщина, потерявшая во время войны мужа и сына, живет одна. Неожиданно в ее тихий обособленный мир беспечно врываются дети...</t>
        </is>
      </c>
      <c r="L56" s="2" t="inlineStr">
        <is>
          <t>Кино_СССР сводный каталог.xlsx: список телефильмов</t>
        </is>
      </c>
      <c r="M56" s="2">
        <f>HYPERLINK("https://ru.wikipedia.org/w/index.php?search=%D0%9F%D0%BB%D1%8B%D0%B2%D0%B8%2C%20%D0%BA%D0%BE%D1%80%D0%B0%D0%B1%D0%BB%D0%B8%D0%BA...%201983%20%D1%84%D0%B8%D0%BB%D1%8C%D0%BC","искать")</f>
        <v/>
      </c>
      <c r="N56" s="3" t="n"/>
      <c r="O56" s="2" t="n"/>
    </row>
    <row r="57">
      <c r="A57" s="2" t="n">
        <v>56</v>
      </c>
      <c r="B57" s="2" t="inlineStr">
        <is>
          <t>обрыв</t>
        </is>
      </c>
      <c r="C57" s="2" t="n">
        <v>7860</v>
      </c>
      <c r="D57" s="3" t="inlineStr">
        <is>
          <t>Медвежонок</t>
        </is>
      </c>
      <c r="E57" s="2" t="n">
        <v>1981</v>
      </c>
      <c r="F57" s="2" t="inlineStr">
        <is>
          <t>телефильм</t>
        </is>
      </c>
      <c r="G57" s="2" t="inlineStr">
        <is>
          <t>Киевнаучфильм</t>
        </is>
      </c>
      <c r="H57" s="2" t="n">
        <v>145</v>
      </c>
      <c r="I57" s="2" t="inlineStr">
        <is>
          <t>да</t>
        </is>
      </c>
      <c r="J57" s="2" t="inlineStr"/>
      <c r="K57" s="3" t="inlineStr">
        <is>
          <t>По одноименной повести С.Сергеева-Ценского. В доме полковника царской армии Алпатова появляется медвежонок Миш-Миш и становится любимцем семьи...</t>
        </is>
      </c>
      <c r="L57" s="2" t="inlineStr">
        <is>
          <t>Кино_СССР сводный каталог.xlsx: список телефильмов</t>
        </is>
      </c>
      <c r="M57" s="2">
        <f>HYPERLINK("https://ru.wikipedia.org/w/index.php?search=%D0%9C%D0%B5%D0%B4%D0%B2%D0%B5%D0%B6%D0%BE%D0%BD%D0%BE%D0%BA%201981%20%D1%84%D0%B8%D0%BB%D1%8C%D0%BC","искать")</f>
        <v/>
      </c>
      <c r="N57" s="3" t="n"/>
      <c r="O57" s="2" t="n"/>
    </row>
    <row r="58">
      <c r="A58" s="2" t="n">
        <v>57</v>
      </c>
      <c r="B58" s="2" t="inlineStr">
        <is>
          <t>обрыв</t>
        </is>
      </c>
      <c r="C58" s="2" t="n">
        <v>8018</v>
      </c>
      <c r="D58" s="3" t="inlineStr">
        <is>
          <t>О тебе</t>
        </is>
      </c>
      <c r="E58" s="2" t="n">
        <v>1981</v>
      </c>
      <c r="F58" s="2" t="inlineStr">
        <is>
          <t>телефильм</t>
        </is>
      </c>
      <c r="G58" s="2" t="inlineStr">
        <is>
          <t>ТО «Экран»</t>
        </is>
      </c>
      <c r="H58" s="2" t="n">
        <v>145</v>
      </c>
      <c r="I58" s="2" t="inlineStr">
        <is>
          <t>да</t>
        </is>
      </c>
      <c r="J58" s="2" t="inlineStr">
        <is>
          <t>да</t>
        </is>
      </c>
      <c r="K58" s="3" t="inlineStr">
        <is>
          <t>Героиня этой не вполне реальной истории родилась с необычайным талантом: вместо того, чтобы говорить, она поет - поет всегда, везде и при всех...</t>
        </is>
      </c>
      <c r="L58" s="2" t="inlineStr">
        <is>
          <t>Кино_СССР сводный каталог.xlsx: список телефильмов</t>
        </is>
      </c>
      <c r="M58" s="2">
        <f>HYPERLINK("https://ru.wikipedia.org/w/index.php?search=%D0%9E%20%D1%82%D0%B5%D0%B1%D0%B5%201981%20%D1%84%D0%B8%D0%BB%D1%8C%D0%BC","искать")</f>
        <v/>
      </c>
      <c r="N58" s="3" t="n"/>
      <c r="O58" s="2" t="n"/>
    </row>
    <row r="59">
      <c r="A59" s="2" t="n">
        <v>58</v>
      </c>
      <c r="B59" s="2" t="inlineStr">
        <is>
          <t>обрыв</t>
        </is>
      </c>
      <c r="C59" s="2" t="n">
        <v>9099</v>
      </c>
      <c r="D59" s="3" t="inlineStr">
        <is>
          <t>Террористка</t>
        </is>
      </c>
      <c r="E59" s="2" t="n">
        <v>1991</v>
      </c>
      <c r="F59" s="2" t="inlineStr">
        <is>
          <t>кинофильм</t>
        </is>
      </c>
      <c r="G59" s="2" t="n"/>
      <c r="H59" s="2" t="n">
        <v>145</v>
      </c>
      <c r="I59" s="2" t="inlineStr">
        <is>
          <t>да</t>
        </is>
      </c>
      <c r="J59" s="2" t="inlineStr"/>
      <c r="K59" s="3" t="inlineStr">
        <is>
          <t>Пустив в дом промокшую молодую женщину, Виктор не подозревал, что ее визит - не случайность, и не мог представить себе, чем все это закончится...</t>
        </is>
      </c>
      <c r="L59" s="2" t="inlineStr">
        <is>
          <t>Кино_СССР сводный каталог.xlsx: список фильмов (доп.)</t>
        </is>
      </c>
      <c r="M59" s="2">
        <f>HYPERLINK("https://ru.wikipedia.org/w/index.php?search=%D0%A2%D0%B5%D1%80%D1%80%D0%BE%D1%80%D0%B8%D1%81%D1%82%D0%BA%D0%B0%201991%20%D1%84%D0%B8%D0%BB%D1%8C%D0%BC","искать")</f>
        <v/>
      </c>
      <c r="N59" s="3" t="n"/>
      <c r="O59" s="2" t="n"/>
    </row>
    <row r="60">
      <c r="A60" s="2" t="n">
        <v>59</v>
      </c>
      <c r="B60" s="2" t="inlineStr">
        <is>
          <t>обрыв</t>
        </is>
      </c>
      <c r="C60" s="2" t="n">
        <v>9346</v>
      </c>
      <c r="D60" s="3" t="inlineStr">
        <is>
          <t>Дорогое удовольствие</t>
        </is>
      </c>
      <c r="E60" s="2" t="n">
        <v>1988</v>
      </c>
      <c r="F60" s="2" t="inlineStr">
        <is>
          <t>кинофильм</t>
        </is>
      </c>
      <c r="G60" s="2" t="n"/>
      <c r="H60" s="2" t="n">
        <v>146</v>
      </c>
      <c r="I60" s="2" t="inlineStr">
        <is>
          <t>да</t>
        </is>
      </c>
      <c r="J60" s="2" t="inlineStr"/>
      <c r="K60" s="3" t="inlineStr">
        <is>
          <t>Смекалистый инженер-авиатор, не найдя применения своему таланту в конструкторском бюро, устраивается в частную мастерскую чинить "левые" машины...</t>
        </is>
      </c>
      <c r="L60" s="2" t="inlineStr">
        <is>
          <t>Кино_СССР сводный каталог.xlsx: список фильмов (доп.)</t>
        </is>
      </c>
      <c r="M60" s="2">
        <f>HYPERLINK("https://ru.wikipedia.org/w/index.php?search=%D0%94%D0%BE%D1%80%D0%BE%D0%B3%D0%BE%D0%B5%20%D1%83%D0%B4%D0%BE%D0%B2%D0%BE%D0%BB%D1%8C%D1%81%D1%82%D0%B2%D0%B8%D0%B5%201988%20%D1%84%D0%B8%D0%BB%D1%8C%D0%BC","искать")</f>
        <v/>
      </c>
      <c r="N60" s="3" t="n"/>
      <c r="O60" s="2" t="n"/>
    </row>
    <row r="61">
      <c r="A61" s="2" t="n">
        <v>60</v>
      </c>
      <c r="B61" s="2" t="inlineStr">
        <is>
          <t>обрыв</t>
        </is>
      </c>
      <c r="C61" s="2" t="n">
        <v>10323</v>
      </c>
      <c r="D61" s="3" t="inlineStr">
        <is>
          <t>Пещерные люди</t>
        </is>
      </c>
      <c r="E61" s="2" t="n">
        <v>1969</v>
      </c>
      <c r="F61" s="2" t="inlineStr">
        <is>
          <t>фильм-спектакль</t>
        </is>
      </c>
      <c r="G61" s="2" t="inlineStr">
        <is>
          <t>Главная редакция литературно-драматических программ</t>
        </is>
      </c>
      <c r="H61" s="2" t="n">
        <v>146</v>
      </c>
      <c r="I61" s="2" t="inlineStr">
        <is>
          <t>да</t>
        </is>
      </c>
      <c r="J61" s="2" t="inlineStr"/>
      <c r="K61" s="3" t="inlineStr">
        <is>
          <t>По одноименной пьесе американского писателя Уильяма Сарояна.
В жизни обнищавших актеров, живущих в брошенном доме, появляется бездомная девушка...</t>
        </is>
      </c>
      <c r="L61" s="2" t="inlineStr">
        <is>
          <t>https://www.kino-teatr.ru/teatr/movie/93048/annot/</t>
        </is>
      </c>
      <c r="M61" s="2">
        <f>HYPERLINK("https://ru.wikipedia.org/w/index.php?search=%D0%9F%D0%B5%D1%89%D0%B5%D1%80%D0%BD%D1%8B%D0%B5%20%D0%BB%D1%8E%D0%B4%D0%B8%201969%20%D1%84%D0%B8%D0%BB%D1%8C%D0%BC","искать")</f>
        <v/>
      </c>
      <c r="N61" s="3" t="n"/>
      <c r="O61" s="2" t="n"/>
    </row>
    <row r="62">
      <c r="A62" s="2" t="n">
        <v>61</v>
      </c>
      <c r="B62" s="2" t="inlineStr">
        <is>
          <t>обрыв</t>
        </is>
      </c>
      <c r="C62" s="2" t="n">
        <v>10199</v>
      </c>
      <c r="D62" s="3" t="inlineStr">
        <is>
          <t>Ключ от пропасти</t>
        </is>
      </c>
      <c r="E62" s="2" t="n">
        <v>1967</v>
      </c>
      <c r="F62" s="2" t="inlineStr">
        <is>
          <t>фильм-спектакль</t>
        </is>
      </c>
      <c r="G62" s="2" t="inlineStr">
        <is>
          <t>Ленинградское телевидение</t>
        </is>
      </c>
      <c r="H62" s="2" t="n">
        <v>147</v>
      </c>
      <c r="I62" s="2" t="inlineStr">
        <is>
          <t>да</t>
        </is>
      </c>
      <c r="J62" s="2" t="inlineStr"/>
      <c r="K62" s="3" t="inlineStr">
        <is>
          <t>По пьесе Кшиштофа Грущинского.
Человек, сбросивший бомбу на Хиросиму, хочет уйти в монахи. Чтобы отговорить его, вся семья приезжает в монастырь...</t>
        </is>
      </c>
      <c r="L62" s="2" t="inlineStr">
        <is>
          <t>https://www.kino-teatr.ru/teatr/movie/117298/annot/</t>
        </is>
      </c>
      <c r="M62" s="2">
        <f>HYPERLINK("https://ru.wikipedia.org/w/index.php?search=%D0%9A%D0%BB%D1%8E%D1%87%20%D0%BE%D1%82%20%D0%BF%D1%80%D0%BE%D0%BF%D0%B0%D1%81%D1%82%D0%B8%201967%20%D1%84%D0%B8%D0%BB%D1%8C%D0%BC","искать")</f>
        <v/>
      </c>
      <c r="N62" s="3" t="n"/>
      <c r="O62" s="2" t="n"/>
    </row>
    <row r="63">
      <c r="A63" s="2" t="n">
        <v>62</v>
      </c>
      <c r="B63" s="2" t="inlineStr">
        <is>
          <t>обрыв</t>
        </is>
      </c>
      <c r="C63" s="2" t="n">
        <v>11081</v>
      </c>
      <c r="D63" s="3" t="inlineStr">
        <is>
          <t>Смерть коммивояжёра</t>
        </is>
      </c>
      <c r="E63" s="2" t="n">
        <v>1985</v>
      </c>
      <c r="F63" s="2" t="inlineStr">
        <is>
          <t>фильм-спектакль</t>
        </is>
      </c>
      <c r="G63" s="2" t="inlineStr">
        <is>
          <t>Болгарское телевидение</t>
        </is>
      </c>
      <c r="H63" s="2" t="n">
        <v>147</v>
      </c>
      <c r="I63" s="2" t="inlineStr">
        <is>
          <t>да</t>
        </is>
      </c>
      <c r="J63" s="2" t="inlineStr"/>
      <c r="K63" s="3" t="inlineStr">
        <is>
          <t>Телевизионная постановка пьесы американского писателя Артура Миллера.
Вилли Ломан, неудачливый коммивояжёр, подводит печальные итоги своей жизни...</t>
        </is>
      </c>
      <c r="L63" s="2" t="inlineStr">
        <is>
          <t>https://www.kino-teatr.ru/teatr/movie/173594/annot/</t>
        </is>
      </c>
      <c r="M63" s="2">
        <f>HYPERLINK("https://ru.wikipedia.org/w/index.php?search=%D0%A1%D0%BC%D0%B5%D1%80%D1%82%D1%8C%20%D0%BA%D0%BE%D0%BC%D0%BC%D0%B8%D0%B2%D0%BE%D1%8F%D0%B6%D1%91%D1%80%D0%B0%201985%20%D1%84%D0%B8%D0%BB%D1%8C%D0%BC","искать")</f>
        <v/>
      </c>
      <c r="N63" s="3" t="n"/>
      <c r="O63" s="2" t="n"/>
    </row>
    <row r="64">
      <c r="A64" s="2" t="n">
        <v>63</v>
      </c>
      <c r="B64" s="2" t="inlineStr">
        <is>
          <t>обрыв</t>
        </is>
      </c>
      <c r="C64" s="2" t="n">
        <v>9675</v>
      </c>
      <c r="D64" s="3" t="inlineStr">
        <is>
          <t>Сто солдат и две девушки</t>
        </is>
      </c>
      <c r="E64" s="2" t="n">
        <v>1989</v>
      </c>
      <c r="F64" s="2" t="inlineStr">
        <is>
          <t>кинофильм</t>
        </is>
      </c>
      <c r="G64" s="2" t="n"/>
      <c r="H64" s="2" t="n">
        <v>148</v>
      </c>
      <c r="I64" s="2" t="inlineStr">
        <is>
          <t>да</t>
        </is>
      </c>
      <c r="J64" s="2" t="inlineStr"/>
      <c r="K64" s="3" t="inlineStr">
        <is>
          <t>Великая Отечественная война. Героиня фильма - санинструктор Аля Буланина, общение с которой возрождает веру солдат в то, что дома их ждут и любят...</t>
        </is>
      </c>
      <c r="L64" s="2" t="inlineStr">
        <is>
          <t>Кино_СССР сводный каталог.xlsx: список фильмов (доп.)</t>
        </is>
      </c>
      <c r="M64" s="2">
        <f>HYPERLINK("https://ru.wikipedia.org/w/index.php?search=%D0%A1%D1%82%D0%BE%20%D1%81%D0%BE%D0%BB%D0%B4%D0%B0%D1%82%20%D0%B8%20%D0%B4%D0%B2%D0%B5%20%D0%B4%D0%B5%D0%B2%D1%83%D1%88%D0%BA%D0%B8%201989%20%D1%84%D0%B8%D0%BB%D1%8C%D0%BC","искать")</f>
        <v/>
      </c>
      <c r="N64" s="3" t="n"/>
      <c r="O64" s="2" t="n"/>
    </row>
    <row r="65">
      <c r="A65" s="2" t="n">
        <v>64</v>
      </c>
      <c r="B65" s="2" t="inlineStr">
        <is>
          <t>обрыв</t>
        </is>
      </c>
      <c r="C65" s="2" t="n">
        <v>9942</v>
      </c>
      <c r="D65" s="3" t="inlineStr">
        <is>
          <t>Лабиринт</t>
        </is>
      </c>
      <c r="E65" s="2" t="n">
        <v>1979</v>
      </c>
      <c r="F65" s="2" t="inlineStr">
        <is>
          <t>кинофильм</t>
        </is>
      </c>
      <c r="G65" s="2" t="inlineStr">
        <is>
          <t>Учебная студия ВГИК</t>
        </is>
      </c>
      <c r="H65" s="2" t="n">
        <v>148</v>
      </c>
      <c r="I65" s="2" t="inlineStr">
        <is>
          <t>да</t>
        </is>
      </c>
      <c r="J65" s="2" t="inlineStr"/>
      <c r="K65" s="3" t="inlineStr">
        <is>
          <t>Курсовая работа ВГИК режиссера Евгения Марковского.
Главный герой попадает в таинственную деревню, и его мысли постоянно возвращают его в детство...</t>
        </is>
      </c>
      <c r="L65" s="2" t="inlineStr">
        <is>
          <t>https://www.kino-teatr.ru/short/movie/sov/99134/annot/</t>
        </is>
      </c>
      <c r="M65" s="2">
        <f>HYPERLINK("https://ru.wikipedia.org/w/index.php?search=%D0%9B%D0%B0%D0%B1%D0%B8%D1%80%D0%B8%D0%BD%D1%82%201979%20%D1%84%D0%B8%D0%BB%D1%8C%D0%BC","искать")</f>
        <v/>
      </c>
      <c r="N65" s="3" t="n"/>
      <c r="O65" s="2" t="n"/>
    </row>
    <row r="66">
      <c r="A66" s="2" t="n">
        <v>65</v>
      </c>
      <c r="B66" s="2" t="inlineStr">
        <is>
          <t>обрыв</t>
        </is>
      </c>
      <c r="C66" s="2" t="n">
        <v>7574</v>
      </c>
      <c r="D66" s="3" t="inlineStr">
        <is>
          <t>Если верить Лопотухину</t>
        </is>
      </c>
      <c r="E66" s="2" t="n">
        <v>1983</v>
      </c>
      <c r="F66" s="2" t="inlineStr">
        <is>
          <t>телефильм</t>
        </is>
      </c>
      <c r="G66" s="2" t="n"/>
      <c r="H66" s="2" t="n">
        <v>149</v>
      </c>
      <c r="I66" s="2" t="inlineStr">
        <is>
          <t>да</t>
        </is>
      </c>
      <c r="J66" s="2" t="inlineStr"/>
      <c r="K66" s="3" t="inlineStr">
        <is>
          <t>О весьма неординарных событиях, которые произошли в школе после того, как Вася Лопотухин опоздал на урок математики из-за встречи с инопланетянами...</t>
        </is>
      </c>
      <c r="L66" s="2" t="inlineStr">
        <is>
          <t>Кино_СССР сводный каталог.xlsx: список телефильмов</t>
        </is>
      </c>
      <c r="M66" s="2">
        <f>HYPERLINK("https://ru.wikipedia.org/w/index.php?search=%D0%95%D1%81%D0%BB%D0%B8%20%D0%B2%D0%B5%D1%80%D0%B8%D1%82%D1%8C%20%D0%9B%D0%BE%D0%BF%D0%BE%D1%82%D1%83%D1%85%D0%B8%D0%BD%D1%83%201983%20%D1%84%D0%B8%D0%BB%D1%8C%D0%BC","искать")</f>
        <v/>
      </c>
      <c r="N66" s="3" t="n"/>
      <c r="O66" s="2" t="n"/>
    </row>
    <row r="67">
      <c r="A67" s="2" t="n">
        <v>66</v>
      </c>
      <c r="B67" s="2" t="inlineStr">
        <is>
          <t>обрыв</t>
        </is>
      </c>
      <c r="C67" s="2" t="n">
        <v>8627</v>
      </c>
      <c r="D67" s="3" t="inlineStr">
        <is>
          <t>Афганец</t>
        </is>
      </c>
      <c r="E67" s="2" t="n">
        <v>1991</v>
      </c>
      <c r="F67" s="2" t="inlineStr">
        <is>
          <t>кинофильм</t>
        </is>
      </c>
      <c r="G67" s="2" t="inlineStr">
        <is>
          <t>«Котра Балт», при участии Киностудии имени А. Довженко</t>
        </is>
      </c>
      <c r="H67" s="2" t="n">
        <v>149</v>
      </c>
      <c r="I67" s="2" t="inlineStr">
        <is>
          <t>да</t>
        </is>
      </c>
      <c r="J67" s="2" t="inlineStr"/>
      <c r="K67" s="3" t="inlineStr">
        <is>
          <t>"Афганец" - первый фильм дилогии - рассказывает о нелегкой судьбе воина - афганца Ивана Коваля, попавшего к душманам и испытавшего все ужасы плена...</t>
        </is>
      </c>
      <c r="L67" s="2" t="inlineStr">
        <is>
          <t>Кино_СССР сводный каталог.xlsx: список фильмов (доп.)</t>
        </is>
      </c>
      <c r="M67" s="2">
        <f>HYPERLINK("https://ru.wikipedia.org/w/index.php?search=%D0%90%D1%84%D0%B3%D0%B0%D0%BD%D0%B5%D1%86%201991%20%D1%84%D0%B8%D0%BB%D1%8C%D0%BC","искать")</f>
        <v/>
      </c>
      <c r="N67" s="3" t="n"/>
      <c r="O67" s="2" t="n"/>
    </row>
    <row r="68">
      <c r="A68" s="2" t="n">
        <v>67</v>
      </c>
      <c r="B68" s="2" t="inlineStr">
        <is>
          <t>обрыв</t>
        </is>
      </c>
      <c r="C68" s="2" t="n">
        <v>9097</v>
      </c>
      <c r="D68" s="3" t="inlineStr">
        <is>
          <t>Телохранитель</t>
        </is>
      </c>
      <c r="E68" s="2" t="n">
        <v>1991</v>
      </c>
      <c r="F68" s="2" t="inlineStr">
        <is>
          <t>кинофильм</t>
        </is>
      </c>
      <c r="G68" s="2" t="n"/>
      <c r="H68" s="2" t="n">
        <v>150</v>
      </c>
      <c r="I68" s="2" t="inlineStr">
        <is>
          <t>да</t>
        </is>
      </c>
      <c r="J68" s="2" t="inlineStr"/>
      <c r="K68" s="3" t="inlineStr">
        <is>
          <t>По одноименной повести Сергея Валяева. Москва 70-х. Герой фильма - телохранитель - становится свидетелем преступления высокопоставленных чиновников...</t>
        </is>
      </c>
      <c r="L68" s="2" t="inlineStr">
        <is>
          <t>Кино_СССР сводный каталог.xlsx: список фильмов (доп.)</t>
        </is>
      </c>
      <c r="M68" s="2">
        <f>HYPERLINK("https://ru.wikipedia.org/w/index.php?search=%D0%A2%D0%B5%D0%BB%D0%BE%D1%85%D1%80%D0%B0%D0%BD%D0%B8%D1%82%D0%B5%D0%BB%D1%8C%201991%20%D1%84%D0%B8%D0%BB%D1%8C%D0%BC","искать")</f>
        <v/>
      </c>
      <c r="N68" s="3" t="n"/>
      <c r="O68" s="2" t="n"/>
    </row>
    <row r="69">
      <c r="A69" s="2" t="n">
        <v>68</v>
      </c>
      <c r="B69" s="2" t="inlineStr">
        <is>
          <t>обрыв</t>
        </is>
      </c>
      <c r="C69" s="2" t="n">
        <v>10143</v>
      </c>
      <c r="D69" s="3" t="inlineStr">
        <is>
          <t>Комната</t>
        </is>
      </c>
      <c r="E69" s="2" t="n">
        <v>1965</v>
      </c>
      <c r="F69" s="2" t="inlineStr">
        <is>
          <t>фильм-спектакль</t>
        </is>
      </c>
      <c r="G69" s="2" t="inlineStr">
        <is>
          <t>Центральное телевидение</t>
        </is>
      </c>
      <c r="H69" s="2" t="n">
        <v>150</v>
      </c>
      <c r="I69" s="2" t="inlineStr">
        <is>
          <t>да</t>
        </is>
      </c>
      <c r="J69" s="2" t="inlineStr"/>
      <c r="K69" s="3" t="inlineStr">
        <is>
          <t>По пьесе Бориса Ермолаева.
Двое любят друг друга и хотят жить вместе, но им негде. И тут у них появляется комната. Друзья решают отметить это событие…</t>
        </is>
      </c>
      <c r="L69" s="2" t="inlineStr">
        <is>
          <t>https://www.kino-teatr.ru/teatr/movie/136076/annot/</t>
        </is>
      </c>
      <c r="M69" s="2">
        <f>HYPERLINK("https://ru.wikipedia.org/w/index.php?search=%D0%9A%D0%BE%D0%BC%D0%BD%D0%B0%D1%82%D0%B0%201965%20%D1%84%D0%B8%D0%BB%D1%8C%D0%BC","искать")</f>
        <v/>
      </c>
      <c r="N69" s="3" t="n"/>
      <c r="O69" s="2" t="n"/>
    </row>
    <row r="70">
      <c r="A70" s="2" t="n">
        <v>69</v>
      </c>
      <c r="B70" s="2" t="inlineStr">
        <is>
          <t>обрыв</t>
        </is>
      </c>
      <c r="C70" s="2" t="n">
        <v>7191</v>
      </c>
      <c r="D70" s="3" t="inlineStr">
        <is>
          <t>Адам женится на Еве</t>
        </is>
      </c>
      <c r="E70" s="2" t="n">
        <v>1980</v>
      </c>
      <c r="F70" s="2" t="inlineStr">
        <is>
          <t>телефильм</t>
        </is>
      </c>
      <c r="G70" s="2" t="inlineStr">
        <is>
          <t>ТО «Экран»</t>
        </is>
      </c>
      <c r="H70" s="2" t="n">
        <v>151</v>
      </c>
      <c r="I70" s="2" t="inlineStr">
        <is>
          <t>да</t>
        </is>
      </c>
      <c r="J70" s="2" t="inlineStr"/>
      <c r="K70" s="3" t="inlineStr">
        <is>
          <t>По мотивам пьесы Р.Штраля. Действие происходит во время заседания вымышленного суда, на котором решается вопрос, могут ли Адам и Ева стать супругами...</t>
        </is>
      </c>
      <c r="L70" s="2" t="inlineStr">
        <is>
          <t>Кино_СССР сводный каталог.xlsx: список телефильмов</t>
        </is>
      </c>
      <c r="M70" s="2">
        <f>HYPERLINK("https://ru.wikipedia.org/w/index.php?search=%D0%90%D0%B4%D0%B0%D0%BC%20%D0%B6%D0%B5%D0%BD%D0%B8%D1%82%D1%81%D1%8F%20%D0%BD%D0%B0%20%D0%95%D0%B2%D0%B5%201980%20%D1%84%D0%B8%D0%BB%D1%8C%D0%BC","искать")</f>
        <v/>
      </c>
      <c r="N70" s="3" t="n"/>
      <c r="O70" s="2" t="n"/>
    </row>
    <row r="71">
      <c r="A71" s="2" t="n">
        <v>70</v>
      </c>
      <c r="B71" s="2" t="inlineStr">
        <is>
          <t>обрыв</t>
        </is>
      </c>
      <c r="C71" s="2" t="n">
        <v>7272</v>
      </c>
      <c r="D71" s="3" t="inlineStr">
        <is>
          <t>Бродяги Севера</t>
        </is>
      </c>
      <c r="E71" s="2" t="n">
        <v>1983</v>
      </c>
      <c r="F71" s="2" t="inlineStr">
        <is>
          <t>телефильм</t>
        </is>
      </c>
      <c r="G71" s="2" t="n"/>
      <c r="H71" s="2" t="n">
        <v>152</v>
      </c>
      <c r="I71" s="2" t="inlineStr">
        <is>
          <t>да</t>
        </is>
      </c>
      <c r="J71" s="2" t="inlineStr">
        <is>
          <t>да</t>
        </is>
      </c>
      <c r="K71" s="3" t="inlineStr">
        <is>
          <t>По одноименной повести канадского писателя Джеймса Оливера Кервуда. Рассказ о жизни природы, о дружбе и верности щенка Мики и бурого медвежонка Неевы...</t>
        </is>
      </c>
      <c r="L71" s="2" t="inlineStr">
        <is>
          <t>Кино_СССР сводный каталог.xlsx: список телефильмов</t>
        </is>
      </c>
      <c r="M71" s="2">
        <f>HYPERLINK("https://ru.wikipedia.org/w/index.php?search=%D0%91%D1%80%D0%BE%D0%B4%D1%8F%D0%B3%D0%B8%20%D0%A1%D0%B5%D0%B2%D0%B5%D1%80%D0%B0%201983%20%D1%84%D0%B8%D0%BB%D1%8C%D0%BC","искать")</f>
        <v/>
      </c>
      <c r="N71" s="3" t="n"/>
      <c r="O71" s="2" t="n"/>
    </row>
    <row r="72">
      <c r="A72" s="2" t="n">
        <v>71</v>
      </c>
      <c r="B72" s="2" t="inlineStr">
        <is>
          <t>обрыв</t>
        </is>
      </c>
      <c r="C72" s="2" t="n">
        <v>9421</v>
      </c>
      <c r="D72" s="3" t="inlineStr">
        <is>
          <t>Когда святые маршируют</t>
        </is>
      </c>
      <c r="E72" s="2" t="n">
        <v>1990</v>
      </c>
      <c r="F72" s="2" t="inlineStr">
        <is>
          <t>кинофильм</t>
        </is>
      </c>
      <c r="G72" s="2" t="n"/>
      <c r="H72" s="2" t="n">
        <v>152</v>
      </c>
      <c r="I72" s="2" t="inlineStr">
        <is>
          <t>да</t>
        </is>
      </c>
      <c r="J72" s="2" t="inlineStr"/>
      <c r="K72" s="3" t="inlineStr">
        <is>
          <t>Жизнь разбросала участников первого Ленинградского джаз-банда. Накануне тридцатилетия джаз-клуба один из энтузиастов пытается собрать всех музыкантов...</t>
        </is>
      </c>
      <c r="L72" s="2" t="inlineStr">
        <is>
          <t>Кино_СССР сводный каталог.xlsx: список фильмов (доп.)</t>
        </is>
      </c>
      <c r="M72" s="2">
        <f>HYPERLINK("https://ru.wikipedia.org/w/index.php?search=%D0%9A%D0%BE%D0%B3%D0%B4%D0%B0%20%D1%81%D0%B2%D1%8F%D1%82%D1%8B%D0%B5%20%D0%BC%D0%B0%D1%80%D1%88%D0%B8%D1%80%D1%83%D1%8E%D1%82%201990%20%D1%84%D0%B8%D0%BB%D1%8C%D0%BC","искать")</f>
        <v/>
      </c>
      <c r="N72" s="3" t="n"/>
      <c r="O72" s="2" t="n"/>
    </row>
    <row r="73">
      <c r="A73" s="2" t="n">
        <v>72</v>
      </c>
      <c r="B73" s="2" t="inlineStr">
        <is>
          <t>обрыв</t>
        </is>
      </c>
      <c r="C73" s="2" t="n">
        <v>9337</v>
      </c>
      <c r="D73" s="3" t="inlineStr">
        <is>
          <t>Динозавры ХХ века</t>
        </is>
      </c>
      <c r="E73" s="2" t="n">
        <v>1990</v>
      </c>
      <c r="F73" s="2" t="inlineStr">
        <is>
          <t>кинофильм</t>
        </is>
      </c>
      <c r="G73" s="2" t="n"/>
      <c r="H73" s="2" t="n">
        <v>153</v>
      </c>
      <c r="I73" s="2" t="inlineStr">
        <is>
          <t>да</t>
        </is>
      </c>
      <c r="J73" s="2" t="inlineStr"/>
      <c r="K73" s="3" t="inlineStr">
        <is>
          <t>Вернувшись в родную деревню, демобилизованный десантник узнает, что его брат стал жертвой наркомафии. Он решает отомстить за его смерть и едет в город...</t>
        </is>
      </c>
      <c r="L73" s="2" t="inlineStr">
        <is>
          <t>Кино_СССР сводный каталог.xlsx: список фильмов (доп.)</t>
        </is>
      </c>
      <c r="M73" s="2">
        <f>HYPERLINK("https://ru.wikipedia.org/w/index.php?search=%D0%94%D0%B8%D0%BD%D0%BE%D0%B7%D0%B0%D0%B2%D1%80%D1%8B%20%D0%A5%D0%A5%20%D0%B2%D0%B5%D0%BA%D0%B0%201990%20%D1%84%D0%B8%D0%BB%D1%8C%D0%BC","искать")</f>
        <v/>
      </c>
      <c r="N73" s="3" t="n"/>
      <c r="O73" s="2" t="n"/>
    </row>
    <row r="74">
      <c r="A74" s="2" t="n">
        <v>73</v>
      </c>
      <c r="B74" s="2" t="inlineStr">
        <is>
          <t>обрыв</t>
        </is>
      </c>
      <c r="C74" s="2" t="n">
        <v>9470</v>
      </c>
      <c r="D74" s="3" t="inlineStr">
        <is>
          <t>Мерзавец</t>
        </is>
      </c>
      <c r="E74" s="2" t="n">
        <v>1988</v>
      </c>
      <c r="F74" s="2" t="inlineStr">
        <is>
          <t>кинофильм</t>
        </is>
      </c>
      <c r="G74" s="2" t="n"/>
      <c r="H74" s="2" t="n">
        <v>155</v>
      </c>
      <c r="I74" s="2" t="inlineStr">
        <is>
          <t>да</t>
        </is>
      </c>
      <c r="J74" s="2" t="inlineStr"/>
      <c r="K74" s="3" t="inlineStr">
        <is>
          <t>Желая избавиться от насмешек и амплуа неудачника, Хаттам в короткий срок делает головокружительную карьеру - от рабочего до директора сувенирной фабрики...</t>
        </is>
      </c>
      <c r="L74" s="2" t="inlineStr">
        <is>
          <t>Кино_СССР сводный каталог.xlsx: список фильмов (доп.)</t>
        </is>
      </c>
      <c r="M74" s="2">
        <f>HYPERLINK("https://ru.wikipedia.org/w/index.php?search=%D0%9C%D0%B5%D1%80%D0%B7%D0%B0%D0%B2%D0%B5%D1%86%201988%20%D1%84%D0%B8%D0%BB%D1%8C%D0%BC","искать")</f>
        <v/>
      </c>
      <c r="N74" s="3" t="n"/>
      <c r="O74" s="2" t="n"/>
    </row>
    <row r="75">
      <c r="A75" s="2" t="n">
        <v>74</v>
      </c>
      <c r="B75" s="2" t="inlineStr">
        <is>
          <t>обрыв</t>
        </is>
      </c>
      <c r="C75" s="2" t="n">
        <v>10043</v>
      </c>
      <c r="D75" s="3" t="inlineStr">
        <is>
          <t>Возвращение</t>
        </is>
      </c>
      <c r="E75" s="2" t="n">
        <v>1990</v>
      </c>
      <c r="F75" s="2" t="inlineStr">
        <is>
          <t>телефильм</t>
        </is>
      </c>
      <c r="G75" s="2" t="inlineStr">
        <is>
          <t>Грузия-фильм</t>
        </is>
      </c>
      <c r="H75" s="2" t="n">
        <v>155</v>
      </c>
      <c r="I75" s="2" t="inlineStr">
        <is>
          <t>да</t>
        </is>
      </c>
      <c r="J75" s="2" t="inlineStr"/>
      <c r="K75" s="3" t="inlineStr">
        <is>
          <t>Телефильм. Новелла.
Молодой человек за три месяца до освобождения сбегает из тюрьмы, но после общения с отцом и друзьями решает заявить о себе в милицию...</t>
        </is>
      </c>
      <c r="L75" s="2" t="inlineStr">
        <is>
          <t>https://www.kino-teatr.ru/short/movie/sov/12430/annot/</t>
        </is>
      </c>
      <c r="M75" s="2">
        <f>HYPERLINK("https://ru.wikipedia.org/w/index.php?search=%D0%92%D0%BE%D0%B7%D0%B2%D1%80%D0%B0%D1%89%D0%B5%D0%BD%D0%B8%D0%B5%201990%20%D1%84%D0%B8%D0%BB%D1%8C%D0%BC","искать")</f>
        <v/>
      </c>
      <c r="N75" s="3" t="n"/>
      <c r="O75" s="2" t="n"/>
    </row>
    <row r="76">
      <c r="A76" s="2" t="n">
        <v>75</v>
      </c>
      <c r="B76" s="2" t="inlineStr">
        <is>
          <t>обрыв</t>
        </is>
      </c>
      <c r="C76" s="2" t="n">
        <v>8601</v>
      </c>
      <c r="D76" s="3" t="inlineStr">
        <is>
          <t>Эффект Ромашкина</t>
        </is>
      </c>
      <c r="E76" s="2" t="n">
        <v>1973</v>
      </c>
      <c r="F76" s="2" t="inlineStr">
        <is>
          <t>телефильм</t>
        </is>
      </c>
      <c r="G76" s="2" t="n"/>
      <c r="H76" s="2" t="n">
        <v>156</v>
      </c>
      <c r="I76" s="2" t="inlineStr">
        <is>
          <t>да</t>
        </is>
      </c>
      <c r="J76" s="2" t="inlineStr"/>
      <c r="K76" s="3" t="inlineStr">
        <is>
          <t>Телефильм о четырех друзьях-кинолюбителях Маше, Тамаре, Алексее и Егоре, которые отозвались на просьбу молокозавода снять рекламный фильм о пользе кефира...</t>
        </is>
      </c>
      <c r="L76" s="2" t="inlineStr">
        <is>
          <t>Кино_СССР сводный каталог.xlsx: список телефильмов</t>
        </is>
      </c>
      <c r="M76" s="2">
        <f>HYPERLINK("https://ru.wikipedia.org/w/index.php?search=%D0%AD%D1%84%D1%84%D0%B5%D0%BA%D1%82%20%D0%A0%D0%BE%D0%BC%D0%B0%D1%88%D0%BA%D0%B8%D0%BD%D0%B0%201973%20%D1%84%D0%B8%D0%BB%D1%8C%D0%BC","искать")</f>
        <v/>
      </c>
      <c r="N76" s="3" t="n"/>
      <c r="O76" s="2" t="n"/>
    </row>
    <row r="77">
      <c r="A77" s="2" t="n">
        <v>76</v>
      </c>
      <c r="B77" s="2" t="inlineStr">
        <is>
          <t>обрыв</t>
        </is>
      </c>
      <c r="C77" s="2" t="n">
        <v>9249</v>
      </c>
      <c r="D77" s="3" t="inlineStr">
        <is>
          <t>Болотная street, или Средство против секса</t>
        </is>
      </c>
      <c r="E77" s="2" t="n">
        <v>1991</v>
      </c>
      <c r="F77" s="2" t="inlineStr">
        <is>
          <t>кинофильм</t>
        </is>
      </c>
      <c r="G77" s="2" t="n"/>
      <c r="H77" s="2" t="n">
        <v>156</v>
      </c>
      <c r="I77" s="2" t="inlineStr">
        <is>
          <t>да</t>
        </is>
      </c>
      <c r="J77" s="2" t="inlineStr"/>
      <c r="K77" s="3" t="inlineStr">
        <is>
          <t>Место действия эксцентрическо-эротической комедии   высотный дом, а герои   его жильцы и пожарники, прибывшие тушить дом, вспыхнувший от "любовной" искры...</t>
        </is>
      </c>
      <c r="L77" s="2" t="inlineStr">
        <is>
          <t>Кино_СССР сводный каталог.xlsx: список фильмов (доп.)</t>
        </is>
      </c>
      <c r="M77" s="2">
        <f>HYPERLINK("https://ru.wikipedia.org/w/index.php?search=%D0%91%D0%BE%D0%BB%D0%BE%D1%82%D0%BD%D0%B0%D1%8F%20street%2C%20%D0%B8%D0%BB%D0%B8%20%D0%A1%D1%80%D0%B5%D0%B4%D1%81%D1%82%D0%B2%D0%BE%20%D0%BF%D1%80%D0%BE%D1%82%D0%B8%D0%B2%20%D1%81%D0%B5%D0%BA%D1%81%D0%B0%201991%20%D1%84%D0%B8%D0%BB%D1%8C%D0%BC","искать")</f>
        <v/>
      </c>
      <c r="N77" s="3" t="n"/>
      <c r="O77" s="2" t="n"/>
    </row>
    <row r="78">
      <c r="A78" s="2" t="n">
        <v>77</v>
      </c>
      <c r="B78" s="2" t="inlineStr">
        <is>
          <t>обрыв</t>
        </is>
      </c>
      <c r="C78" s="2" t="n">
        <v>10373</v>
      </c>
      <c r="D78" s="3" t="inlineStr">
        <is>
          <t>Тим Талер, или Проданный смех</t>
        </is>
      </c>
      <c r="E78" s="2" t="n">
        <v>1970</v>
      </c>
      <c r="F78" s="2" t="inlineStr">
        <is>
          <t>фильм-спектакль</t>
        </is>
      </c>
      <c r="G78" s="2" t="inlineStr">
        <is>
          <t>Ленинградское ТВ</t>
        </is>
      </c>
      <c r="H78" s="2" t="n">
        <v>157</v>
      </c>
      <c r="I78" s="2" t="inlineStr">
        <is>
          <t>да</t>
        </is>
      </c>
      <c r="J78" s="2" t="inlineStr"/>
      <c r="K78" s="3" t="inlineStr">
        <is>
          <t>По сказочно-философской повести Джеймса Крюса.
Мальчик заключает сделку с чертом, продав ему свой смех. Но вскоре он понимает, что не все в мире продается...</t>
        </is>
      </c>
      <c r="L78" s="2" t="inlineStr">
        <is>
          <t>https://www.kino-teatr.ru/teatr/movie/79273/annot/</t>
        </is>
      </c>
      <c r="M78" s="2">
        <f>HYPERLINK("https://ru.wikipedia.org/w/index.php?search=%D0%A2%D0%B8%D0%BC%20%D0%A2%D0%B0%D0%BB%D0%B5%D1%80%2C%20%D0%B8%D0%BB%D0%B8%20%D0%9F%D1%80%D0%BE%D0%B4%D0%B0%D0%BD%D0%BD%D1%8B%D0%B9%20%D1%81%D0%BC%D0%B5%D1%85%201970%20%D1%84%D0%B8%D0%BB%D1%8C%D0%BC","искать")</f>
        <v/>
      </c>
      <c r="N78" s="3" t="n"/>
      <c r="O78" s="2" t="n"/>
    </row>
    <row r="79">
      <c r="A79" s="2" t="n">
        <v>78</v>
      </c>
      <c r="B79" s="2" t="inlineStr">
        <is>
          <t>обрыв</t>
        </is>
      </c>
      <c r="C79" s="2" t="n">
        <v>11178</v>
      </c>
      <c r="D79" s="3" t="inlineStr">
        <is>
          <t>Парижский поезд</t>
        </is>
      </c>
      <c r="E79" s="2" t="n">
        <v>1987</v>
      </c>
      <c r="F79" s="2" t="inlineStr">
        <is>
          <t>фильм-спектакль</t>
        </is>
      </c>
      <c r="G79" s="2" t="inlineStr">
        <is>
          <t>Литовское телевидение</t>
        </is>
      </c>
      <c r="H79" s="2" t="n">
        <v>157</v>
      </c>
      <c r="I79" s="2" t="inlineStr">
        <is>
          <t>да</t>
        </is>
      </c>
      <c r="J79" s="2" t="inlineStr"/>
      <c r="K79" s="3" t="inlineStr">
        <is>
          <t>Спектакль об экзистенции человека, о желании вырваться из монотонной провинциальной жизни в Париж и - наконец - понимание преимуществ провинциальной жизни...</t>
        </is>
      </c>
      <c r="L79" s="2" t="inlineStr">
        <is>
          <t>https://www.kino-teatr.ru/teatr/movie/105788/annot/</t>
        </is>
      </c>
      <c r="M79" s="2">
        <f>HYPERLINK("https://ru.wikipedia.org/w/index.php?search=%D0%9F%D0%B0%D1%80%D0%B8%D0%B6%D1%81%D0%BA%D0%B8%D0%B9%20%D0%BF%D0%BE%D0%B5%D0%B7%D0%B4%201987%20%D1%84%D0%B8%D0%BB%D1%8C%D0%BC","искать")</f>
        <v/>
      </c>
      <c r="N79" s="3" t="n"/>
      <c r="O79" s="2" t="n"/>
    </row>
    <row r="80">
      <c r="A80" s="2" t="n">
        <v>79</v>
      </c>
      <c r="B80" s="2" t="inlineStr">
        <is>
          <t>обрыв</t>
        </is>
      </c>
      <c r="C80" s="2" t="n">
        <v>8064</v>
      </c>
      <c r="D80" s="3" t="inlineStr">
        <is>
          <t>Отдать швартовы!</t>
        </is>
      </c>
      <c r="E80" s="2" t="n">
        <v>1971</v>
      </c>
      <c r="F80" s="2" t="inlineStr">
        <is>
          <t>телефильм</t>
        </is>
      </c>
      <c r="G80" s="2" t="n"/>
      <c r="H80" s="2" t="n">
        <v>158</v>
      </c>
      <c r="I80" s="2" t="inlineStr">
        <is>
          <t>да</t>
        </is>
      </c>
      <c r="J80" s="2" t="inlineStr"/>
      <c r="K80" s="3" t="inlineStr">
        <is>
          <t>Отправившись на поиски клада, ребята попадают на учебный корабль. Забыв о своих детских фантазиях, юные герои совершают на нем поход по местам боевой славы...</t>
        </is>
      </c>
      <c r="L80" s="2" t="inlineStr">
        <is>
          <t>Кино_СССР сводный каталог.xlsx: список телефильмов</t>
        </is>
      </c>
      <c r="M80" s="2">
        <f>HYPERLINK("https://ru.wikipedia.org/w/index.php?search=%D0%9E%D1%82%D0%B4%D0%B0%D1%82%D1%8C%20%D1%88%D0%B2%D0%B0%D1%80%D1%82%D0%BE%D0%B2%D1%8B%21%201971%20%D1%84%D0%B8%D0%BB%D1%8C%D0%BC","искать")</f>
        <v/>
      </c>
      <c r="N80" s="3" t="n"/>
      <c r="O80" s="2" t="n"/>
    </row>
    <row r="81">
      <c r="A81" s="2" t="n">
        <v>80</v>
      </c>
      <c r="B81" s="2" t="inlineStr">
        <is>
          <t>обрыв</t>
        </is>
      </c>
      <c r="C81" s="2" t="n">
        <v>8449</v>
      </c>
      <c r="D81" s="3" t="inlineStr">
        <is>
          <t>Тень, или Может быть, всё обойдётся</t>
        </is>
      </c>
      <c r="E81" s="2" t="n">
        <v>1991</v>
      </c>
      <c r="F81" s="2" t="inlineStr">
        <is>
          <t>телефильм</t>
        </is>
      </c>
      <c r="G81" s="2" t="n"/>
      <c r="H81" s="2" t="n">
        <v>158</v>
      </c>
      <c r="I81" s="2" t="inlineStr">
        <is>
          <t>да</t>
        </is>
      </c>
      <c r="J81" s="2" t="inlineStr"/>
      <c r="K81" s="3" t="inlineStr">
        <is>
          <t>Философская сказка для взрослых по пьесе Евгения Шварца «Тень». О том, как профессора одолевала его собственная тень. Тень захотела заменить собой человека...</t>
        </is>
      </c>
      <c r="L81" s="2" t="inlineStr">
        <is>
          <t>Кино_СССР сводный каталог.xlsx: список телефильмов</t>
        </is>
      </c>
      <c r="M81" s="2">
        <f>HYPERLINK("https://ru.wikipedia.org/w/index.php?search=%D0%A2%D0%B5%D0%BD%D1%8C%2C%20%D0%B8%D0%BB%D0%B8%20%D0%9C%D0%BE%D0%B6%D0%B5%D1%82%20%D0%B1%D1%8B%D1%82%D1%8C%2C%20%D0%B2%D1%81%D1%91%20%D0%BE%D0%B1%D0%BE%D0%B9%D0%B4%D1%91%D1%82%D1%81%D1%8F%201991%20%D1%84%D0%B8%D0%BB%D1%8C%D0%BC","искать")</f>
        <v/>
      </c>
      <c r="N81" s="3" t="n"/>
      <c r="O81" s="2" t="n"/>
    </row>
    <row r="82">
      <c r="A82" s="2" t="n">
        <v>81</v>
      </c>
      <c r="B82" s="2" t="inlineStr">
        <is>
          <t>обрыв</t>
        </is>
      </c>
      <c r="C82" s="2" t="n">
        <v>10089</v>
      </c>
      <c r="D82" s="3" t="inlineStr">
        <is>
          <t>Ревизор</t>
        </is>
      </c>
      <c r="E82" s="2" t="n">
        <v>1961</v>
      </c>
      <c r="F82" s="2" t="inlineStr">
        <is>
          <t>фильм-спектакль</t>
        </is>
      </c>
      <c r="G82" s="2" t="inlineStr">
        <is>
          <t>Radiotelevisão Portuguesa (RTP)</t>
        </is>
      </c>
      <c r="H82" s="2" t="n">
        <v>158</v>
      </c>
      <c r="I82" s="2" t="inlineStr">
        <is>
          <t>да</t>
        </is>
      </c>
      <c r="J82" s="2" t="inlineStr"/>
      <c r="K82" s="3" t="inlineStr">
        <is>
          <t>Телеэкранизация пьесы Николая Гоголя, перевод и адаптация Энрикета Лейтан.
История чиновника, который, выдавая себя за ревизора и пользуется этой ситуацией...</t>
        </is>
      </c>
      <c r="L82" s="2" t="inlineStr">
        <is>
          <t>https://www.kino-teatr.ru/teatr/movie/120204/annot/</t>
        </is>
      </c>
      <c r="M82" s="2">
        <f>HYPERLINK("https://ru.wikipedia.org/w/index.php?search=%D0%A0%D0%B5%D0%B2%D0%B8%D0%B7%D0%BE%D1%80%201961%20%D1%84%D0%B8%D0%BB%D1%8C%D0%BC","искать")</f>
        <v/>
      </c>
      <c r="N82" s="3" t="n"/>
      <c r="O82" s="2" t="n"/>
    </row>
    <row r="83">
      <c r="A83" s="2" t="n">
        <v>82</v>
      </c>
      <c r="B83" s="2" t="inlineStr">
        <is>
          <t>обрыв</t>
        </is>
      </c>
      <c r="C83" s="2" t="n">
        <v>8368</v>
      </c>
      <c r="D83" s="3" t="inlineStr">
        <is>
          <t>Снег в сентябре</t>
        </is>
      </c>
      <c r="E83" s="2" t="n">
        <v>1984</v>
      </c>
      <c r="F83" s="2" t="inlineStr">
        <is>
          <t>телефильм</t>
        </is>
      </c>
      <c r="G83" s="2" t="n"/>
      <c r="H83" s="2" t="n">
        <v>159</v>
      </c>
      <c r="I83" s="2" t="inlineStr">
        <is>
          <t>да</t>
        </is>
      </c>
      <c r="J83" s="2" t="inlineStr"/>
      <c r="K83" s="3" t="inlineStr">
        <is>
          <t>По рассказу Ф.Искандера "Заира". Ученый-историк Сергей приезжает на родину в Кабардино-Балкарию. Он встречает давно им любимую Заиру, с которой он расстался...</t>
        </is>
      </c>
      <c r="L83" s="2" t="inlineStr">
        <is>
          <t>Кино_СССР сводный каталог.xlsx: список телефильмов</t>
        </is>
      </c>
      <c r="M83" s="2">
        <f>HYPERLINK("https://ru.wikipedia.org/w/index.php?search=%D0%A1%D0%BD%D0%B5%D0%B3%20%D0%B2%20%D1%81%D0%B5%D0%BD%D1%82%D1%8F%D0%B1%D1%80%D0%B5%201984%20%D1%84%D0%B8%D0%BB%D1%8C%D0%BC","искать")</f>
        <v/>
      </c>
      <c r="N83" s="3" t="n"/>
      <c r="O83" s="2" t="n"/>
    </row>
    <row r="84">
      <c r="A84" s="2" t="n">
        <v>83</v>
      </c>
      <c r="B84" s="2" t="inlineStr">
        <is>
          <t>обрыв</t>
        </is>
      </c>
      <c r="C84" s="2" t="n">
        <v>9080</v>
      </c>
      <c r="D84" s="3" t="inlineStr">
        <is>
          <t>Счастливого рождества в Париже! или Банда лесбиянок</t>
        </is>
      </c>
      <c r="E84" s="2" t="n">
        <v>1991</v>
      </c>
      <c r="F84" s="2" t="inlineStr">
        <is>
          <t>кинофильм</t>
        </is>
      </c>
      <c r="G84" s="2" t="n"/>
      <c r="H84" s="2" t="n">
        <v>159</v>
      </c>
      <c r="I84" s="2" t="inlineStr">
        <is>
          <t>да</t>
        </is>
      </c>
      <c r="J84" s="2" t="inlineStr"/>
      <c r="K84" s="3" t="inlineStr">
        <is>
          <t>Юные, обаятельные девицы - Рыжик, Черныш, Ландыш и Ирина - вымогают деньги у пожилых мужчин. В эту семью-компанию входит еще и телохранитель по кличке Бабан...</t>
        </is>
      </c>
      <c r="L84" s="2" t="inlineStr">
        <is>
          <t>Кино_СССР сводный каталог.xlsx: список фильмов (доп.)</t>
        </is>
      </c>
      <c r="M84" s="2">
        <f>HYPERLINK("https://ru.wikipedia.org/w/index.php?search=%D0%A1%D1%87%D0%B0%D1%81%D1%82%D0%BB%D0%B8%D0%B2%D0%BE%D0%B3%D0%BE%20%D1%80%D0%BE%D0%B6%D0%B4%D0%B5%D1%81%D1%82%D0%B2%D0%B0%20%D0%B2%20%D0%9F%D0%B0%D1%80%D0%B8%D0%B6%D0%B5%21%20%D0%B8%D0%BB%D0%B8%20%D0%91%D0%B0%D0%BD%D0%B4%D0%B0%20%D0%BB%D0%B5%D1%81%D0%B1%D0%B8%D1%8F%D0%BD%D0%BE%D0%BA%201991%20%D1%84%D0%B8%D0%BB%D1%8C%D0%BC","искать")</f>
        <v/>
      </c>
      <c r="N84" s="3" t="n"/>
      <c r="O84" s="2" t="n"/>
    </row>
    <row r="85">
      <c r="A85" s="2" t="n">
        <v>84</v>
      </c>
      <c r="B85" s="2" t="inlineStr">
        <is>
          <t>обрыв</t>
        </is>
      </c>
      <c r="C85" s="2" t="n">
        <v>10389</v>
      </c>
      <c r="D85" s="3" t="inlineStr">
        <is>
          <t>Дни нашей жизни</t>
        </is>
      </c>
      <c r="E85" s="2" t="n">
        <v>1971</v>
      </c>
      <c r="F85" s="2" t="inlineStr">
        <is>
          <t>фильм-спектакль</t>
        </is>
      </c>
      <c r="G85" s="2" t="inlineStr">
        <is>
          <t>Гл. ред. лит.-драм. программ</t>
        </is>
      </c>
      <c r="H85" s="2" t="n">
        <v>159</v>
      </c>
      <c r="I85" s="2" t="inlineStr">
        <is>
          <t>да</t>
        </is>
      </c>
      <c r="J85" s="2" t="inlineStr"/>
      <c r="K85" s="3" t="inlineStr">
        <is>
          <t>По одноименной пьесе Л.Н.Андреева в исполнении актеров московского театра им. А.С.Пушкина.
Студент Николай и девушка из бедной семьи Оля полюбили друг друга...</t>
        </is>
      </c>
      <c r="L85" s="2" t="inlineStr">
        <is>
          <t>https://www.kino-teatr.ru/teatr/movie/93007/annot/</t>
        </is>
      </c>
      <c r="M85" s="2">
        <f>HYPERLINK("https://ru.wikipedia.org/w/index.php?search=%D0%94%D0%BD%D0%B8%20%D0%BD%D0%B0%D1%88%D0%B5%D0%B9%20%D0%B6%D0%B8%D0%B7%D0%BD%D0%B8%201971%20%D1%84%D0%B8%D0%BB%D1%8C%D0%BC","искать")</f>
        <v/>
      </c>
      <c r="N85" s="3" t="n"/>
      <c r="O85" s="2" t="n"/>
    </row>
    <row r="86">
      <c r="A86" s="2" t="n">
        <v>85</v>
      </c>
      <c r="B86" s="2" t="inlineStr">
        <is>
          <t>обрыв</t>
        </is>
      </c>
      <c r="C86" s="2" t="n">
        <v>7728</v>
      </c>
      <c r="D86" s="3" t="inlineStr">
        <is>
          <t>Клад</t>
        </is>
      </c>
      <c r="E86" s="2" t="n">
        <v>1988</v>
      </c>
      <c r="F86" s="2" t="inlineStr">
        <is>
          <t>телефильм</t>
        </is>
      </c>
      <c r="G86" s="2" t="n"/>
      <c r="H86" s="2" t="n">
        <v>160</v>
      </c>
      <c r="I86" s="2" t="inlineStr">
        <is>
          <t>да</t>
        </is>
      </c>
      <c r="J86" s="2" t="inlineStr"/>
      <c r="K86" s="3" t="inlineStr">
        <is>
          <t>Во время полевых работ шоферы находят клад золотых монет. Герои не против сдать его государству, но никто не хочет брать ответственность за сохранность клада...</t>
        </is>
      </c>
      <c r="L86" s="2" t="inlineStr">
        <is>
          <t>Кино_СССР сводный каталог.xlsx: список телефильмов</t>
        </is>
      </c>
      <c r="M86" s="2">
        <f>HYPERLINK("https://ru.wikipedia.org/w/index.php?search=%D0%9A%D0%BB%D0%B0%D0%B4%201988%20%D1%84%D0%B8%D0%BB%D1%8C%D0%BC","искать")</f>
        <v/>
      </c>
      <c r="N86" s="3" t="n"/>
      <c r="O86" s="2" t="n"/>
    </row>
    <row r="87">
      <c r="A87" s="2" t="n">
        <v>86</v>
      </c>
      <c r="B87" s="2" t="inlineStr">
        <is>
          <t>обрыв</t>
        </is>
      </c>
      <c r="C87" s="2" t="n">
        <v>8491</v>
      </c>
      <c r="D87" s="3" t="inlineStr">
        <is>
          <t>Ты не один</t>
        </is>
      </c>
      <c r="E87" s="2" t="n">
        <v>1963</v>
      </c>
      <c r="F87" s="2" t="inlineStr">
        <is>
          <t>телефильм</t>
        </is>
      </c>
      <c r="G87" s="2" t="inlineStr">
        <is>
          <t>Мосфильм</t>
        </is>
      </c>
      <c r="H87" s="2" t="n">
        <v>160</v>
      </c>
      <c r="I87" s="2" t="inlineStr">
        <is>
          <t>да</t>
        </is>
      </c>
      <c r="J87" s="2" t="inlineStr"/>
      <c r="K87" s="3" t="inlineStr">
        <is>
          <t>Телефильм по мотивам повести Г.Беленького. Мальчишка-подросток, сирота, устраивается на завод, и начинает познавать другую — взрослую и ответственную — жизнь...</t>
        </is>
      </c>
      <c r="L87" s="2" t="inlineStr">
        <is>
          <t>Кино_СССР сводный каталог.xlsx: список телефильмов</t>
        </is>
      </c>
      <c r="M87" s="2">
        <f>HYPERLINK("https://ru.wikipedia.org/w/index.php?search=%D0%A2%D1%8B%20%D0%BD%D0%B5%20%D0%BE%D0%B4%D0%B8%D0%BD%201963%20%D1%84%D0%B8%D0%BB%D1%8C%D0%BC","искать")</f>
        <v/>
      </c>
      <c r="N87" s="3" t="n"/>
      <c r="O87" s="2" t="n"/>
    </row>
    <row r="88">
      <c r="A88" s="2" t="n">
        <v>87</v>
      </c>
      <c r="B88" s="2" t="inlineStr">
        <is>
          <t>обрыв</t>
        </is>
      </c>
      <c r="C88" s="2" t="n">
        <v>8750</v>
      </c>
      <c r="D88" s="3" t="inlineStr">
        <is>
          <t>Исход</t>
        </is>
      </c>
      <c r="E88" s="2" t="n">
        <v>1990</v>
      </c>
      <c r="F88" s="2" t="inlineStr">
        <is>
          <t>кинофильм</t>
        </is>
      </c>
      <c r="G88" s="2" t="n"/>
      <c r="H88" s="2" t="n">
        <v>160</v>
      </c>
      <c r="I88" s="2" t="inlineStr">
        <is>
          <t>да</t>
        </is>
      </c>
      <c r="J88" s="2" t="inlineStr"/>
      <c r="K88" s="3" t="inlineStr">
        <is>
          <t>Вначале над ней долго и изощренно издевались. Потом убили. В зале суда отцу девочки стало понятно, что против подонков улик нет и суд придется вершить самому...</t>
        </is>
      </c>
      <c r="L88" s="2" t="inlineStr">
        <is>
          <t>Кино_СССР сводный каталог.xlsx: список фильмов (доп.)</t>
        </is>
      </c>
      <c r="M88" s="2">
        <f>HYPERLINK("https://ru.wikipedia.org/w/index.php?search=%D0%98%D1%81%D1%85%D0%BE%D0%B4%201990%20%D1%84%D0%B8%D0%BB%D1%8C%D0%BC","искать")</f>
        <v/>
      </c>
      <c r="N88" s="3" t="n"/>
      <c r="O88" s="2" t="n"/>
    </row>
    <row r="89">
      <c r="A89" s="2" t="n">
        <v>88</v>
      </c>
      <c r="B89" s="2" t="inlineStr">
        <is>
          <t>обрыв</t>
        </is>
      </c>
      <c r="C89" s="2" t="n">
        <v>10053</v>
      </c>
      <c r="D89" s="3" t="inlineStr">
        <is>
          <t>Кешка и спецназ</t>
        </is>
      </c>
      <c r="E89" s="2" t="n">
        <v>1991</v>
      </c>
      <c r="F89" s="2" t="inlineStr">
        <is>
          <t>телефильм</t>
        </is>
      </c>
      <c r="G89" s="2" t="inlineStr">
        <is>
          <t>СОЮЗТЕЛЕФИЛЬМ, АРЕНА (Беларусь)</t>
        </is>
      </c>
      <c r="H89" s="2" t="n">
        <v>161</v>
      </c>
      <c r="I89" s="2" t="inlineStr">
        <is>
          <t>да</t>
        </is>
      </c>
      <c r="J89" s="2" t="inlineStr"/>
      <c r="K89" s="3" t="inlineStr">
        <is>
          <t>Из-за неисправного будильника Кешка отправляется в школу глубокой ночью и в подъезде встречает квартирных воров. Эта встреча оказывается роковой для последних...</t>
        </is>
      </c>
      <c r="L89" s="2" t="inlineStr">
        <is>
          <t>https://www.kino-teatr.ru/short/movie/sov/2975/annot/</t>
        </is>
      </c>
      <c r="M89" s="2">
        <f>HYPERLINK("https://ru.wikipedia.org/w/index.php?search=%D0%9A%D0%B5%D1%88%D0%BA%D0%B0%20%D0%B8%20%D1%81%D0%BF%D0%B5%D1%86%D0%BD%D0%B0%D0%B7%201991%20%D1%84%D0%B8%D0%BB%D1%8C%D0%BC","искать")</f>
        <v/>
      </c>
      <c r="N89" s="3" t="n"/>
      <c r="O89" s="2" t="n"/>
    </row>
    <row r="90">
      <c r="A90" s="2" t="n">
        <v>89</v>
      </c>
      <c r="B90" s="2" t="inlineStr">
        <is>
          <t>обрыв</t>
        </is>
      </c>
      <c r="C90" s="2" t="n">
        <v>7702</v>
      </c>
      <c r="D90" s="3" t="inlineStr">
        <is>
          <t>Как я был вундеркиндом</t>
        </is>
      </c>
      <c r="E90" s="2" t="n">
        <v>1983</v>
      </c>
      <c r="F90" s="2" t="inlineStr">
        <is>
          <t>телефильм</t>
        </is>
      </c>
      <c r="G90" s="2" t="inlineStr">
        <is>
          <t>Беларусьфильм</t>
        </is>
      </c>
      <c r="H90" s="2" t="n">
        <v>162</v>
      </c>
      <c r="I90" s="2" t="inlineStr">
        <is>
          <t>да</t>
        </is>
      </c>
      <c r="J90" s="2" t="inlineStr"/>
      <c r="K90" s="3" t="inlineStr">
        <is>
          <t>Телефильм по мотивам повести Владимира Машкова. Школьник Сева Соколов (Арнас Катинас) сопротивляется намерениям родителей и бабушки сделать из него вундеркинда...</t>
        </is>
      </c>
      <c r="L90" s="2" t="inlineStr">
        <is>
          <t>Кино_СССР сводный каталог.xlsx: список телефильмов</t>
        </is>
      </c>
      <c r="M90" s="2">
        <f>HYPERLINK("https://ru.wikipedia.org/w/index.php?search=%D0%9A%D0%B0%D0%BA%20%D1%8F%20%D0%B1%D1%8B%D0%BB%20%D0%B2%D1%83%D0%BD%D0%B4%D0%B5%D1%80%D0%BA%D0%B8%D0%BD%D0%B4%D0%BE%D0%BC%201983%20%D1%84%D0%B8%D0%BB%D1%8C%D0%BC","искать")</f>
        <v/>
      </c>
      <c r="N90" s="3" t="n"/>
      <c r="O90" s="2" t="n"/>
    </row>
    <row r="91">
      <c r="A91" s="2" t="n">
        <v>90</v>
      </c>
      <c r="B91" s="2" t="inlineStr">
        <is>
          <t>обрыв</t>
        </is>
      </c>
      <c r="C91" s="2" t="n">
        <v>9172</v>
      </c>
      <c r="D91" s="3" t="inlineStr">
        <is>
          <t>Шереметьево-2</t>
        </is>
      </c>
      <c r="E91" s="2" t="n">
        <v>1990</v>
      </c>
      <c r="F91" s="2" t="inlineStr">
        <is>
          <t>кинофильм</t>
        </is>
      </c>
      <c r="G91" s="2" t="n"/>
      <c r="H91" s="2" t="n">
        <v>162</v>
      </c>
      <c r="I91" s="2" t="inlineStr">
        <is>
          <t>да</t>
        </is>
      </c>
      <c r="J91" s="2" t="inlineStr"/>
      <c r="K91" s="3" t="inlineStr">
        <is>
          <t>Преуспевающий кооператор, упрашивающий неверную жену уехать с ним на Запад, подстраивает её похищение. Выкупленная собственным мужем, она соглашается на отъезд...</t>
        </is>
      </c>
      <c r="L91" s="2" t="inlineStr">
        <is>
          <t>Кино_СССР сводный каталог.xlsx: список фильмов (доп.)</t>
        </is>
      </c>
      <c r="M91" s="2">
        <f>HYPERLINK("https://ru.wikipedia.org/w/index.php?search=%D0%A8%D0%B5%D1%80%D0%B5%D0%BC%D0%B5%D1%82%D1%8C%D0%B5%D0%B2%D0%BE-2%201990%20%D1%84%D0%B8%D0%BB%D1%8C%D0%BC","искать")</f>
        <v/>
      </c>
      <c r="N91" s="3" t="n"/>
      <c r="O91" s="2" t="n"/>
    </row>
    <row r="92">
      <c r="A92" s="2" t="n">
        <v>91</v>
      </c>
      <c r="B92" s="2" t="inlineStr">
        <is>
          <t>обрыв</t>
        </is>
      </c>
      <c r="C92" s="2" t="n">
        <v>11127</v>
      </c>
      <c r="D92" s="3" t="inlineStr">
        <is>
          <t>Прекрасная Галатея</t>
        </is>
      </c>
      <c r="E92" s="2" t="n">
        <v>1986</v>
      </c>
      <c r="F92" s="2" t="inlineStr">
        <is>
          <t>фильм-спектакль</t>
        </is>
      </c>
      <c r="G92" s="2" t="n"/>
      <c r="H92" s="2" t="n">
        <v>162</v>
      </c>
      <c r="I92" s="2" t="inlineStr">
        <is>
          <t>да</t>
        </is>
      </c>
      <c r="J92" s="2" t="inlineStr"/>
      <c r="K92" s="3" t="inlineStr">
        <is>
          <t>Спектакль Московского театра оперетты.
Прекрасная Галатея! Древняя и вечно юная история о статуе, оживленной силой великого Таланта и великой любви его создателя…</t>
        </is>
      </c>
      <c r="L92" s="2" t="inlineStr">
        <is>
          <t>https://www.kino-teatr.ru/teatr/movie/86578/annot/</t>
        </is>
      </c>
      <c r="M92" s="2">
        <f>HYPERLINK("https://ru.wikipedia.org/w/index.php?search=%D0%9F%D1%80%D0%B5%D0%BA%D1%80%D0%B0%D1%81%D0%BD%D0%B0%D1%8F%20%D0%93%D0%B0%D0%BB%D0%B0%D1%82%D0%B5%D1%8F%201986%20%D1%84%D0%B8%D0%BB%D1%8C%D0%BC","искать")</f>
        <v/>
      </c>
      <c r="N92" s="3" t="n"/>
      <c r="O92" s="2" t="n"/>
    </row>
    <row r="93">
      <c r="A93" s="2" t="n">
        <v>92</v>
      </c>
      <c r="B93" s="2" t="inlineStr">
        <is>
          <t>обрыв</t>
        </is>
      </c>
      <c r="C93" s="2" t="n">
        <v>8897</v>
      </c>
      <c r="D93" s="3" t="inlineStr">
        <is>
          <t>Опасная женщина</t>
        </is>
      </c>
      <c r="E93" s="2" t="n">
        <v>1991</v>
      </c>
      <c r="F93" s="2" t="inlineStr">
        <is>
          <t>кинофильм</t>
        </is>
      </c>
      <c r="G93" s="2" t="n"/>
      <c r="H93" s="2" t="n">
        <v>165</v>
      </c>
      <c r="I93" s="2" t="inlineStr">
        <is>
          <t>да</t>
        </is>
      </c>
      <c r="J93" s="2" t="inlineStr"/>
      <c r="K93" s="3" t="inlineStr">
        <is>
          <t>Героиня фильма, пытаясь спасти благополучие своей семьи, в поисках анонимщика начинает собственное расследование - и невинные люди становятся жертвами ее упорства...</t>
        </is>
      </c>
      <c r="L93" s="2" t="inlineStr">
        <is>
          <t>Кино_СССР сводный каталог.xlsx: список фильмов (доп.)</t>
        </is>
      </c>
      <c r="M93" s="2">
        <f>HYPERLINK("https://ru.wikipedia.org/w/index.php?search=%D0%9E%D0%BF%D0%B0%D1%81%D0%BD%D0%B0%D1%8F%20%D0%B6%D0%B5%D0%BD%D1%89%D0%B8%D0%BD%D0%B0%201991%20%D1%84%D0%B8%D0%BB%D1%8C%D0%BC","искать")</f>
        <v/>
      </c>
      <c r="N93" s="3" t="n"/>
      <c r="O93" s="2" t="n"/>
    </row>
    <row r="94">
      <c r="A94" s="2" t="n">
        <v>93</v>
      </c>
      <c r="B94" s="2" t="inlineStr">
        <is>
          <t>обрыв</t>
        </is>
      </c>
      <c r="C94" s="2" t="n">
        <v>9060</v>
      </c>
      <c r="D94" s="3" t="inlineStr">
        <is>
          <t>Сон девственницы</t>
        </is>
      </c>
      <c r="E94" s="2" t="n">
        <v>1990</v>
      </c>
      <c r="F94" s="2" t="inlineStr">
        <is>
          <t>кинофильм</t>
        </is>
      </c>
      <c r="G94" s="2" t="n"/>
      <c r="H94" s="2" t="n">
        <v>165</v>
      </c>
      <c r="I94" s="2" t="inlineStr">
        <is>
          <t>да</t>
        </is>
      </c>
      <c r="J94" s="2" t="inlineStr"/>
      <c r="K94" s="3" t="inlineStr">
        <is>
          <t>Съемки фильма продвигаются трудно и без надежды на какой-либо успех. Режиссер засыпает и не видит, что рядом - юное чистое создание, полное сильной и нежной любви...</t>
        </is>
      </c>
      <c r="L94" s="2" t="inlineStr">
        <is>
          <t>Кино_СССР сводный каталог.xlsx: список фильмов (доп.)</t>
        </is>
      </c>
      <c r="M94" s="2">
        <f>HYPERLINK("https://ru.wikipedia.org/w/index.php?search=%D0%A1%D0%BE%D0%BD%20%D0%B4%D0%B5%D0%B2%D1%81%D1%82%D0%B2%D0%B5%D0%BD%D0%BD%D0%B8%D1%86%D1%8B%201990%20%D1%84%D0%B8%D0%BB%D1%8C%D0%BC","искать")</f>
        <v/>
      </c>
      <c r="N94" s="3" t="n"/>
      <c r="O94" s="2" t="n"/>
    </row>
    <row r="95">
      <c r="A95" s="2" t="n">
        <v>94</v>
      </c>
      <c r="B95" s="2" t="inlineStr">
        <is>
          <t>обрыв</t>
        </is>
      </c>
      <c r="C95" s="2" t="n">
        <v>9299</v>
      </c>
      <c r="D95" s="3" t="inlineStr">
        <is>
          <t>Гамлет из Сузака, или Мамайя Кэро</t>
        </is>
      </c>
      <c r="E95" s="2" t="n">
        <v>1990</v>
      </c>
      <c r="F95" s="2" t="inlineStr">
        <is>
          <t>кинофильм</t>
        </is>
      </c>
      <c r="G95" s="2" t="n"/>
      <c r="H95" s="2" t="n">
        <v>165</v>
      </c>
      <c r="I95" s="2" t="inlineStr">
        <is>
          <t>да</t>
        </is>
      </c>
      <c r="J95" s="2" t="inlineStr"/>
      <c r="K95" s="3" t="inlineStr">
        <is>
          <t>По одноименной повести Сакена Нарымбетова. Рабфак — одинокий холостяк меняющий одну работу за другой. Он мечтает завести семью и ищет жену по газетным объявлениям...</t>
        </is>
      </c>
      <c r="L95" s="2" t="inlineStr">
        <is>
          <t>Кино_СССР сводный каталог.xlsx: список фильмов (доп.)</t>
        </is>
      </c>
      <c r="M95" s="2">
        <f>HYPERLINK("https://ru.wikipedia.org/w/index.php?search=%D0%93%D0%B0%D0%BC%D0%BB%D0%B5%D1%82%20%D0%B8%D0%B7%20%D0%A1%D1%83%D0%B7%D0%B0%D0%BA%D0%B0%2C%20%D0%B8%D0%BB%D0%B8%20%D0%9C%D0%B0%D0%BC%D0%B0%D0%B9%D1%8F%20%D0%9A%D1%8D%D1%80%D0%BE%201990%20%D1%84%D0%B8%D0%BB%D1%8C%D0%BC","искать")</f>
        <v/>
      </c>
      <c r="N95" s="3" t="n"/>
      <c r="O95" s="2" t="n"/>
    </row>
    <row r="96">
      <c r="A96" s="2" t="n">
        <v>95</v>
      </c>
      <c r="B96" s="2" t="inlineStr">
        <is>
          <t>обрыв</t>
        </is>
      </c>
      <c r="C96" s="2" t="n">
        <v>8091</v>
      </c>
      <c r="D96" s="3" t="inlineStr">
        <is>
          <t>Первый рейс</t>
        </is>
      </c>
      <c r="E96" s="2" t="n">
        <v>1976</v>
      </c>
      <c r="F96" s="2" t="inlineStr">
        <is>
          <t>телефильм</t>
        </is>
      </c>
      <c r="G96" s="2" t="n"/>
      <c r="H96" s="2" t="n">
        <v>166</v>
      </c>
      <c r="I96" s="2" t="inlineStr">
        <is>
          <t>да</t>
        </is>
      </c>
      <c r="J96" s="2" t="inlineStr"/>
      <c r="K96" s="3" t="inlineStr">
        <is>
          <t>Телефильм. Молодой парень Николай Лошкарев,учащийся речного училища, проходит первую жизненную практику — находит работу по душе, и отправляется в свой первый рейс...</t>
        </is>
      </c>
      <c r="L96" s="2" t="inlineStr">
        <is>
          <t>Кино_СССР сводный каталог.xlsx: список телефильмов</t>
        </is>
      </c>
      <c r="M96" s="2">
        <f>HYPERLINK("https://ru.wikipedia.org/w/index.php?search=%D0%9F%D0%B5%D1%80%D0%B2%D1%8B%D0%B9%20%D1%80%D0%B5%D0%B9%D1%81%201976%20%D1%84%D0%B8%D0%BB%D1%8C%D0%BC","искать")</f>
        <v/>
      </c>
      <c r="N96" s="3" t="n"/>
      <c r="O96" s="2" t="n"/>
    </row>
    <row r="97">
      <c r="A97" s="2" t="n">
        <v>96</v>
      </c>
      <c r="B97" s="2" t="inlineStr">
        <is>
          <t>обрыв</t>
        </is>
      </c>
      <c r="C97" s="2" t="n">
        <v>9156</v>
      </c>
      <c r="D97" s="3" t="inlineStr">
        <is>
          <t>Человеческий голос</t>
        </is>
      </c>
      <c r="E97" s="2" t="n">
        <v>1979</v>
      </c>
      <c r="F97" s="2" t="inlineStr">
        <is>
          <t>кинофильм</t>
        </is>
      </c>
      <c r="G97" s="2" t="n"/>
      <c r="H97" s="2" t="n">
        <v>166</v>
      </c>
      <c r="I97" s="2" t="inlineStr">
        <is>
          <t>да</t>
        </is>
      </c>
      <c r="J97" s="2" t="inlineStr"/>
      <c r="K97" s="3" t="inlineStr">
        <is>
          <t>Моноопера по одноактной пьесе Жана Кокто на музыку Франсиса Пуленка. Женщина, брошенная любовником, разговаривает с ним по телефону, но связь постоянно прерывается...</t>
        </is>
      </c>
      <c r="L97" s="2" t="inlineStr">
        <is>
          <t>Кино_СССР сводный каталог.xlsx: список фильмов (доп.)</t>
        </is>
      </c>
      <c r="M97" s="2">
        <f>HYPERLINK("https://ru.wikipedia.org/w/index.php?search=%D0%A7%D0%B5%D0%BB%D0%BE%D0%B2%D0%B5%D1%87%D0%B5%D1%81%D0%BA%D0%B8%D0%B9%20%D0%B3%D0%BE%D0%BB%D0%BE%D1%81%201979%20%D1%84%D0%B8%D0%BB%D1%8C%D0%BC","искать")</f>
        <v/>
      </c>
      <c r="N97" s="3" t="n"/>
      <c r="O97" s="2" t="n"/>
    </row>
    <row r="98">
      <c r="A98" s="2" t="n">
        <v>97</v>
      </c>
      <c r="B98" s="2" t="inlineStr">
        <is>
          <t>обрыв</t>
        </is>
      </c>
      <c r="C98" s="2" t="n">
        <v>9516</v>
      </c>
      <c r="D98" s="3" t="inlineStr">
        <is>
          <t>Ночь</t>
        </is>
      </c>
      <c r="E98" s="2" t="n">
        <v>1990</v>
      </c>
      <c r="F98" s="2" t="inlineStr">
        <is>
          <t>кинофильм</t>
        </is>
      </c>
      <c r="G98" s="2" t="n"/>
      <c r="H98" s="2" t="n">
        <v>166</v>
      </c>
      <c r="I98" s="2" t="inlineStr">
        <is>
          <t>да</t>
        </is>
      </c>
      <c r="J98" s="2" t="inlineStr"/>
      <c r="K98" s="3" t="inlineStr">
        <is>
          <t>Чтобы избавиться от рэкетиров, ожидающих у выхода из гостиницы, валютная проститутка ловко устраивает спектакль с переодеванием и весьма удачно находит провожатого...</t>
        </is>
      </c>
      <c r="L98" s="2" t="inlineStr">
        <is>
          <t>Кино_СССР сводный каталог.xlsx: список фильмов (доп.)</t>
        </is>
      </c>
      <c r="M98" s="2">
        <f>HYPERLINK("https://ru.wikipedia.org/w/index.php?search=%D0%9D%D0%BE%D1%87%D1%8C%201990%20%D1%84%D0%B8%D0%BB%D1%8C%D0%BC","искать")</f>
        <v/>
      </c>
      <c r="N98" s="3" t="n"/>
      <c r="O98" s="2" t="n"/>
    </row>
    <row r="99">
      <c r="A99" s="2" t="n">
        <v>98</v>
      </c>
      <c r="B99" s="2" t="inlineStr">
        <is>
          <t>обрыв</t>
        </is>
      </c>
      <c r="C99" s="2" t="n">
        <v>8356</v>
      </c>
      <c r="D99" s="3" t="inlineStr">
        <is>
          <t>След дождя</t>
        </is>
      </c>
      <c r="E99" s="2" t="n">
        <v>1991</v>
      </c>
      <c r="F99" s="2" t="inlineStr">
        <is>
          <t>телефильм</t>
        </is>
      </c>
      <c r="G99" s="2" t="n"/>
      <c r="H99" s="2" t="n">
        <v>168</v>
      </c>
      <c r="I99" s="2" t="inlineStr">
        <is>
          <t>да</t>
        </is>
      </c>
      <c r="J99" s="2" t="inlineStr">
        <is>
          <t>да</t>
        </is>
      </c>
      <c r="K99" s="3" t="inlineStr">
        <is>
          <t>Любовь настигла известного дирижера в России, некогда им покинутой. Но юная возлюбленная, годящаяся ему в дочери, пианистка Лизавета, видимо, и в самом деле его дочь...</t>
        </is>
      </c>
      <c r="L99" s="2" t="inlineStr">
        <is>
          <t>Кино_СССР сводный каталог.xlsx: список телефильмов</t>
        </is>
      </c>
      <c r="M99" s="2">
        <f>HYPERLINK("https://ru.wikipedia.org/w/index.php?search=%D0%A1%D0%BB%D0%B5%D0%B4%20%D0%B4%D0%BE%D0%B6%D0%B4%D1%8F%201991%20%D1%84%D0%B8%D0%BB%D1%8C%D0%BC","искать")</f>
        <v/>
      </c>
      <c r="N99" s="3" t="n"/>
      <c r="O99" s="2" t="n"/>
    </row>
    <row r="100">
      <c r="A100" s="2" t="n">
        <v>99</v>
      </c>
      <c r="B100" s="2" t="inlineStr">
        <is>
          <t>обрыв</t>
        </is>
      </c>
      <c r="C100" s="2" t="n">
        <v>9901</v>
      </c>
      <c r="D100" s="3" t="inlineStr">
        <is>
          <t>Гулька</t>
        </is>
      </c>
      <c r="E100" s="2" t="n">
        <v>1973</v>
      </c>
      <c r="F100" s="2" t="inlineStr">
        <is>
          <t>телефильм</t>
        </is>
      </c>
      <c r="G100" s="2" t="inlineStr">
        <is>
          <t>Узбектелефильм</t>
        </is>
      </c>
      <c r="H100" s="2" t="n">
        <v>168</v>
      </c>
      <c r="I100" s="2" t="inlineStr">
        <is>
          <t>да</t>
        </is>
      </c>
      <c r="J100" s="2" t="inlineStr"/>
      <c r="K100" s="3" t="inlineStr">
        <is>
          <t>Пятиклассница Гуля утром провожает брата и сестру в детский сад, идет в школу. На стенах домов, тротуарах она видит свое изображение, нарисованное его другом Тимуром...</t>
        </is>
      </c>
      <c r="L100" s="2" t="inlineStr">
        <is>
          <t>https://www.kino-teatr.ru/short/movie/sov/88545/annot/</t>
        </is>
      </c>
      <c r="M100" s="2">
        <f>HYPERLINK("https://ru.wikipedia.org/w/index.php?search=%D0%93%D1%83%D0%BB%D1%8C%D0%BA%D0%B0%201973%20%D1%84%D0%B8%D0%BB%D1%8C%D0%BC","искать")</f>
        <v/>
      </c>
      <c r="N100" s="3" t="n"/>
      <c r="O100" s="2" t="n"/>
    </row>
    <row r="101">
      <c r="A101" s="2" t="n">
        <v>100</v>
      </c>
      <c r="B101" s="2" t="inlineStr">
        <is>
          <t>обрыв</t>
        </is>
      </c>
      <c r="C101" s="2" t="n">
        <v>10868</v>
      </c>
      <c r="D101" s="3" t="inlineStr">
        <is>
          <t>Тьяга или чудесное перевоплощение</t>
        </is>
      </c>
      <c r="E101" s="2" t="n">
        <v>1980</v>
      </c>
      <c r="F101" s="2" t="inlineStr">
        <is>
          <t>фильм-спектакль</t>
        </is>
      </c>
      <c r="G101" s="2" t="inlineStr">
        <is>
          <t>RTP</t>
        </is>
      </c>
      <c r="H101" s="2" t="n">
        <v>168</v>
      </c>
      <c r="I101" s="2" t="inlineStr">
        <is>
          <t>да</t>
        </is>
      </c>
      <c r="J101" s="2" t="inlineStr"/>
      <c r="K101" s="3" t="inlineStr">
        <is>
          <t>Телеспектакль по рассказу португальского писателя Акилину Рибейру.
Бедная старуха получает в подарок молодость от доброго волшебника, в вознаграждение за свою помощь...</t>
        </is>
      </c>
      <c r="L101" s="2" t="inlineStr">
        <is>
          <t>https://www.kino-teatr.ru/teatr/movie/131589/annot/</t>
        </is>
      </c>
      <c r="M101" s="2">
        <f>HYPERLINK("https://ru.wikipedia.org/w/index.php?search=%D0%A2%D1%8C%D1%8F%D0%B3%D0%B0%20%D0%B8%D0%BB%D0%B8%20%D1%87%D1%83%D0%B4%D0%B5%D1%81%D0%BD%D0%BE%D0%B5%20%D0%BF%D0%B5%D1%80%D0%B5%D0%B2%D0%BE%D0%BF%D0%BB%D0%BE%D1%89%D0%B5%D0%BD%D0%B8%D0%B5%201980%20%D1%84%D0%B8%D0%BB%D1%8C%D0%BC","искать")</f>
        <v/>
      </c>
      <c r="N101" s="3" t="n"/>
      <c r="O101" s="2" t="n"/>
    </row>
    <row r="102">
      <c r="A102" s="2" t="n">
        <v>101</v>
      </c>
      <c r="B102" s="2" t="inlineStr">
        <is>
          <t>обрыв</t>
        </is>
      </c>
      <c r="C102" s="2" t="n">
        <v>8667</v>
      </c>
      <c r="D102" s="3" t="inlineStr">
        <is>
          <t>Восточный коридор, или Рэкет по...</t>
        </is>
      </c>
      <c r="E102" s="2" t="n">
        <v>1990</v>
      </c>
      <c r="F102" s="2" t="inlineStr">
        <is>
          <t>кинофильм</t>
        </is>
      </c>
      <c r="G102" s="2" t="n"/>
      <c r="H102" s="2" t="n">
        <v>169</v>
      </c>
      <c r="I102" s="2" t="inlineStr">
        <is>
          <t>да</t>
        </is>
      </c>
      <c r="J102" s="2" t="inlineStr"/>
      <c r="K102" s="3" t="inlineStr">
        <is>
          <t>В старинном замке, резиденции местной мафии, Хозяин ждет встречи с представителями «высшей инстанции». Недоверие друг к другу приводит к кровавому единоборству героев...</t>
        </is>
      </c>
      <c r="L102" s="2" t="inlineStr">
        <is>
          <t>Кино_СССР сводный каталог.xlsx: список фильмов (доп.)</t>
        </is>
      </c>
      <c r="M102" s="2">
        <f>HYPERLINK("https://ru.wikipedia.org/w/index.php?search=%D0%92%D0%BE%D1%81%D1%82%D0%BE%D1%87%D0%BD%D1%8B%D0%B9%20%D0%BA%D0%BE%D1%80%D0%B8%D0%B4%D0%BE%D1%80%2C%20%D0%B8%D0%BB%D0%B8%20%D0%A0%D1%8D%D0%BA%D0%B5%D1%82%20%D0%BF%D0%BE...%201990%20%D1%84%D0%B8%D0%BB%D1%8C%D0%BC","искать")</f>
        <v/>
      </c>
      <c r="N102" s="3" t="n"/>
      <c r="O102" s="2" t="n"/>
    </row>
    <row r="103">
      <c r="A103" s="2" t="n">
        <v>102</v>
      </c>
      <c r="B103" s="2" t="inlineStr">
        <is>
          <t>обрыв</t>
        </is>
      </c>
      <c r="C103" s="2" t="n">
        <v>8777</v>
      </c>
      <c r="D103" s="3" t="inlineStr">
        <is>
          <t>Кредиторы</t>
        </is>
      </c>
      <c r="E103" s="2" t="n">
        <v>1991</v>
      </c>
      <c r="F103" s="2" t="inlineStr">
        <is>
          <t>кинофильм</t>
        </is>
      </c>
      <c r="G103" s="2" t="n"/>
      <c r="H103" s="2" t="n">
        <v>171</v>
      </c>
      <c r="I103" s="2" t="inlineStr">
        <is>
          <t>да</t>
        </is>
      </c>
      <c r="J103" s="2" t="inlineStr"/>
      <c r="K103" s="3" t="inlineStr">
        <is>
          <t>Действие фильма происходит на борту теплохода. Молодой писатель неожиданно встречает свою бывшую жену и начинает плести интригу в духе только что законченного им романа...</t>
        </is>
      </c>
      <c r="L103" s="2" t="inlineStr">
        <is>
          <t>Кино_СССР сводный каталог.xlsx: список фильмов (доп.)</t>
        </is>
      </c>
      <c r="M103" s="2">
        <f>HYPERLINK("https://ru.wikipedia.org/w/index.php?search=%D0%9A%D1%80%D0%B5%D0%B4%D0%B8%D1%82%D0%BE%D1%80%D1%8B%201991%20%D1%84%D0%B8%D0%BB%D1%8C%D0%BC","искать")</f>
        <v/>
      </c>
      <c r="N103" s="3" t="n"/>
      <c r="O103" s="2" t="n"/>
    </row>
    <row r="104">
      <c r="A104" s="2" t="n">
        <v>103</v>
      </c>
      <c r="B104" s="2" t="inlineStr">
        <is>
          <t>обрыв</t>
        </is>
      </c>
      <c r="C104" s="2" t="n">
        <v>8021</v>
      </c>
      <c r="D104" s="3" t="inlineStr">
        <is>
          <t>Обман</t>
        </is>
      </c>
      <c r="E104" s="2" t="n">
        <v>1983</v>
      </c>
      <c r="F104" s="2" t="inlineStr">
        <is>
          <t>телефильм</t>
        </is>
      </c>
      <c r="G104" s="2" t="n"/>
      <c r="H104" s="2" t="n">
        <v>172</v>
      </c>
      <c r="I104" s="2" t="inlineStr">
        <is>
          <t>да</t>
        </is>
      </c>
      <c r="J104" s="2" t="inlineStr"/>
      <c r="K104" s="3" t="inlineStr">
        <is>
          <t>Телефильм снят по рассказу Н. Соломко "Любовь октябрёнка Овечкина". Маленький мальчик влюбляется в старшеклассницу. Закручивается треугольник, т.к. у девочки есть парень...</t>
        </is>
      </c>
      <c r="L104" s="2" t="inlineStr">
        <is>
          <t>Кино_СССР сводный каталог.xlsx: список телефильмов</t>
        </is>
      </c>
      <c r="M104" s="2">
        <f>HYPERLINK("https://ru.wikipedia.org/w/index.php?search=%D0%9E%D0%B1%D0%BC%D0%B0%D0%BD%201983%20%D1%84%D0%B8%D0%BB%D1%8C%D0%BC","искать")</f>
        <v/>
      </c>
      <c r="N104" s="3" t="n"/>
      <c r="O104" s="2" t="n"/>
    </row>
    <row r="105">
      <c r="A105" s="2" t="n">
        <v>104</v>
      </c>
      <c r="B105" s="2" t="inlineStr">
        <is>
          <t>обрыв</t>
        </is>
      </c>
      <c r="C105" s="2" t="n">
        <v>7552</v>
      </c>
      <c r="D105" s="3" t="inlineStr">
        <is>
          <t>Дорога домой</t>
        </is>
      </c>
      <c r="E105" s="2" t="n">
        <v>1967</v>
      </c>
      <c r="F105" s="2" t="inlineStr">
        <is>
          <t>телефильм</t>
        </is>
      </c>
      <c r="G105" s="2" t="n"/>
      <c r="H105" s="2" t="n">
        <v>173</v>
      </c>
      <c r="I105" s="2" t="inlineStr">
        <is>
          <t>да</t>
        </is>
      </c>
      <c r="J105" s="2" t="inlineStr"/>
      <c r="K105" s="3" t="inlineStr">
        <is>
          <t>По повести Ежи Пшезьдецкого "Конец". Весна 1944 года. Польша. Партизанский отряд, сформированный из советских военнопленных, бежавших из концлагеря, пробивается на Родину...</t>
        </is>
      </c>
      <c r="L105" s="2" t="inlineStr">
        <is>
          <t>Кино_СССР сводный каталог.xlsx: список телефильмов</t>
        </is>
      </c>
      <c r="M105" s="2">
        <f>HYPERLINK("https://ru.wikipedia.org/w/index.php?search=%D0%94%D0%BE%D1%80%D0%BE%D0%B3%D0%B0%20%D0%B4%D0%BE%D0%BC%D0%BE%D0%B9%201967%20%D1%84%D0%B8%D0%BB%D1%8C%D0%BC","искать")</f>
        <v/>
      </c>
      <c r="N105" s="3" t="n"/>
      <c r="O105" s="2" t="n"/>
    </row>
    <row r="106">
      <c r="A106" s="2" t="n">
        <v>105</v>
      </c>
      <c r="B106" s="2" t="inlineStr">
        <is>
          <t>обрыв</t>
        </is>
      </c>
      <c r="C106" s="2" t="n">
        <v>7194</v>
      </c>
      <c r="D106" s="3" t="inlineStr">
        <is>
          <t>Азиз</t>
        </is>
      </c>
      <c r="E106" s="2" t="n">
        <v>1977</v>
      </c>
      <c r="F106" s="2" t="inlineStr">
        <is>
          <t>телефильм</t>
        </is>
      </c>
      <c r="G106" s="2" t="n"/>
      <c r="H106" s="2" t="n">
        <v>174</v>
      </c>
      <c r="I106" s="2" t="inlineStr">
        <is>
          <t>да</t>
        </is>
      </c>
      <c r="J106" s="2" t="inlineStr"/>
      <c r="K106" s="3" t="inlineStr">
        <is>
          <t>Маленькому Азизу подарили голубей. Всей душой привязался к ним мальчик, с нетерпением ждал птенцов. Но кто-то убил одного из голубей. Для Азиза это было первым большим горем…</t>
        </is>
      </c>
      <c r="L106" s="2" t="inlineStr">
        <is>
          <t>Кино_СССР сводный каталог.xlsx: список телефильмов</t>
        </is>
      </c>
      <c r="M106" s="2">
        <f>HYPERLINK("https://ru.wikipedia.org/w/index.php?search=%D0%90%D0%B7%D0%B8%D0%B7%201977%20%D1%84%D0%B8%D0%BB%D1%8C%D0%BC","искать")</f>
        <v/>
      </c>
      <c r="N106" s="3" t="n"/>
      <c r="O106" s="2" t="n"/>
    </row>
    <row r="107">
      <c r="A107" s="2" t="n">
        <v>106</v>
      </c>
      <c r="B107" s="2" t="inlineStr">
        <is>
          <t>обрыв</t>
        </is>
      </c>
      <c r="C107" s="2" t="n">
        <v>9203</v>
      </c>
      <c r="D107" s="3" t="inlineStr">
        <is>
          <t>Анекдоты</t>
        </is>
      </c>
      <c r="E107" s="2" t="n">
        <v>1990</v>
      </c>
      <c r="F107" s="2" t="inlineStr">
        <is>
          <t>кинофильм</t>
        </is>
      </c>
      <c r="G107" s="2" t="n"/>
      <c r="H107" s="2" t="n">
        <v>174</v>
      </c>
      <c r="I107" s="2" t="inlineStr">
        <is>
          <t>да</t>
        </is>
      </c>
      <c r="J107" s="2" t="inlineStr"/>
      <c r="K107" s="3" t="inlineStr">
        <is>
          <t>Анекдот в анекдоте: талантливый рассказчик анекдотов В.И.Кутузов (А.Абдулов), пациент сумасшедшего дома, ведет беседы на животрепещущие темы с Марксом, Сталиным, Брежневым...</t>
        </is>
      </c>
      <c r="L107" s="2" t="inlineStr">
        <is>
          <t>Кино_СССР сводный каталог.xlsx: список фильмов (доп.)</t>
        </is>
      </c>
      <c r="M107" s="2">
        <f>HYPERLINK("https://ru.wikipedia.org/w/index.php?search=%D0%90%D0%BD%D0%B5%D0%BA%D0%B4%D0%BE%D1%82%D1%8B%201990%20%D1%84%D0%B8%D0%BB%D1%8C%D0%BC","искать")</f>
        <v/>
      </c>
      <c r="N107" s="3" t="n"/>
      <c r="O107" s="2" t="n"/>
    </row>
    <row r="108">
      <c r="A108" s="2" t="n">
        <v>107</v>
      </c>
      <c r="B108" s="2" t="inlineStr">
        <is>
          <t>обрыв</t>
        </is>
      </c>
      <c r="C108" s="2" t="n">
        <v>9885</v>
      </c>
      <c r="D108" s="3" t="inlineStr">
        <is>
          <t>Варька</t>
        </is>
      </c>
      <c r="E108" s="2" t="n">
        <v>1971</v>
      </c>
      <c r="F108" s="2" t="inlineStr">
        <is>
          <t>телефильм</t>
        </is>
      </c>
      <c r="G108" s="2" t="inlineStr">
        <is>
          <t>ЭКРАН (ОСТАНКИНО)</t>
        </is>
      </c>
      <c r="H108" s="2" t="n">
        <v>174</v>
      </c>
      <c r="I108" s="2" t="inlineStr">
        <is>
          <t>да</t>
        </is>
      </c>
      <c r="J108" s="2" t="inlineStr"/>
      <c r="K108" s="3" t="inlineStr">
        <is>
          <t>По мотивам рассказа Евгения Носова.
Подруги молодой птичницы Варьки часто просят ее подежурить за них, уходя на свидания и танцы. Но однажды Варька не выполняет их просьбу...</t>
        </is>
      </c>
      <c r="L108" s="2" t="inlineStr">
        <is>
          <t>https://www.kino-teatr.ru/short/movie/sov/11171/annot/</t>
        </is>
      </c>
      <c r="M108" s="2">
        <f>HYPERLINK("https://ru.wikipedia.org/w/index.php?search=%D0%92%D0%B0%D1%80%D1%8C%D0%BA%D0%B0%201971%20%D1%84%D0%B8%D0%BB%D1%8C%D0%BC","искать")</f>
        <v/>
      </c>
      <c r="N108" s="3" t="n"/>
      <c r="O108" s="2" t="n"/>
    </row>
    <row r="109">
      <c r="A109" s="2" t="n">
        <v>108</v>
      </c>
      <c r="B109" s="2" t="inlineStr">
        <is>
          <t>обрыв</t>
        </is>
      </c>
      <c r="C109" s="2" t="n">
        <v>10297</v>
      </c>
      <c r="D109" s="3" t="inlineStr">
        <is>
          <t>Взрывы на уроках</t>
        </is>
      </c>
      <c r="E109" s="2" t="n">
        <v>1969</v>
      </c>
      <c r="F109" s="2" t="inlineStr">
        <is>
          <t>фильм-спектакль</t>
        </is>
      </c>
      <c r="G109" s="2" t="inlineStr">
        <is>
          <t>Ленинградское ТВ</t>
        </is>
      </c>
      <c r="H109" s="2" t="n">
        <v>174</v>
      </c>
      <c r="I109" s="2" t="inlineStr">
        <is>
          <t>да</t>
        </is>
      </c>
      <c r="J109" s="2" t="inlineStr"/>
      <c r="K109" s="3" t="inlineStr">
        <is>
          <t>По повести Игоря Ефимова.
О дружном классе и их новой учительнице Дине Борисовне, которая нарушает каноны ведения урока, отчего детям становится гораздо интереснее учиться...</t>
        </is>
      </c>
      <c r="L109" s="2" t="inlineStr">
        <is>
          <t>https://www.kino-teatr.ru/teatr/movie/121559/annot/</t>
        </is>
      </c>
      <c r="M109" s="2">
        <f>HYPERLINK("https://ru.wikipedia.org/w/index.php?search=%D0%92%D0%B7%D1%80%D1%8B%D0%B2%D1%8B%20%D0%BD%D0%B0%20%D1%83%D1%80%D0%BE%D0%BA%D0%B0%D1%85%201969%20%D1%84%D0%B8%D0%BB%D1%8C%D0%BC","искать")</f>
        <v/>
      </c>
      <c r="N109" s="3" t="n"/>
      <c r="O109" s="2" t="n"/>
    </row>
    <row r="110">
      <c r="A110" s="2" t="n">
        <v>109</v>
      </c>
      <c r="B110" s="2" t="inlineStr">
        <is>
          <t>обрыв</t>
        </is>
      </c>
      <c r="C110" s="2" t="n">
        <v>10953</v>
      </c>
      <c r="D110" s="3" t="inlineStr">
        <is>
          <t>Платон Кречет</t>
        </is>
      </c>
      <c r="E110" s="2" t="n">
        <v>1982</v>
      </c>
      <c r="F110" s="2" t="inlineStr">
        <is>
          <t>фильм-спектакль</t>
        </is>
      </c>
      <c r="G110" s="2" t="inlineStr">
        <is>
          <t>Литовское телевидение</t>
        </is>
      </c>
      <c r="H110" s="2" t="n">
        <v>174</v>
      </c>
      <c r="I110" s="2" t="inlineStr">
        <is>
          <t>да</t>
        </is>
      </c>
      <c r="J110" s="2" t="inlineStr"/>
      <c r="K110" s="3" t="inlineStr">
        <is>
          <t>В спектакле речь идёт о проблемах врачей и моральных принципах, осуждается карьерист, директор больницы, который ради личных интересов мешает работе перспективного хирурга...</t>
        </is>
      </c>
      <c r="L110" s="2" t="inlineStr">
        <is>
          <t>https://www.kino-teatr.ru/teatr/movie/107344/annot/</t>
        </is>
      </c>
      <c r="M110" s="2">
        <f>HYPERLINK("https://ru.wikipedia.org/w/index.php?search=%D0%9F%D0%BB%D0%B0%D1%82%D0%BE%D0%BD%20%D0%9A%D1%80%D0%B5%D1%87%D0%B5%D1%82%201982%20%D1%84%D0%B8%D0%BB%D1%8C%D0%BC","искать")</f>
        <v/>
      </c>
      <c r="N110" s="3" t="n"/>
      <c r="O110" s="2" t="n"/>
    </row>
    <row r="111">
      <c r="A111" s="2" t="n">
        <v>110</v>
      </c>
      <c r="B111" s="2" t="inlineStr">
        <is>
          <t>обрыв</t>
        </is>
      </c>
      <c r="C111" s="2" t="n">
        <v>8233</v>
      </c>
      <c r="D111" s="3" t="inlineStr">
        <is>
          <t>Прости нас, сад...</t>
        </is>
      </c>
      <c r="E111" s="2" t="n">
        <v>1988</v>
      </c>
      <c r="F111" s="2" t="inlineStr">
        <is>
          <t>телефильм</t>
        </is>
      </c>
      <c r="G111" s="2" t="n"/>
      <c r="H111" s="2" t="n">
        <v>175</v>
      </c>
      <c r="I111" s="2" t="inlineStr">
        <is>
          <t>да</t>
        </is>
      </c>
      <c r="J111" s="2" t="inlineStr"/>
      <c r="K111" s="3" t="inlineStr">
        <is>
          <t>В годы своей комсомольской юности первостроители города заложили общественный сад. И теперь они решительно возражают против решения горкома разделить сад на садовые участки...</t>
        </is>
      </c>
      <c r="L111" s="2" t="inlineStr">
        <is>
          <t>Кино_СССР сводный каталог.xlsx: список телефильмов</t>
        </is>
      </c>
      <c r="M111" s="2">
        <f>HYPERLINK("https://ru.wikipedia.org/w/index.php?search=%D0%9F%D1%80%D0%BE%D1%81%D1%82%D0%B8%20%D0%BD%D0%B0%D1%81%2C%20%D1%81%D0%B0%D0%B4...%201988%20%D1%84%D0%B8%D0%BB%D1%8C%D0%BC","искать")</f>
        <v/>
      </c>
      <c r="N111" s="3" t="n"/>
      <c r="O111" s="2" t="n"/>
    </row>
    <row r="112">
      <c r="A112" s="2" t="n">
        <v>111</v>
      </c>
      <c r="B112" s="2" t="inlineStr">
        <is>
          <t>обрыв</t>
        </is>
      </c>
      <c r="C112" s="2" t="n">
        <v>10025</v>
      </c>
      <c r="D112" s="3" t="inlineStr">
        <is>
          <t>Тихоня</t>
        </is>
      </c>
      <c r="E112" s="2" t="n">
        <v>1987</v>
      </c>
      <c r="F112" s="2" t="inlineStr">
        <is>
          <t>кинофильм</t>
        </is>
      </c>
      <c r="G112" s="2" t="inlineStr">
        <is>
          <t>Узбекфильм</t>
        </is>
      </c>
      <c r="H112" s="2" t="n">
        <v>175</v>
      </c>
      <c r="I112" s="2" t="inlineStr">
        <is>
          <t>да</t>
        </is>
      </c>
      <c r="J112" s="2" t="inlineStr"/>
      <c r="K112" s="3" t="inlineStr">
        <is>
          <t>Школьница Нодира, тихоня и фантазерка, обращает на себя внимание тем, что выдумывает геройский поступок, который она якобы совершила, спасая ребенка из-под колес автомобиля...</t>
        </is>
      </c>
      <c r="L112" s="2" t="inlineStr">
        <is>
          <t>https://www.kino-teatr.ru/short/movie/sov/7161/annot/</t>
        </is>
      </c>
      <c r="M112" s="2">
        <f>HYPERLINK("https://ru.wikipedia.org/w/index.php?search=%D0%A2%D0%B8%D1%85%D0%BE%D0%BD%D1%8F%201987%20%D1%84%D0%B8%D0%BB%D1%8C%D0%BC","искать")</f>
        <v/>
      </c>
      <c r="N112" s="3" t="n"/>
      <c r="O112" s="2" t="n"/>
    </row>
    <row r="113">
      <c r="A113" s="2" t="n">
        <v>112</v>
      </c>
      <c r="B113" s="2" t="inlineStr">
        <is>
          <t>обрыв</t>
        </is>
      </c>
      <c r="C113" s="2" t="n">
        <v>8371</v>
      </c>
      <c r="D113" s="3" t="inlineStr">
        <is>
          <t>Собака на сене</t>
        </is>
      </c>
      <c r="E113" s="2" t="n">
        <v>1977</v>
      </c>
      <c r="F113" s="2" t="inlineStr">
        <is>
          <t>телефильм</t>
        </is>
      </c>
      <c r="G113" s="2" t="inlineStr">
        <is>
          <t>Ленфильм</t>
        </is>
      </c>
      <c r="H113" s="2" t="n">
        <v>176</v>
      </c>
      <c r="I113" s="2" t="inlineStr">
        <is>
          <t>да</t>
        </is>
      </c>
      <c r="J113" s="2" t="inlineStr">
        <is>
          <t>да</t>
        </is>
      </c>
      <c r="K113" s="3" t="inlineStr">
        <is>
          <t>По мотивам пьесы Лопе де Вега. Пикантная история капризной, вспыльчивой красавицы Дианы, отчаянно влюбленной в своего секретаря, который, в свою очередь, влюблен в ее служанку…</t>
        </is>
      </c>
      <c r="L113" s="2" t="inlineStr">
        <is>
          <t>Кино_СССР сводный каталог.xlsx: список телефильмов</t>
        </is>
      </c>
      <c r="M113" s="2">
        <f>HYPERLINK("https://ru.wikipedia.org/w/index.php?search=%D0%A1%D0%BE%D0%B1%D0%B0%D0%BA%D0%B0%20%D0%BD%D0%B0%20%D1%81%D0%B5%D0%BD%D0%B5%201977%20%D1%84%D0%B8%D0%BB%D1%8C%D0%BC","искать")</f>
        <v/>
      </c>
      <c r="N113" s="3" t="n"/>
      <c r="O113" s="2" t="n"/>
    </row>
    <row r="114">
      <c r="A114" s="2" t="n">
        <v>113</v>
      </c>
      <c r="B114" s="2" t="inlineStr">
        <is>
          <t>обрыв</t>
        </is>
      </c>
      <c r="C114" s="2" t="n">
        <v>8460</v>
      </c>
      <c r="D114" s="3" t="inlineStr">
        <is>
          <t>Только в мюзик-холле</t>
        </is>
      </c>
      <c r="E114" s="2" t="n">
        <v>1980</v>
      </c>
      <c r="F114" s="2" t="inlineStr">
        <is>
          <t>телефильм</t>
        </is>
      </c>
      <c r="G114" s="2" t="n"/>
      <c r="H114" s="2" t="n">
        <v>176</v>
      </c>
      <c r="I114" s="2" t="inlineStr">
        <is>
          <t>да</t>
        </is>
      </c>
      <c r="J114" s="2" t="inlineStr"/>
      <c r="K114" s="3" t="inlineStr">
        <is>
          <t>Студент-химик Ванадий мечтает стать артистом мюзик-холла. Но этому противится мама. Когда-то она тоже была артисткой. Всеми правдами и неправдами Ванадий рвется к своей цели...</t>
        </is>
      </c>
      <c r="L114" s="2" t="inlineStr">
        <is>
          <t>Кино_СССР сводный каталог.xlsx: список телефильмов</t>
        </is>
      </c>
      <c r="M114" s="2">
        <f>HYPERLINK("https://ru.wikipedia.org/w/index.php?search=%D0%A2%D0%BE%D0%BB%D1%8C%D0%BA%D0%BE%20%D0%B2%20%D0%BC%D1%8E%D0%B7%D0%B8%D0%BA-%D1%85%D0%BE%D0%BB%D0%BB%D0%B5%201980%20%D1%84%D0%B8%D0%BB%D1%8C%D0%BC","искать")</f>
        <v/>
      </c>
      <c r="N114" s="3" t="n"/>
      <c r="O114" s="2" t="n"/>
    </row>
    <row r="115">
      <c r="A115" s="2" t="n">
        <v>114</v>
      </c>
      <c r="B115" s="2" t="inlineStr">
        <is>
          <t>обрыв</t>
        </is>
      </c>
      <c r="C115" s="2" t="n">
        <v>8767</v>
      </c>
      <c r="D115" s="3" t="inlineStr">
        <is>
          <t>Ключ</t>
        </is>
      </c>
      <c r="E115" s="2" t="n">
        <v>1980</v>
      </c>
      <c r="F115" s="2" t="inlineStr">
        <is>
          <t>кинофильм</t>
        </is>
      </c>
      <c r="G115" s="2" t="n"/>
      <c r="H115" s="2" t="n">
        <v>176</v>
      </c>
      <c r="I115" s="2" t="inlineStr">
        <is>
          <t>да</t>
        </is>
      </c>
      <c r="J115" s="2" t="inlineStr"/>
      <c r="K115" s="3" t="inlineStr">
        <is>
          <t>Молодоженам-строителям вручают на комсомольской свадьбе ключи от квартиры. Узнав, что дом еще не достроен, молодые решают занять кабинет секретаря комитета комсомола стройки...</t>
        </is>
      </c>
      <c r="L115" s="2" t="inlineStr">
        <is>
          <t>Кино_СССР сводный каталог.xlsx: список фильмов (доп.)</t>
        </is>
      </c>
      <c r="M115" s="2">
        <f>HYPERLINK("https://ru.wikipedia.org/w/index.php?search=%D0%9A%D0%BB%D1%8E%D1%87%201980%20%D1%84%D0%B8%D0%BB%D1%8C%D0%BC","искать")</f>
        <v/>
      </c>
      <c r="N115" s="3" t="n"/>
      <c r="O115" s="2" t="n"/>
    </row>
    <row r="116">
      <c r="A116" s="2" t="n">
        <v>115</v>
      </c>
      <c r="B116" s="2" t="inlineStr">
        <is>
          <t>обрыв</t>
        </is>
      </c>
      <c r="C116" s="2" t="n">
        <v>8393</v>
      </c>
      <c r="D116" s="3" t="inlineStr">
        <is>
          <t>Станционный смотритель</t>
        </is>
      </c>
      <c r="E116" s="2" t="n">
        <v>1972</v>
      </c>
      <c r="F116" s="2" t="inlineStr">
        <is>
          <t>телефильм</t>
        </is>
      </c>
      <c r="G116" s="2" t="n"/>
      <c r="H116" s="2" t="n">
        <v>177</v>
      </c>
      <c r="I116" s="2" t="inlineStr">
        <is>
          <t>да</t>
        </is>
      </c>
      <c r="J116" s="2" t="inlineStr"/>
      <c r="K116" s="3" t="inlineStr">
        <is>
          <t>Телефильм по одноименной повести А.С.Пушкина  "Повести покойного И.П. Белкина". Красавица Дуня, единственная дочь главного героя картины, сбежала из отцовского дома с гусаром...</t>
        </is>
      </c>
      <c r="L116" s="2" t="inlineStr">
        <is>
          <t>Кино_СССР сводный каталог.xlsx: список телефильмов</t>
        </is>
      </c>
      <c r="M116" s="2">
        <f>HYPERLINK("https://ru.wikipedia.org/w/index.php?search=%D0%A1%D1%82%D0%B0%D0%BD%D1%86%D0%B8%D0%BE%D0%BD%D0%BD%D1%8B%D0%B9%20%D1%81%D0%BC%D0%BE%D1%82%D1%80%D0%B8%D1%82%D0%B5%D0%BB%D1%8C%201972%20%D1%84%D0%B8%D0%BB%D1%8C%D0%BC","искать")</f>
        <v/>
      </c>
      <c r="N116" s="3" t="n"/>
      <c r="O116" s="2" t="n"/>
    </row>
    <row r="117">
      <c r="A117" s="2" t="n">
        <v>116</v>
      </c>
      <c r="B117" s="2" t="inlineStr">
        <is>
          <t>обрыв</t>
        </is>
      </c>
      <c r="C117" s="2" t="n">
        <v>8646</v>
      </c>
      <c r="D117" s="3" t="inlineStr">
        <is>
          <t>Вдохновение</t>
        </is>
      </c>
      <c r="E117" s="2" t="n">
        <v>1975</v>
      </c>
      <c r="F117" s="2" t="inlineStr">
        <is>
          <t>кинофильм</t>
        </is>
      </c>
      <c r="G117" s="2" t="n"/>
      <c r="H117" s="2" t="n">
        <v>178</v>
      </c>
      <c r="I117" s="2" t="inlineStr">
        <is>
          <t>да</t>
        </is>
      </c>
      <c r="J117" s="2" t="inlineStr"/>
      <c r="K117" s="3" t="inlineStr">
        <is>
          <t>Государственный ансамбль танца Армении прибывает в отдаленную деревушку. Оказалось, что все жители заняты на уборке урожая. В зале на концерте присутствует один дедушка Воскан...</t>
        </is>
      </c>
      <c r="L117" s="2" t="inlineStr">
        <is>
          <t>Кино_СССР сводный каталог.xlsx: список фильмов (доп.)</t>
        </is>
      </c>
      <c r="M117" s="2">
        <f>HYPERLINK("https://ru.wikipedia.org/w/index.php?search=%D0%92%D0%B4%D0%BE%D1%85%D0%BD%D0%BE%D0%B2%D0%B5%D0%BD%D0%B8%D0%B5%201975%20%D1%84%D0%B8%D0%BB%D1%8C%D0%BC","искать")</f>
        <v/>
      </c>
      <c r="N117" s="3" t="n"/>
      <c r="O117" s="2" t="n"/>
    </row>
    <row r="118">
      <c r="A118" s="2" t="n">
        <v>117</v>
      </c>
      <c r="B118" s="2" t="inlineStr">
        <is>
          <t>обрыв</t>
        </is>
      </c>
      <c r="C118" s="2" t="n">
        <v>8697</v>
      </c>
      <c r="D118" s="3" t="inlineStr">
        <is>
          <t>День любви</t>
        </is>
      </c>
      <c r="E118" s="2" t="n">
        <v>1990</v>
      </c>
      <c r="F118" s="2" t="inlineStr">
        <is>
          <t>кинофильм</t>
        </is>
      </c>
      <c r="G118" s="2" t="n"/>
      <c r="H118" s="2" t="n">
        <v>178</v>
      </c>
      <c r="I118" s="2" t="inlineStr">
        <is>
          <t>да</t>
        </is>
      </c>
      <c r="J118" s="2" t="inlineStr"/>
      <c r="K118" s="3" t="inlineStr">
        <is>
          <t>"День любви" - так цинично назвали бандиты день, когда устроили в городе массовые изнасилования. Одним из выбранных ими объектов стала победительница конкурса красоты Кристина...</t>
        </is>
      </c>
      <c r="L118" s="2" t="inlineStr">
        <is>
          <t>Кино_СССР сводный каталог.xlsx: список фильмов (доп.)</t>
        </is>
      </c>
      <c r="M118" s="2">
        <f>HYPERLINK("https://ru.wikipedia.org/w/index.php?search=%D0%94%D0%B5%D0%BD%D1%8C%20%D0%BB%D1%8E%D0%B1%D0%B2%D0%B8%201990%20%D1%84%D0%B8%D0%BB%D1%8C%D0%BC","искать")</f>
        <v/>
      </c>
      <c r="N118" s="3" t="n"/>
      <c r="O118" s="2" t="n"/>
    </row>
    <row r="119">
      <c r="A119" s="2" t="n">
        <v>118</v>
      </c>
      <c r="B119" s="2" t="inlineStr">
        <is>
          <t>обрыв</t>
        </is>
      </c>
      <c r="C119" s="2" t="n">
        <v>7643</v>
      </c>
      <c r="D119" s="3" t="inlineStr">
        <is>
          <t>Земля моего детства</t>
        </is>
      </c>
      <c r="E119" s="2" t="n">
        <v>1986</v>
      </c>
      <c r="F119" s="2" t="inlineStr">
        <is>
          <t>телефильм</t>
        </is>
      </c>
      <c r="G119" s="2" t="n"/>
      <c r="H119" s="2" t="n">
        <v>179</v>
      </c>
      <c r="I119" s="2" t="inlineStr">
        <is>
          <t>да</t>
        </is>
      </c>
      <c r="J119" s="2" t="inlineStr"/>
      <c r="K119" s="3" t="inlineStr">
        <is>
          <t>Более двадцати лет назад деревню Лужное объявили неперспективной и распахали пойменные луга. Но нашлись люди, которые захотели возродить плодородные земли и заброшенную деревню...</t>
        </is>
      </c>
      <c r="L119" s="2" t="inlineStr">
        <is>
          <t>Кино_СССР сводный каталог.xlsx: список телефильмов</t>
        </is>
      </c>
      <c r="M119" s="2">
        <f>HYPERLINK("https://ru.wikipedia.org/w/index.php?search=%D0%97%D0%B5%D0%BC%D0%BB%D1%8F%20%D0%BC%D0%BE%D0%B5%D0%B3%D0%BE%20%D0%B4%D0%B5%D1%82%D1%81%D1%82%D0%B2%D0%B0%201986%20%D1%84%D0%B8%D0%BB%D1%8C%D0%BC","искать")</f>
        <v/>
      </c>
      <c r="N119" s="3" t="n"/>
      <c r="O119" s="2" t="n"/>
    </row>
    <row r="120">
      <c r="A120" s="2" t="n">
        <v>119</v>
      </c>
      <c r="B120" s="2" t="inlineStr">
        <is>
          <t>обрыв</t>
        </is>
      </c>
      <c r="C120" s="2" t="n">
        <v>9699</v>
      </c>
      <c r="D120" s="3" t="inlineStr">
        <is>
          <t>Тростниковый лес</t>
        </is>
      </c>
      <c r="E120" s="2" t="n">
        <v>1971</v>
      </c>
      <c r="F120" s="2" t="inlineStr">
        <is>
          <t>кинофильм</t>
        </is>
      </c>
      <c r="G120" s="2" t="n"/>
      <c r="H120" s="2" t="n">
        <v>179</v>
      </c>
      <c r="I120" s="2" t="inlineStr">
        <is>
          <t>да</t>
        </is>
      </c>
      <c r="J120" s="2" t="inlineStr"/>
      <c r="K120" s="3" t="inlineStr">
        <is>
          <t>Фильм рассказывает о рыбаке Степе, который один остался в живых из всего экипажа, после гибели рыболовецкого судна. Об его отношениях с родными и земляками после этой трагедии....</t>
        </is>
      </c>
      <c r="L120" s="2" t="inlineStr">
        <is>
          <t>Кино_СССР сводный каталог.xlsx: список фильмов (доп.)</t>
        </is>
      </c>
      <c r="M120" s="2">
        <f>HYPERLINK("https://ru.wikipedia.org/w/index.php?search=%D0%A2%D1%80%D0%BE%D1%81%D1%82%D0%BD%D0%B8%D0%BA%D0%BE%D0%B2%D1%8B%D0%B9%20%D0%BB%D0%B5%D1%81%201971%20%D1%84%D0%B8%D0%BB%D1%8C%D0%BC","искать")</f>
        <v/>
      </c>
      <c r="N120" s="3" t="n"/>
      <c r="O120" s="2" t="n"/>
    </row>
    <row r="121">
      <c r="A121" s="2" t="n">
        <v>120</v>
      </c>
      <c r="B121" s="2" t="inlineStr">
        <is>
          <t>обрыв</t>
        </is>
      </c>
      <c r="C121" s="2" t="n">
        <v>7935</v>
      </c>
      <c r="D121" s="3" t="inlineStr">
        <is>
          <t>На привязи у взлетной полосы</t>
        </is>
      </c>
      <c r="E121" s="2" t="n">
        <v>1989</v>
      </c>
      <c r="F121" s="2" t="inlineStr">
        <is>
          <t>телефильм</t>
        </is>
      </c>
      <c r="G121" s="2" t="n"/>
      <c r="H121" s="2" t="n">
        <v>180</v>
      </c>
      <c r="I121" s="2" t="inlineStr">
        <is>
          <t>да</t>
        </is>
      </c>
      <c r="J121" s="2" t="inlineStr"/>
      <c r="K121" s="3" t="inlineStr">
        <is>
          <t>В основе фильма - документальная история, отражённая на страницах газет: о судьбе собаки Найды, брошенной в аэропорту хозяином и верно прождавшей его целый год у взлётной полосы...</t>
        </is>
      </c>
      <c r="L121" s="2" t="inlineStr">
        <is>
          <t>Кино_СССР сводный каталог.xlsx: список телефильмов</t>
        </is>
      </c>
      <c r="M121" s="2">
        <f>HYPERLINK("https://ru.wikipedia.org/w/index.php?search=%D0%9D%D0%B0%20%D0%BF%D1%80%D0%B8%D0%B2%D1%8F%D0%B7%D0%B8%20%D1%83%20%D0%B2%D0%B7%D0%BB%D0%B5%D1%82%D0%BD%D0%BE%D0%B9%20%D0%BF%D0%BE%D0%BB%D0%BE%D1%81%D1%8B%201989%20%D1%84%D0%B8%D0%BB%D1%8C%D0%BC","искать")</f>
        <v/>
      </c>
      <c r="N121" s="3" t="n"/>
      <c r="O121" s="2" t="n"/>
    </row>
    <row r="122">
      <c r="A122" s="2" t="n">
        <v>121</v>
      </c>
      <c r="B122" s="2" t="inlineStr">
        <is>
          <t>обрыв</t>
        </is>
      </c>
      <c r="C122" s="2" t="n">
        <v>9211</v>
      </c>
      <c r="D122" s="3" t="inlineStr">
        <is>
          <t>Аферисты</t>
        </is>
      </c>
      <c r="E122" s="2" t="n">
        <v>1990</v>
      </c>
      <c r="F122" s="2" t="inlineStr">
        <is>
          <t>кинофильм</t>
        </is>
      </c>
      <c r="G122" s="2" t="n"/>
      <c r="H122" s="2" t="n">
        <v>180</v>
      </c>
      <c r="I122" s="2" t="inlineStr">
        <is>
          <t>да</t>
        </is>
      </c>
      <c r="J122" s="2" t="inlineStr"/>
      <c r="K122" s="3" t="inlineStr">
        <is>
          <t>Трое очень симпатичных, смешных и совсем нестрашных негодяев собираются промышлять древними иконами. Для успеха им пришлось побывать и художниками, и лекторами, и святыми отцами...</t>
        </is>
      </c>
      <c r="L122" s="2" t="inlineStr">
        <is>
          <t>Кино_СССР сводный каталог.xlsx: список фильмов (доп.)</t>
        </is>
      </c>
      <c r="M122" s="2">
        <f>HYPERLINK("https://ru.wikipedia.org/w/index.php?search=%D0%90%D1%84%D0%B5%D1%80%D0%B8%D1%81%D1%82%D1%8B%201990%20%D1%84%D0%B8%D0%BB%D1%8C%D0%BC","искать")</f>
        <v/>
      </c>
      <c r="N122" s="3" t="n"/>
      <c r="O122" s="2" t="n"/>
    </row>
    <row r="123">
      <c r="A123" s="2" t="n">
        <v>122</v>
      </c>
      <c r="B123" s="2" t="inlineStr">
        <is>
          <t>обрыв</t>
        </is>
      </c>
      <c r="C123" s="2" t="n">
        <v>9602</v>
      </c>
      <c r="D123" s="3" t="inlineStr">
        <is>
          <t>Процесс</t>
        </is>
      </c>
      <c r="E123" s="2" t="n">
        <v>1989</v>
      </c>
      <c r="F123" s="2" t="inlineStr">
        <is>
          <t>кинофильм</t>
        </is>
      </c>
      <c r="G123" s="2" t="inlineStr">
        <is>
          <t>Мосфильм</t>
        </is>
      </c>
      <c r="H123" s="2" t="n">
        <v>180</v>
      </c>
      <c r="I123" s="2" t="inlineStr">
        <is>
          <t>да</t>
        </is>
      </c>
      <c r="J123" s="2" t="inlineStr"/>
      <c r="K123" s="3" t="inlineStr">
        <is>
          <t>Фильм, созданный на основе материалов реальных уголовных дел, о судебном процессе над торговой мафией. На скамье подсудимых директор продуктового магазина Рунич и его сослуживцы...</t>
        </is>
      </c>
      <c r="L123" s="2" t="inlineStr">
        <is>
          <t>Кино_СССР сводный каталог.xlsx: список фильмов (доп.)</t>
        </is>
      </c>
      <c r="M123" s="2">
        <f>HYPERLINK("https://ru.wikipedia.org/w/index.php?search=%D0%9F%D1%80%D0%BE%D1%86%D0%B5%D1%81%D1%81%201989%20%D1%84%D0%B8%D0%BB%D1%8C%D0%BC","искать")</f>
        <v/>
      </c>
      <c r="N123" s="3" t="n"/>
      <c r="O123" s="2" t="n"/>
    </row>
    <row r="124">
      <c r="A124" s="2" t="n">
        <v>123</v>
      </c>
      <c r="B124" s="2" t="inlineStr">
        <is>
          <t>обрыв</t>
        </is>
      </c>
      <c r="C124" s="2" t="n">
        <v>7432</v>
      </c>
      <c r="D124" s="3" t="inlineStr">
        <is>
          <t>Где бы ни работать..</t>
        </is>
      </c>
      <c r="E124" s="2" t="n">
        <v>1987</v>
      </c>
      <c r="F124" s="2" t="inlineStr">
        <is>
          <t>телефильм</t>
        </is>
      </c>
      <c r="G124" s="2" t="n"/>
      <c r="H124" s="2" t="n">
        <v>181</v>
      </c>
      <c r="I124" s="2" t="inlineStr">
        <is>
          <t>да</t>
        </is>
      </c>
      <c r="J124" s="2" t="inlineStr"/>
      <c r="K124" s="3" t="inlineStr">
        <is>
          <t>Бездельник Петр Петрович Белкин в поисках "теплого местечка" кочует с одного места работы на другое. В конце концов герой оказывается в коллективе, котоpый решает проучить лодыря...</t>
        </is>
      </c>
      <c r="L124" s="2" t="inlineStr">
        <is>
          <t>Кино_СССР сводный каталог.xlsx: список телефильмов</t>
        </is>
      </c>
      <c r="M124" s="2">
        <f>HYPERLINK("https://ru.wikipedia.org/w/index.php?search=%D0%93%D0%B4%D0%B5%20%D0%B1%D1%8B%20%D0%BD%D0%B8%20%D1%80%D0%B0%D0%B1%D0%BE%D1%82%D0%B0%D1%82%D1%8C..%201987%20%D1%84%D0%B8%D0%BB%D1%8C%D0%BC","искать")</f>
        <v/>
      </c>
      <c r="N124" s="3" t="n"/>
      <c r="O124" s="2" t="n"/>
    </row>
    <row r="125">
      <c r="A125" s="2" t="n">
        <v>124</v>
      </c>
      <c r="B125" s="2" t="inlineStr">
        <is>
          <t>обрыв</t>
        </is>
      </c>
      <c r="C125" s="2" t="n">
        <v>7622</v>
      </c>
      <c r="D125" s="3" t="inlineStr">
        <is>
          <t>Завтрак на траве</t>
        </is>
      </c>
      <c r="E125" s="2" t="n">
        <v>1979</v>
      </c>
      <c r="F125" s="2" t="inlineStr">
        <is>
          <t>телефильм</t>
        </is>
      </c>
      <c r="G125" s="2" t="n"/>
      <c r="H125" s="2" t="n">
        <v>181</v>
      </c>
      <c r="I125" s="2" t="inlineStr">
        <is>
          <t>да</t>
        </is>
      </c>
      <c r="J125" s="2" t="inlineStr"/>
      <c r="K125" s="3" t="inlineStr">
        <is>
          <t>Музыкальный телефильм по мотивам рассказов А.Черноусова. Герой фильма - вожатый пионерского лагеря Иван Ковалев - упорно и вполне обоснованно добивается уважения своих подопечных...</t>
        </is>
      </c>
      <c r="L125" s="2" t="inlineStr">
        <is>
          <t>Кино_СССР сводный каталог.xlsx: список телефильмов</t>
        </is>
      </c>
      <c r="M125" s="2">
        <f>HYPERLINK("https://ru.wikipedia.org/w/index.php?search=%D0%97%D0%B0%D0%B2%D1%82%D1%80%D0%B0%D0%BA%20%D0%BD%D0%B0%20%D1%82%D1%80%D0%B0%D0%B2%D0%B5%201979%20%D1%84%D0%B8%D0%BB%D1%8C%D0%BC","искать")</f>
        <v/>
      </c>
      <c r="N125" s="3" t="n"/>
      <c r="O125" s="2" t="n"/>
    </row>
    <row r="126">
      <c r="A126" s="2" t="n">
        <v>125</v>
      </c>
      <c r="B126" s="2" t="inlineStr">
        <is>
          <t>обрыв</t>
        </is>
      </c>
      <c r="C126" s="2" t="n">
        <v>8483</v>
      </c>
      <c r="D126" s="3" t="inlineStr">
        <is>
          <t>Троица</t>
        </is>
      </c>
      <c r="E126" s="2" t="n">
        <v>1990</v>
      </c>
      <c r="F126" s="2" t="inlineStr">
        <is>
          <t>телефильм</t>
        </is>
      </c>
      <c r="G126" s="2" t="n"/>
      <c r="H126" s="2" t="n">
        <v>181</v>
      </c>
      <c r="I126" s="2" t="inlineStr">
        <is>
          <t>да</t>
        </is>
      </c>
      <c r="J126" s="2" t="inlineStr"/>
      <c r="K126" s="3" t="inlineStr">
        <is>
          <t>О людях, собирающих богатство, при этом теряющих богатство собственной души...Никанор, хозяин дома, всю жизнь занимался накоплением и вдруг, в одночасье, терпит крах и теряет всё...</t>
        </is>
      </c>
      <c r="L126" s="2" t="inlineStr">
        <is>
          <t>Кино_СССР сводный каталог.xlsx: список телефильмов</t>
        </is>
      </c>
      <c r="M126" s="2">
        <f>HYPERLINK("https://ru.wikipedia.org/w/index.php?search=%D0%A2%D1%80%D0%BE%D0%B8%D1%86%D0%B0%201990%20%D1%84%D0%B8%D0%BB%D1%8C%D0%BC","искать")</f>
        <v/>
      </c>
      <c r="N126" s="3" t="n"/>
      <c r="O126" s="2" t="n"/>
    </row>
    <row r="127">
      <c r="A127" s="2" t="n">
        <v>126</v>
      </c>
      <c r="B127" s="2" t="inlineStr">
        <is>
          <t>обрыв</t>
        </is>
      </c>
      <c r="C127" s="2" t="n">
        <v>8622</v>
      </c>
      <c r="D127" s="3" t="inlineStr">
        <is>
          <t>Автостоп</t>
        </is>
      </c>
      <c r="E127" s="2" t="n">
        <v>1990</v>
      </c>
      <c r="F127" s="2" t="inlineStr">
        <is>
          <t>кинофильм</t>
        </is>
      </c>
      <c r="G127" s="2" t="n"/>
      <c r="H127" s="2" t="n">
        <v>181</v>
      </c>
      <c r="I127" s="2" t="inlineStr">
        <is>
          <t>да</t>
        </is>
      </c>
      <c r="J127" s="2" t="inlineStr"/>
      <c r="K127" s="3" t="inlineStr">
        <is>
          <t>Итальянский автогонщик по пути в Россию подсаживает женщину, идущую в роддом. В дороге у нее начинаются роды - и женщина уходит в лес. Там, в зимнем лесу, рождается новый человек...</t>
        </is>
      </c>
      <c r="L127" s="2" t="inlineStr">
        <is>
          <t>Кино_СССР сводный каталог.xlsx: список фильмов (доп.)</t>
        </is>
      </c>
      <c r="M127" s="2">
        <f>HYPERLINK("https://ru.wikipedia.org/w/index.php?search=%D0%90%D0%B2%D1%82%D0%BE%D1%81%D1%82%D0%BE%D0%BF%201990%20%D1%84%D0%B8%D0%BB%D1%8C%D0%BC","искать")</f>
        <v/>
      </c>
      <c r="N127" s="3" t="n"/>
      <c r="O127" s="2" t="n"/>
    </row>
    <row r="128">
      <c r="A128" s="2" t="n">
        <v>127</v>
      </c>
      <c r="B128" s="2" t="inlineStr">
        <is>
          <t>обрыв</t>
        </is>
      </c>
      <c r="C128" s="2" t="n">
        <v>8624</v>
      </c>
      <c r="D128" s="3" t="inlineStr">
        <is>
          <t>Американский шпион</t>
        </is>
      </c>
      <c r="E128" s="2" t="n">
        <v>1991</v>
      </c>
      <c r="F128" s="2" t="inlineStr">
        <is>
          <t>кинофильм</t>
        </is>
      </c>
      <c r="G128" s="2" t="n"/>
      <c r="H128" s="2" t="n">
        <v>181</v>
      </c>
      <c r="I128" s="2" t="inlineStr">
        <is>
          <t>да</t>
        </is>
      </c>
      <c r="J128" s="2" t="inlineStr"/>
      <c r="K128" s="3" t="inlineStr">
        <is>
          <t>1945 год. Советский военный корабль находится с дружественной миссией в США. Молодой офицер Николай Коренев знакомится с американской девушкой Мэри. Между ними завязывается роман...</t>
        </is>
      </c>
      <c r="L128" s="2" t="inlineStr">
        <is>
          <t>Кино_СССР сводный каталог.xlsx: список фильмов (доп.)</t>
        </is>
      </c>
      <c r="M128" s="2">
        <f>HYPERLINK("https://ru.wikipedia.org/w/index.php?search=%D0%90%D0%BC%D0%B5%D1%80%D0%B8%D0%BA%D0%B0%D0%BD%D1%81%D0%BA%D0%B8%D0%B9%20%D1%88%D0%BF%D0%B8%D0%BE%D0%BD%201991%20%D1%84%D0%B8%D0%BB%D1%8C%D0%BC","искать")</f>
        <v/>
      </c>
      <c r="N128" s="3" t="n"/>
      <c r="O128" s="2" t="n"/>
    </row>
    <row r="129">
      <c r="A129" s="2" t="n">
        <v>128</v>
      </c>
      <c r="B129" s="2" t="inlineStr">
        <is>
          <t>обрыв</t>
        </is>
      </c>
      <c r="C129" s="2" t="n">
        <v>9079</v>
      </c>
      <c r="D129" s="3" t="inlineStr">
        <is>
          <t>Сфинкс</t>
        </is>
      </c>
      <c r="E129" s="2" t="n">
        <v>1990</v>
      </c>
      <c r="F129" s="2" t="inlineStr">
        <is>
          <t>кинофильм</t>
        </is>
      </c>
      <c r="G129" s="2" t="n"/>
      <c r="H129" s="2" t="n">
        <v>182</v>
      </c>
      <c r="I129" s="2" t="inlineStr">
        <is>
          <t>да</t>
        </is>
      </c>
      <c r="J129" s="2" t="inlineStr"/>
      <c r="K129" s="3" t="inlineStr">
        <is>
          <t>В глухую провинцию приезжает архитектор, одержимый идеей реставрации старинного монастыря. Уничтожая духовную атмосферу полуразрушенной обители, он сам становится его разрушителем...</t>
        </is>
      </c>
      <c r="L129" s="2" t="inlineStr">
        <is>
          <t>Кино_СССР сводный каталог.xlsx: список фильмов (доп.)</t>
        </is>
      </c>
      <c r="M129" s="2">
        <f>HYPERLINK("https://ru.wikipedia.org/w/index.php?search=%D0%A1%D1%84%D0%B8%D0%BD%D0%BA%D1%81%201990%20%D1%84%D0%B8%D0%BB%D1%8C%D0%BC","искать")</f>
        <v/>
      </c>
      <c r="N129" s="3" t="n"/>
      <c r="O129" s="2" t="n"/>
    </row>
    <row r="130">
      <c r="A130" s="2" t="n">
        <v>129</v>
      </c>
      <c r="B130" s="2" t="inlineStr">
        <is>
          <t>обрыв</t>
        </is>
      </c>
      <c r="C130" s="2" t="n">
        <v>7433</v>
      </c>
      <c r="D130" s="3" t="inlineStr">
        <is>
          <t>Где вы, рыцари?</t>
        </is>
      </c>
      <c r="E130" s="2" t="n">
        <v>1971</v>
      </c>
      <c r="F130" s="2" t="inlineStr">
        <is>
          <t>телефильм</t>
        </is>
      </c>
      <c r="G130" s="2" t="inlineStr">
        <is>
          <t>к/с им. Довженко</t>
        </is>
      </c>
      <c r="H130" s="2" t="n">
        <v>183</v>
      </c>
      <c r="I130" s="2" t="inlineStr">
        <is>
          <t>да</t>
        </is>
      </c>
      <c r="J130" s="2" t="inlineStr"/>
      <c r="K130" s="3" t="inlineStr">
        <is>
          <t>Телефильм. Не смогли молодые герои заслужить любовь своих подруг. По разным причинам: из-за беспочвенных подозрений, невнимательности, скупости, недоверия расстаются с ними любимые...</t>
        </is>
      </c>
      <c r="L130" s="2" t="inlineStr">
        <is>
          <t>Кино_СССР сводный каталог.xlsx: список телефильмов</t>
        </is>
      </c>
      <c r="M130" s="2">
        <f>HYPERLINK("https://ru.wikipedia.org/w/index.php?search=%D0%93%D0%B4%D0%B5%20%D0%B2%D1%8B%2C%20%D1%80%D1%8B%D1%86%D0%B0%D1%80%D0%B8%3F%201971%20%D1%84%D0%B8%D0%BB%D1%8C%D0%BC","искать")</f>
        <v/>
      </c>
      <c r="N130" s="3" t="n"/>
      <c r="O130" s="2" t="n"/>
    </row>
    <row r="131">
      <c r="A131" s="2" t="n">
        <v>130</v>
      </c>
      <c r="B131" s="2" t="inlineStr">
        <is>
          <t>обрыв</t>
        </is>
      </c>
      <c r="C131" s="2" t="n">
        <v>8586</v>
      </c>
      <c r="D131" s="3" t="inlineStr">
        <is>
          <t>Эгле</t>
        </is>
      </c>
      <c r="E131" s="2" t="n">
        <v>1981</v>
      </c>
      <c r="F131" s="2" t="inlineStr">
        <is>
          <t>телефильм</t>
        </is>
      </c>
      <c r="G131" s="2" t="n"/>
      <c r="H131" s="2" t="n">
        <v>183</v>
      </c>
      <c r="I131" s="2" t="inlineStr">
        <is>
          <t>да</t>
        </is>
      </c>
      <c r="J131" s="2" t="inlineStr">
        <is>
          <t>да</t>
        </is>
      </c>
      <c r="K131" s="3" t="inlineStr">
        <is>
          <t>По поэме литовской поэтессы Саломеи Нерис "Эгле - королева ужей". В фильме использован литовский музыкальный фольклор. Красивая литовская сказка о любви, верности и людской зависти...</t>
        </is>
      </c>
      <c r="L131" s="2" t="inlineStr">
        <is>
          <t>Кино_СССР сводный каталог.xlsx: список телефильмов</t>
        </is>
      </c>
      <c r="M131" s="2">
        <f>HYPERLINK("https://ru.wikipedia.org/w/index.php?search=%D0%AD%D0%B3%D0%BB%D0%B5%201981%20%D1%84%D0%B8%D0%BB%D1%8C%D0%BC","искать")</f>
        <v/>
      </c>
      <c r="N131" s="3" t="n"/>
      <c r="O131" s="2" t="n"/>
    </row>
    <row r="132">
      <c r="A132" s="2" t="n">
        <v>131</v>
      </c>
      <c r="B132" s="2" t="inlineStr">
        <is>
          <t>обрыв</t>
        </is>
      </c>
      <c r="C132" s="2" t="n">
        <v>9251</v>
      </c>
      <c r="D132" s="3" t="inlineStr">
        <is>
          <t>Бомж. Без определенного места жительства</t>
        </is>
      </c>
      <c r="E132" s="2" t="n">
        <v>1988</v>
      </c>
      <c r="F132" s="2" t="inlineStr">
        <is>
          <t>кинофильм</t>
        </is>
      </c>
      <c r="G132" s="2" t="n"/>
      <c r="H132" s="2" t="n">
        <v>183</v>
      </c>
      <c r="I132" s="2" t="inlineStr">
        <is>
          <t>да</t>
        </is>
      </c>
      <c r="J132" s="2" t="inlineStr"/>
      <c r="K132" s="3" t="inlineStr">
        <is>
          <t>Прожив добрую половину жизни и вспомнив о том, что где-то в далеком провинциальном городке живет бывшая жена с уже повзрослевшим сыном, герой едет туда, где его не ждут и не помнят...</t>
        </is>
      </c>
      <c r="L132" s="2" t="inlineStr">
        <is>
          <t>Кино_СССР сводный каталог.xlsx: список фильмов (доп.)</t>
        </is>
      </c>
      <c r="M132" s="2">
        <f>HYPERLINK("https://ru.wikipedia.org/w/index.php?search=%D0%91%D0%BE%D0%BC%D0%B6.%20%D0%91%D0%B5%D0%B7%20%D0%BE%D0%BF%D1%80%D0%B5%D0%B4%D0%B5%D0%BB%D0%B5%D0%BD%D0%BD%D0%BE%D0%B3%D0%BE%20%D0%BC%D0%B5%D1%81%D1%82%D0%B0%20%D0%B6%D0%B8%D1%82%D0%B5%D0%BB%D1%8C%D1%81%D1%82%D0%B2%D0%B0%201988%20%D1%84%D0%B8%D0%BB%D1%8C%D0%BC","искать")</f>
        <v/>
      </c>
      <c r="N132" s="3" t="n"/>
      <c r="O132" s="2" t="n"/>
    </row>
    <row r="133">
      <c r="A133" s="2" t="n">
        <v>132</v>
      </c>
      <c r="B133" s="2" t="inlineStr">
        <is>
          <t>обрыв</t>
        </is>
      </c>
      <c r="C133" s="2" t="n">
        <v>7777</v>
      </c>
      <c r="D133" s="3" t="inlineStr">
        <is>
          <t>Крысы, или Ночная мафия</t>
        </is>
      </c>
      <c r="E133" s="2" t="n">
        <v>1991</v>
      </c>
      <c r="F133" s="2" t="inlineStr">
        <is>
          <t>телефильм</t>
        </is>
      </c>
      <c r="G133" s="2" t="n"/>
      <c r="H133" s="2" t="n">
        <v>185</v>
      </c>
      <c r="I133" s="2" t="inlineStr">
        <is>
          <t>да</t>
        </is>
      </c>
      <c r="J133" s="2" t="inlineStr"/>
      <c r="K133" s="3" t="inlineStr">
        <is>
          <t>Бывший детдомовец, отсидев срок за драку, возвращается в родной город, терроризируемый местной мафией. Не желая мириться с их преступными законами, герой мужественно вступает в схватку…</t>
        </is>
      </c>
      <c r="L133" s="2" t="inlineStr">
        <is>
          <t>Кино_СССР сводный каталог.xlsx: список телефильмов</t>
        </is>
      </c>
      <c r="M133" s="2">
        <f>HYPERLINK("https://ru.wikipedia.org/w/index.php?search=%D0%9A%D1%80%D1%8B%D1%81%D1%8B%2C%20%D0%B8%D0%BB%D0%B8%20%D0%9D%D0%BE%D1%87%D0%BD%D0%B0%D1%8F%20%D0%BC%D0%B0%D1%84%D0%B8%D1%8F%201991%20%D1%84%D0%B8%D0%BB%D1%8C%D0%BC","искать")</f>
        <v/>
      </c>
      <c r="N133" s="3" t="n"/>
      <c r="O133" s="2" t="n"/>
    </row>
    <row r="134">
      <c r="A134" s="2" t="n">
        <v>133</v>
      </c>
      <c r="B134" s="2" t="inlineStr">
        <is>
          <t>обрыв</t>
        </is>
      </c>
      <c r="C134" s="2" t="n">
        <v>8293</v>
      </c>
      <c r="D134" s="3" t="inlineStr">
        <is>
          <t>Рядом с тобой</t>
        </is>
      </c>
      <c r="E134" s="2" t="n">
        <v>1976</v>
      </c>
      <c r="F134" s="2" t="inlineStr">
        <is>
          <t>телефильм</t>
        </is>
      </c>
      <c r="G134" s="2" t="n"/>
      <c r="H134" s="2" t="n">
        <v>185</v>
      </c>
      <c r="I134" s="2" t="inlineStr">
        <is>
          <t>да</t>
        </is>
      </c>
      <c r="J134" s="2" t="inlineStr"/>
      <c r="K134" s="3" t="inlineStr">
        <is>
          <t>Телефильм по мотивам повести А.Драбкиной "...И чуть впереди". Героиня фильма - Маша, - готовясь к поступлению в педагогический институт, решила поработать вожатой в пионерском лагере...</t>
        </is>
      </c>
      <c r="L134" s="2" t="inlineStr">
        <is>
          <t>Кино_СССР сводный каталог.xlsx: список телефильмов</t>
        </is>
      </c>
      <c r="M134" s="2">
        <f>HYPERLINK("https://ru.wikipedia.org/w/index.php?search=%D0%A0%D1%8F%D0%B4%D0%BE%D0%BC%20%D1%81%20%D1%82%D0%BE%D0%B1%D0%BE%D0%B9%201976%20%D1%84%D0%B8%D0%BB%D1%8C%D0%BC","искать")</f>
        <v/>
      </c>
      <c r="N134" s="3" t="n"/>
      <c r="O134" s="2" t="n"/>
    </row>
    <row r="135">
      <c r="A135" s="2" t="n">
        <v>134</v>
      </c>
      <c r="B135" s="2" t="inlineStr">
        <is>
          <t>обрыв</t>
        </is>
      </c>
      <c r="C135" s="2" t="n">
        <v>9151</v>
      </c>
      <c r="D135" s="3" t="inlineStr">
        <is>
          <t>Цензуру к памяти не допускаю</t>
        </is>
      </c>
      <c r="E135" s="2" t="n">
        <v>1991</v>
      </c>
      <c r="F135" s="2" t="inlineStr">
        <is>
          <t>кинофильм</t>
        </is>
      </c>
      <c r="G135" s="2" t="n"/>
      <c r="H135" s="2" t="n">
        <v>185</v>
      </c>
      <c r="I135" s="2" t="inlineStr">
        <is>
          <t>да</t>
        </is>
      </c>
      <c r="J135" s="2" t="inlineStr"/>
      <c r="K135" s="3" t="inlineStr">
        <is>
          <t>Герой картины значительную часть своей жизни прожил с тяжелыми воспоминаниями о дедушке, погибшем в эпоху сталинских репрессий. И вот пришло время, когда бы он смог отомстить за деда...</t>
        </is>
      </c>
      <c r="L135" s="2" t="inlineStr">
        <is>
          <t>Кино_СССР сводный каталог.xlsx: список фильмов (доп.)</t>
        </is>
      </c>
      <c r="M135" s="2">
        <f>HYPERLINK("https://ru.wikipedia.org/w/index.php?search=%D0%A6%D0%B5%D0%BD%D0%B7%D1%83%D1%80%D1%83%20%D0%BA%20%D0%BF%D0%B0%D0%BC%D1%8F%D1%82%D0%B8%20%D0%BD%D0%B5%20%D0%B4%D0%BE%D0%BF%D1%83%D1%81%D0%BA%D0%B0%D1%8E%201991%20%D1%84%D0%B8%D0%BB%D1%8C%D0%BC","искать")</f>
        <v/>
      </c>
      <c r="N135" s="3" t="n"/>
      <c r="O135" s="2" t="n"/>
    </row>
    <row r="136">
      <c r="A136" s="2" t="n">
        <v>135</v>
      </c>
      <c r="B136" s="2" t="inlineStr">
        <is>
          <t>обрыв</t>
        </is>
      </c>
      <c r="C136" s="2" t="n">
        <v>9586</v>
      </c>
      <c r="D136" s="3" t="inlineStr">
        <is>
          <t>Призрак</t>
        </is>
      </c>
      <c r="E136" s="2" t="n">
        <v>1991</v>
      </c>
      <c r="F136" s="2" t="inlineStr">
        <is>
          <t>кинофильм</t>
        </is>
      </c>
      <c r="G136" s="2" t="n"/>
      <c r="H136" s="2" t="n">
        <v>185</v>
      </c>
      <c r="I136" s="2" t="inlineStr">
        <is>
          <t>да</t>
        </is>
      </c>
      <c r="J136" s="2" t="inlineStr"/>
      <c r="K136" s="3" t="inlineStr">
        <is>
          <t>Неожиданная гибель брата - инспектора рыбнадзора, изменяет жизнь спивающегося бывшего спортсмена, которому прочили блестящую карьеру. Заподозрив местных браконьеров, он решает мстить...</t>
        </is>
      </c>
      <c r="L136" s="2" t="inlineStr">
        <is>
          <t>Кино_СССР сводный каталог.xlsx: список фильмов (доп.)</t>
        </is>
      </c>
      <c r="M136" s="2">
        <f>HYPERLINK("https://ru.wikipedia.org/w/index.php?search=%D0%9F%D1%80%D0%B8%D0%B7%D1%80%D0%B0%D0%BA%201991%20%D1%84%D0%B8%D0%BB%D1%8C%D0%BC","искать")</f>
        <v/>
      </c>
      <c r="N136" s="3" t="n"/>
      <c r="O136" s="2" t="n"/>
    </row>
    <row r="137">
      <c r="A137" s="2" t="n">
        <v>136</v>
      </c>
      <c r="B137" s="2" t="inlineStr">
        <is>
          <t>обрыв</t>
        </is>
      </c>
      <c r="C137" s="2" t="n">
        <v>8310</v>
      </c>
      <c r="D137" s="3" t="inlineStr">
        <is>
          <t>Свет и тени</t>
        </is>
      </c>
      <c r="E137" s="2" t="n">
        <v>1970</v>
      </c>
      <c r="F137" s="2" t="inlineStr">
        <is>
          <t>телефильм</t>
        </is>
      </c>
      <c r="G137" s="2" t="n"/>
      <c r="H137" s="2" t="n">
        <v>187</v>
      </c>
      <c r="I137" s="2" t="inlineStr">
        <is>
          <t>да</t>
        </is>
      </c>
      <c r="J137" s="2" t="inlineStr">
        <is>
          <t>да</t>
        </is>
      </c>
      <c r="K137" s="3" t="inlineStr">
        <is>
          <t>Телефильм по мотивам рассказов Рабиндраната Тагора. Действие фильма происходит в индийской деревне в конце XIX века. Колониальная действительность, произвол властей, забитость крестьян...</t>
        </is>
      </c>
      <c r="L137" s="2" t="inlineStr">
        <is>
          <t>Кино_СССР сводный каталог.xlsx: список телефильмов</t>
        </is>
      </c>
      <c r="M137" s="2">
        <f>HYPERLINK("https://ru.wikipedia.org/w/index.php?search=%D0%A1%D0%B2%D0%B5%D1%82%20%D0%B8%20%D1%82%D0%B5%D0%BD%D0%B8%201970%20%D1%84%D0%B8%D0%BB%D1%8C%D0%BC","искать")</f>
        <v/>
      </c>
      <c r="N137" s="3" t="n"/>
      <c r="O137" s="2" t="n"/>
    </row>
    <row r="138">
      <c r="A138" s="2" t="n">
        <v>137</v>
      </c>
      <c r="B138" s="2" t="inlineStr">
        <is>
          <t>обрыв</t>
        </is>
      </c>
      <c r="C138" s="2" t="n">
        <v>8446</v>
      </c>
      <c r="D138" s="3" t="inlineStr">
        <is>
          <t>Театр</t>
        </is>
      </c>
      <c r="E138" s="2" t="n">
        <v>1978</v>
      </c>
      <c r="F138" s="2" t="inlineStr">
        <is>
          <t>телефильм</t>
        </is>
      </c>
      <c r="G138" s="2" t="n"/>
      <c r="H138" s="2" t="n">
        <v>187</v>
      </c>
      <c r="I138" s="2" t="inlineStr">
        <is>
          <t>да</t>
        </is>
      </c>
      <c r="J138" s="2" t="inlineStr"/>
      <c r="K138" s="3" t="inlineStr">
        <is>
          <t>Телефильм. Экранизация одноименного романа Сомерсета Моэма История любви, ревности и мести театральной примадонны, великолепно сыгранная, полная иронии и неожиданных сюжетных поворотов...</t>
        </is>
      </c>
      <c r="L138" s="2" t="inlineStr">
        <is>
          <t>Кино_СССР сводный каталог.xlsx: список телефильмов</t>
        </is>
      </c>
      <c r="M138" s="2">
        <f>HYPERLINK("https://ru.wikipedia.org/w/index.php?search=%D0%A2%D0%B5%D0%B0%D1%82%D1%80%201978%20%D1%84%D0%B8%D0%BB%D1%8C%D0%BC","искать")</f>
        <v/>
      </c>
      <c r="N138" s="3" t="n"/>
      <c r="O138" s="2" t="n"/>
    </row>
    <row r="139">
      <c r="A139" s="2" t="n">
        <v>138</v>
      </c>
      <c r="B139" s="2" t="inlineStr">
        <is>
          <t>обрыв</t>
        </is>
      </c>
      <c r="C139" s="2" t="n">
        <v>11305</v>
      </c>
      <c r="D139" s="3" t="inlineStr">
        <is>
          <t>Крыша</t>
        </is>
      </c>
      <c r="E139" s="2" t="n">
        <v>1990</v>
      </c>
      <c r="F139" s="2" t="inlineStr">
        <is>
          <t>фильм-спектакль</t>
        </is>
      </c>
      <c r="G139" s="2" t="inlineStr">
        <is>
          <t>ЦТ</t>
        </is>
      </c>
      <c r="H139" s="2" t="n">
        <v>187</v>
      </c>
      <c r="I139" s="2" t="inlineStr">
        <is>
          <t>да</t>
        </is>
      </c>
      <c r="J139" s="2" t="inlineStr"/>
      <c r="K139" s="3" t="inlineStr">
        <is>
          <t>По одноименной пьесе Александра Галина.
Постановка Олега Табакова в Театре-студии.
Начало 1970-х. Обычное течение жизни студенческого общежития нарушает человек по прозвищу «Могильщик»...</t>
        </is>
      </c>
      <c r="L139" s="2" t="inlineStr">
        <is>
          <t>https://www.kino-teatr.ru/teatr/movie/3332/annot/</t>
        </is>
      </c>
      <c r="M139" s="2">
        <f>HYPERLINK("https://ru.wikipedia.org/w/index.php?search=%D0%9A%D1%80%D1%8B%D1%88%D0%B0%201990%20%D1%84%D0%B8%D0%BB%D1%8C%D0%BC","искать")</f>
        <v/>
      </c>
      <c r="N139" s="3" t="n"/>
      <c r="O139" s="2" t="n"/>
    </row>
    <row r="140">
      <c r="A140" s="2" t="n">
        <v>139</v>
      </c>
      <c r="B140" s="2" t="inlineStr">
        <is>
          <t>обрыв</t>
        </is>
      </c>
      <c r="C140" s="2" t="n">
        <v>9518</v>
      </c>
      <c r="D140" s="3" t="inlineStr">
        <is>
          <t>Ночь самоубийцы</t>
        </is>
      </c>
      <c r="E140" s="2" t="n">
        <v>1991</v>
      </c>
      <c r="F140" s="2" t="inlineStr">
        <is>
          <t>кинофильм</t>
        </is>
      </c>
      <c r="G140" s="2" t="n"/>
      <c r="H140" s="2" t="n">
        <v>188</v>
      </c>
      <c r="I140" s="2" t="inlineStr">
        <is>
          <t>да</t>
        </is>
      </c>
      <c r="J140" s="2" t="inlineStr"/>
      <c r="K140" s="3" t="inlineStr">
        <is>
          <t>В конце 50-х годов после двадцатилетнего заключения по обвинению в распространении злостных слухов, а теперь реабилитированный, возвращается Афанасий в тот дом, откуда его выжили соседи...</t>
        </is>
      </c>
      <c r="L140" s="2" t="inlineStr">
        <is>
          <t>Кино_СССР сводный каталог.xlsx: список фильмов (доп.)</t>
        </is>
      </c>
      <c r="M140" s="2">
        <f>HYPERLINK("https://ru.wikipedia.org/w/index.php?search=%D0%9D%D0%BE%D1%87%D1%8C%20%D1%81%D0%B0%D0%BC%D0%BE%D1%83%D0%B1%D0%B8%D0%B9%D1%86%D1%8B%201991%20%D1%84%D0%B8%D0%BB%D1%8C%D0%BC","искать")</f>
        <v/>
      </c>
      <c r="N140" s="3" t="n"/>
      <c r="O140" s="2" t="n"/>
    </row>
    <row r="141">
      <c r="A141" s="2" t="n">
        <v>140</v>
      </c>
      <c r="B141" s="2" t="inlineStr">
        <is>
          <t>обрыв</t>
        </is>
      </c>
      <c r="C141" s="2" t="n">
        <v>9744</v>
      </c>
      <c r="D141" s="3" t="inlineStr">
        <is>
          <t>Частный визит в немецкую клинику</t>
        </is>
      </c>
      <c r="E141" s="2" t="n">
        <v>1988</v>
      </c>
      <c r="F141" s="2" t="inlineStr">
        <is>
          <t>кинофильм</t>
        </is>
      </c>
      <c r="G141" s="2" t="n"/>
      <c r="H141" s="2" t="n">
        <v>189</v>
      </c>
      <c r="I141" s="2" t="inlineStr">
        <is>
          <t>да</t>
        </is>
      </c>
      <c r="J141" s="2" t="inlineStr"/>
      <c r="K141" s="3" t="inlineStr">
        <is>
          <t>Фильм посвящен первым азербайджанским чекистам. Инженер-нефтянник Мамед Рустамов по поручению чекистов едет за границу, чтобы раскрыть крупный заговор против молодой Советской республики...</t>
        </is>
      </c>
      <c r="L141" s="2" t="inlineStr">
        <is>
          <t>Кино_СССР сводный каталог.xlsx: список фильмов (доп.)</t>
        </is>
      </c>
      <c r="M141" s="2">
        <f>HYPERLINK("https://ru.wikipedia.org/w/index.php?search=%D0%A7%D0%B0%D1%81%D1%82%D0%BD%D1%8B%D0%B9%20%D0%B2%D0%B8%D0%B7%D0%B8%D1%82%20%D0%B2%20%D0%BD%D0%B5%D0%BC%D0%B5%D1%86%D0%BA%D1%83%D1%8E%20%D0%BA%D0%BB%D0%B8%D0%BD%D0%B8%D0%BA%D1%83%201988%20%D1%84%D0%B8%D0%BB%D1%8C%D0%BC","искать")</f>
        <v/>
      </c>
      <c r="N141" s="3" t="n"/>
      <c r="O141" s="2" t="n"/>
    </row>
    <row r="142">
      <c r="A142" s="2" t="n">
        <v>141</v>
      </c>
      <c r="B142" s="2" t="inlineStr">
        <is>
          <t>обрыв</t>
        </is>
      </c>
      <c r="C142" s="2" t="n">
        <v>8548</v>
      </c>
      <c r="D142" s="3" t="inlineStr">
        <is>
          <t>Человек на мотоцикле</t>
        </is>
      </c>
      <c r="E142" s="2" t="n">
        <v>1986</v>
      </c>
      <c r="F142" s="2" t="inlineStr">
        <is>
          <t>телефильм</t>
        </is>
      </c>
      <c r="G142" s="2" t="n"/>
      <c r="H142" s="2" t="n">
        <v>192</v>
      </c>
      <c r="I142" s="2" t="inlineStr">
        <is>
          <t>да</t>
        </is>
      </c>
      <c r="J142" s="2" t="inlineStr"/>
      <c r="K142" s="3" t="inlineStr">
        <is>
          <t>Молодой шахтер Ахан увлекается фотоохотой. Во время одного из походов в горы он сфотографировал браконьеров на месте преступления. Несмотря на угрозы и шантаж, Ахан разоблачает преступников...</t>
        </is>
      </c>
      <c r="L142" s="2" t="inlineStr">
        <is>
          <t>Кино_СССР сводный каталог.xlsx: список телефильмов</t>
        </is>
      </c>
      <c r="M142" s="2">
        <f>HYPERLINK("https://ru.wikipedia.org/w/index.php?search=%D0%A7%D0%B5%D0%BB%D0%BE%D0%B2%D0%B5%D0%BA%20%D0%BD%D0%B0%20%D0%BC%D0%BE%D1%82%D0%BE%D1%86%D0%B8%D0%BA%D0%BB%D0%B5%201986%20%D1%84%D0%B8%D0%BB%D1%8C%D0%BC","искать")</f>
        <v/>
      </c>
      <c r="N142" s="3" t="n"/>
      <c r="O142" s="2" t="n"/>
    </row>
    <row r="143">
      <c r="A143" s="2" t="n">
        <v>142</v>
      </c>
      <c r="B143" s="2" t="inlineStr">
        <is>
          <t>обрыв</t>
        </is>
      </c>
      <c r="C143" s="2" t="n">
        <v>7983</v>
      </c>
      <c r="D143" s="3" t="inlineStr">
        <is>
          <t>Немухинские музыканты</t>
        </is>
      </c>
      <c r="E143" s="2" t="n">
        <v>1981</v>
      </c>
      <c r="F143" s="2" t="inlineStr">
        <is>
          <t>телефильм</t>
        </is>
      </c>
      <c r="G143" s="2" t="inlineStr">
        <is>
          <t>ТО «Экран»</t>
        </is>
      </c>
      <c r="H143" s="2" t="n">
        <v>193</v>
      </c>
      <c r="I143" s="2" t="inlineStr">
        <is>
          <t>да</t>
        </is>
      </c>
      <c r="J143" s="2" t="inlineStr"/>
      <c r="K143" s="3" t="inlineStr">
        <is>
          <t>По одноименной сказке В.Каверина. О весьма примерном и ничем непримечательном городе Немухине, в котором после приезда молодой учительницы музыки, стали происходить невероятно странные события…</t>
        </is>
      </c>
      <c r="L143" s="2" t="inlineStr">
        <is>
          <t>Кино_СССР сводный каталог.xlsx: список телефильмов</t>
        </is>
      </c>
      <c r="M143" s="2">
        <f>HYPERLINK("https://ru.wikipedia.org/w/index.php?search=%D0%9D%D0%B5%D0%BC%D1%83%D1%85%D0%B8%D0%BD%D1%81%D0%BA%D0%B8%D0%B5%20%D0%BC%D1%83%D0%B7%D1%8B%D0%BA%D0%B0%D0%BD%D1%82%D1%8B%201981%20%D1%84%D0%B8%D0%BB%D1%8C%D0%BC","искать")</f>
        <v/>
      </c>
      <c r="N143" s="3" t="n"/>
      <c r="O143" s="2" t="n"/>
    </row>
    <row r="144">
      <c r="A144" s="2" t="n">
        <v>143</v>
      </c>
      <c r="B144" s="2" t="inlineStr">
        <is>
          <t>обрыв</t>
        </is>
      </c>
      <c r="C144" s="2" t="n">
        <v>8040</v>
      </c>
      <c r="D144" s="3" t="inlineStr">
        <is>
          <t>Ой, ой, не наливай!!</t>
        </is>
      </c>
      <c r="E144" s="2" t="n">
        <v>1991</v>
      </c>
      <c r="F144" s="2" t="inlineStr">
        <is>
          <t>телефильм</t>
        </is>
      </c>
      <c r="G144" s="2" t="n"/>
      <c r="H144" s="2" t="n">
        <v>193</v>
      </c>
      <c r="I144" s="2" t="inlineStr">
        <is>
          <t>да</t>
        </is>
      </c>
      <c r="J144" s="2" t="inlineStr"/>
      <c r="K144" s="3" t="inlineStr">
        <is>
          <t>Забавная  комедия о том, как безалкогольная кампания времен перестройки докатилась и до молдавского села. Демонстративная борьба с застольями, лозунги "Долой пьянство!", лицемерие и глупость...</t>
        </is>
      </c>
      <c r="L144" s="2" t="inlineStr">
        <is>
          <t>Кино_СССР сводный каталог.xlsx: список телефильмов</t>
        </is>
      </c>
      <c r="M144" s="2">
        <f>HYPERLINK("https://ru.wikipedia.org/w/index.php?search=%D0%9E%D0%B9%2C%20%D0%BE%D0%B9%2C%20%D0%BD%D0%B5%20%D0%BD%D0%B0%D0%BB%D0%B8%D0%B2%D0%B0%D0%B9%21%21%201991%20%D1%84%D0%B8%D0%BB%D1%8C%D0%BC","искать")</f>
        <v/>
      </c>
      <c r="N144" s="3" t="n"/>
      <c r="O144" s="2" t="n"/>
    </row>
    <row r="145">
      <c r="A145" s="2" t="n">
        <v>144</v>
      </c>
      <c r="B145" s="2" t="inlineStr">
        <is>
          <t>обрыв</t>
        </is>
      </c>
      <c r="C145" s="2" t="n">
        <v>9428</v>
      </c>
      <c r="D145" s="3" t="inlineStr">
        <is>
          <t>Комментарий к прошению о помиловании</t>
        </is>
      </c>
      <c r="E145" s="2" t="n">
        <v>1988</v>
      </c>
      <c r="F145" s="2" t="inlineStr">
        <is>
          <t>кинофильм</t>
        </is>
      </c>
      <c r="G145" s="2" t="n"/>
      <c r="H145" s="2" t="n">
        <v>193</v>
      </c>
      <c r="I145" s="2" t="inlineStr">
        <is>
          <t>да</t>
        </is>
      </c>
      <c r="J145" s="2" t="inlineStr"/>
      <c r="K145" s="3" t="inlineStr">
        <is>
          <t>Через сутки переступит порог камеры предварительного заключения бывший начальник главка и депутат Моссовета. Сядет за взятку, хоть и не вымогал. А пока еще есть возможность побыть на свободе...</t>
        </is>
      </c>
      <c r="L145" s="2" t="inlineStr">
        <is>
          <t>Кино_СССР сводный каталог.xlsx: список фильмов (доп.)</t>
        </is>
      </c>
      <c r="M145" s="2">
        <f>HYPERLINK("https://ru.wikipedia.org/w/index.php?search=%D0%9A%D0%BE%D0%BC%D0%BC%D0%B5%D0%BD%D1%82%D0%B0%D1%80%D0%B8%D0%B9%20%D0%BA%20%D0%BF%D1%80%D0%BE%D1%88%D0%B5%D0%BD%D0%B8%D1%8E%20%D0%BE%20%D0%BF%D0%BE%D0%BC%D0%B8%D0%BB%D0%BE%D0%B2%D0%B0%D0%BD%D0%B8%D0%B8%201988%20%D1%84%D0%B8%D0%BB%D1%8C%D0%BC","искать")</f>
        <v/>
      </c>
      <c r="N145" s="3" t="n"/>
      <c r="O145" s="2" t="n"/>
    </row>
    <row r="146">
      <c r="A146" s="2" t="n">
        <v>145</v>
      </c>
      <c r="B146" s="2" t="inlineStr">
        <is>
          <t>обрыв</t>
        </is>
      </c>
      <c r="C146" s="2" t="n">
        <v>9497</v>
      </c>
      <c r="D146" s="3" t="inlineStr">
        <is>
          <t>Не спрашивай меня ни о чём</t>
        </is>
      </c>
      <c r="E146" s="2" t="n">
        <v>1991</v>
      </c>
      <c r="F146" s="2" t="inlineStr">
        <is>
          <t>кинофильм</t>
        </is>
      </c>
      <c r="G146" s="2" t="n"/>
      <c r="H146" s="2" t="n">
        <v>193</v>
      </c>
      <c r="I146" s="2" t="inlineStr">
        <is>
          <t>да</t>
        </is>
      </c>
      <c r="J146" s="2" t="inlineStr"/>
      <c r="K146" s="3" t="inlineStr">
        <is>
          <t>Героиня сообщает обоим возлюбленным о своей беременности, чтобы определить по их реакции, насколько серьезны чувства каждого из них. Забавная поначалу проделка превращается в серьезную драму...</t>
        </is>
      </c>
      <c r="L146" s="2" t="inlineStr">
        <is>
          <t>Кино_СССР сводный каталог.xlsx: список фильмов (доп.)</t>
        </is>
      </c>
      <c r="M146" s="2">
        <f>HYPERLINK("https://ru.wikipedia.org/w/index.php?search=%D0%9D%D0%B5%20%D1%81%D0%BF%D1%80%D0%B0%D1%88%D0%B8%D0%B2%D0%B0%D0%B9%20%D0%BC%D0%B5%D0%BD%D1%8F%20%D0%BD%D0%B8%20%D0%BE%20%D1%87%D1%91%D0%BC%201991%20%D1%84%D0%B8%D0%BB%D1%8C%D0%BC","искать")</f>
        <v/>
      </c>
      <c r="N146" s="3" t="n"/>
      <c r="O146" s="2" t="n"/>
    </row>
    <row r="147">
      <c r="A147" s="2" t="n">
        <v>146</v>
      </c>
      <c r="B147" s="2" t="inlineStr">
        <is>
          <t>обрыв</t>
        </is>
      </c>
      <c r="C147" s="2" t="n">
        <v>7407</v>
      </c>
      <c r="D147" s="3" t="inlineStr">
        <is>
          <t>Встреча у высоких снегов</t>
        </is>
      </c>
      <c r="E147" s="2" t="n">
        <v>1981</v>
      </c>
      <c r="F147" s="2" t="inlineStr">
        <is>
          <t>телефильм</t>
        </is>
      </c>
      <c r="G147" s="2" t="n"/>
      <c r="H147" s="2" t="n">
        <v>194</v>
      </c>
      <c r="I147" s="2" t="inlineStr">
        <is>
          <t>да</t>
        </is>
      </c>
      <c r="J147" s="2" t="inlineStr"/>
      <c r="K147" s="3" t="inlineStr">
        <is>
          <t>Телесериал по мотивам повести Ульмаса Умарбекова "Встреча". Джума Саидов по вине богача Аппанбая попал на каторгу. Спустя годы он вернулся в родные места и принял участие в борьбе с басмачами...</t>
        </is>
      </c>
      <c r="L147" s="2" t="inlineStr">
        <is>
          <t>Кино_СССР сводный каталог.xlsx: список телефильмов</t>
        </is>
      </c>
      <c r="M147" s="2">
        <f>HYPERLINK("https://ru.wikipedia.org/w/index.php?search=%D0%92%D1%81%D1%82%D1%80%D0%B5%D1%87%D0%B0%20%D1%83%20%D0%B2%D1%8B%D1%81%D0%BE%D0%BA%D0%B8%D1%85%20%D1%81%D0%BD%D0%B5%D0%B3%D0%BE%D0%B2%201981%20%D1%84%D0%B8%D0%BB%D1%8C%D0%BC","искать")</f>
        <v/>
      </c>
      <c r="N147" s="3" t="n"/>
      <c r="O147" s="2" t="n"/>
    </row>
    <row r="148">
      <c r="A148" s="2" t="n">
        <v>147</v>
      </c>
      <c r="B148" s="2" t="inlineStr">
        <is>
          <t>обрыв</t>
        </is>
      </c>
      <c r="C148" s="2" t="n">
        <v>8997</v>
      </c>
      <c r="D148" s="3" t="inlineStr">
        <is>
          <t>Путники земли</t>
        </is>
      </c>
      <c r="E148" s="2" t="n">
        <v>1991</v>
      </c>
      <c r="F148" s="2" t="inlineStr">
        <is>
          <t>кинофильм</t>
        </is>
      </c>
      <c r="G148" s="2" t="n"/>
      <c r="H148" s="2" t="n">
        <v>194</v>
      </c>
      <c r="I148" s="2" t="inlineStr">
        <is>
          <t>да</t>
        </is>
      </c>
      <c r="J148" s="2" t="inlineStr">
        <is>
          <t>да</t>
        </is>
      </c>
      <c r="K148" s="3" t="inlineStr">
        <is>
          <t>По новеллам Р.Шавялиса. Действие происходит в маленьком литовском городке, герои — провинциальные интеллигенты. Им и прежде было несладко, но и к новой жизни они никак не могут приспособиться...</t>
        </is>
      </c>
      <c r="L148" s="2" t="inlineStr">
        <is>
          <t>Кино_СССР сводный каталог.xlsx: список фильмов (доп.)</t>
        </is>
      </c>
      <c r="M148" s="2">
        <f>HYPERLINK("https://ru.wikipedia.org/w/index.php?search=%D0%9F%D1%83%D1%82%D0%BD%D0%B8%D0%BA%D0%B8%20%D0%B7%D0%B5%D0%BC%D0%BB%D0%B8%201991%20%D1%84%D0%B8%D0%BB%D1%8C%D0%BC","искать")</f>
        <v/>
      </c>
      <c r="N148" s="3" t="n"/>
      <c r="O148" s="2" t="n"/>
    </row>
    <row r="149">
      <c r="A149" s="2" t="n">
        <v>148</v>
      </c>
      <c r="B149" s="2" t="inlineStr">
        <is>
          <t>обрыв</t>
        </is>
      </c>
      <c r="C149" s="2" t="n">
        <v>7444</v>
      </c>
      <c r="D149" s="3" t="inlineStr">
        <is>
          <t>Голубка</t>
        </is>
      </c>
      <c r="E149" s="2" t="n">
        <v>1978</v>
      </c>
      <c r="F149" s="2" t="inlineStr">
        <is>
          <t>телефильм</t>
        </is>
      </c>
      <c r="G149" s="2" t="n"/>
      <c r="H149" s="2" t="n">
        <v>195</v>
      </c>
      <c r="I149" s="2" t="inlineStr">
        <is>
          <t>да</t>
        </is>
      </c>
      <c r="J149" s="2" t="inlineStr"/>
      <c r="K149" s="3" t="inlineStr">
        <is>
          <t>Сериал. Голубкой друзья зовут москвичку Женю Голубеву, окончившую строительный институт и уехавшую на большую стройку в Сибирь вместе с другими выпускниками МИСИ. По-разному сложатся их судьбы...</t>
        </is>
      </c>
      <c r="L149" s="2" t="inlineStr">
        <is>
          <t>Кино_СССР сводный каталог.xlsx: список телефильмов</t>
        </is>
      </c>
      <c r="M149" s="2">
        <f>HYPERLINK("https://ru.wikipedia.org/w/index.php?search=%D0%93%D0%BE%D0%BB%D1%83%D0%B1%D0%BA%D0%B0%201978%20%D1%84%D0%B8%D0%BB%D1%8C%D0%BC","искать")</f>
        <v/>
      </c>
      <c r="N149" s="3" t="n"/>
      <c r="O149" s="2" t="n"/>
    </row>
    <row r="150">
      <c r="A150" s="2" t="n">
        <v>149</v>
      </c>
      <c r="B150" s="2" t="inlineStr">
        <is>
          <t>обрыв</t>
        </is>
      </c>
      <c r="C150" s="2" t="n">
        <v>7730</v>
      </c>
      <c r="D150" s="3" t="inlineStr">
        <is>
          <t>Клуб женщин</t>
        </is>
      </c>
      <c r="E150" s="2" t="n">
        <v>1987</v>
      </c>
      <c r="F150" s="2" t="inlineStr">
        <is>
          <t>телефильм</t>
        </is>
      </c>
      <c r="G150" s="2" t="n"/>
      <c r="H150" s="2" t="n">
        <v>195</v>
      </c>
      <c r="I150" s="2" t="inlineStr">
        <is>
          <t>да</t>
        </is>
      </c>
      <c r="J150" s="2" t="inlineStr"/>
      <c r="K150" s="3" t="inlineStr">
        <is>
          <t>Выйдя на пенсию, Майя Дмитриевна решила активизировать свою жизнь и жизнь своих подруг. Они изучают французский язык, совершают туристические поездки. Неожиданно устраивается и их личная жизнь...</t>
        </is>
      </c>
      <c r="L150" s="2" t="inlineStr">
        <is>
          <t>Кино_СССР сводный каталог.xlsx: список телефильмов</t>
        </is>
      </c>
      <c r="M150" s="2">
        <f>HYPERLINK("https://ru.wikipedia.org/w/index.php?search=%D0%9A%D0%BB%D1%83%D0%B1%20%D0%B6%D0%B5%D0%BD%D1%89%D0%B8%D0%BD%201987%20%D1%84%D0%B8%D0%BB%D1%8C%D0%BC","искать")</f>
        <v/>
      </c>
      <c r="N150" s="3" t="n"/>
      <c r="O150" s="2" t="n"/>
    </row>
    <row r="151">
      <c r="A151" s="2" t="n">
        <v>150</v>
      </c>
      <c r="B151" s="2" t="inlineStr">
        <is>
          <t>обрыв</t>
        </is>
      </c>
      <c r="C151" s="2" t="n">
        <v>10191</v>
      </c>
      <c r="D151" s="3" t="inlineStr">
        <is>
          <t>Доктор Солт уезжает</t>
        </is>
      </c>
      <c r="E151" s="2" t="n">
        <v>1967</v>
      </c>
      <c r="F151" s="2" t="inlineStr">
        <is>
          <t>фильм-спектакль</t>
        </is>
      </c>
      <c r="G151" s="2" t="inlineStr">
        <is>
          <t>Ленинградское ТВ</t>
        </is>
      </c>
      <c r="H151" s="2" t="n">
        <v>195</v>
      </c>
      <c r="I151" s="2" t="inlineStr">
        <is>
          <t>да</t>
        </is>
      </c>
      <c r="J151" s="2" t="inlineStr"/>
      <c r="K151" s="3" t="inlineStr">
        <is>
          <t>Телефильм создан по пьесе Джона Бойтона Пристли.
Действия фильма происходят в Англии. Происходит убийство. Несмотря на попытки скрыть преступление доктор Солт устанавливает истинного виновника...</t>
        </is>
      </c>
      <c r="L151" s="2" t="inlineStr">
        <is>
          <t>https://www.kino-teatr.ru/teatr/movie/92885/annot/</t>
        </is>
      </c>
      <c r="M151" s="2">
        <f>HYPERLINK("https://ru.wikipedia.org/w/index.php?search=%D0%94%D0%BE%D0%BA%D1%82%D0%BE%D1%80%20%D0%A1%D0%BE%D0%BB%D1%82%20%D1%83%D0%B5%D0%B7%D0%B6%D0%B0%D0%B5%D1%82%201967%20%D1%84%D0%B8%D0%BB%D1%8C%D0%BC","искать")</f>
        <v/>
      </c>
      <c r="N151" s="3" t="n"/>
      <c r="O151" s="2" t="n"/>
    </row>
    <row r="152">
      <c r="A152" s="2" t="n">
        <v>151</v>
      </c>
      <c r="B152" s="2" t="inlineStr">
        <is>
          <t>обрыв</t>
        </is>
      </c>
      <c r="C152" s="2" t="n">
        <v>11196</v>
      </c>
      <c r="D152" s="3" t="inlineStr">
        <is>
          <t>Дон Жуан, или Любовь к геометрии</t>
        </is>
      </c>
      <c r="E152" s="2" t="n">
        <v>1988</v>
      </c>
      <c r="F152" s="2" t="inlineStr">
        <is>
          <t>фильм-спектакль</t>
        </is>
      </c>
      <c r="G152" s="2" t="inlineStr">
        <is>
          <t>Ленинградское телевидение</t>
        </is>
      </c>
      <c r="H152" s="2" t="n">
        <v>195</v>
      </c>
      <c r="I152" s="2" t="inlineStr">
        <is>
          <t>да</t>
        </is>
      </c>
      <c r="J152" s="2" t="inlineStr">
        <is>
          <t>да</t>
        </is>
      </c>
      <c r="K152" s="3" t="inlineStr">
        <is>
          <t>Фильм-спектакль по пьесе Макса Фриша.
Действие разворачивается в Севилье. Дон Жуан, двадцатилетний молодой человек, совершенно не интересуется женщинами. Душа его всецело принадлежит геометрии...</t>
        </is>
      </c>
      <c r="L152" s="2" t="inlineStr">
        <is>
          <t>https://www.kino-teatr.ru/teatr/movie/98279/annot/</t>
        </is>
      </c>
      <c r="M152" s="2">
        <f>HYPERLINK("https://ru.wikipedia.org/w/index.php?search=%D0%94%D0%BE%D0%BD%20%D0%96%D1%83%D0%B0%D0%BD%2C%20%D0%B8%D0%BB%D0%B8%20%D0%9B%D1%8E%D0%B1%D0%BE%D0%B2%D1%8C%20%D0%BA%20%D0%B3%D0%B5%D0%BE%D0%BC%D0%B5%D1%82%D1%80%D0%B8%D0%B8%201988%20%D1%84%D0%B8%D0%BB%D1%8C%D0%BC","искать")</f>
        <v/>
      </c>
      <c r="N152" s="3" t="n"/>
      <c r="O152" s="2" t="n"/>
    </row>
    <row r="153">
      <c r="A153" s="2" t="n">
        <v>152</v>
      </c>
      <c r="B153" s="2" t="inlineStr">
        <is>
          <t>обрыв</t>
        </is>
      </c>
      <c r="C153" s="2" t="n">
        <v>7553</v>
      </c>
      <c r="D153" s="3" t="inlineStr">
        <is>
          <t>Дорога к себе</t>
        </is>
      </c>
      <c r="E153" s="2" t="n">
        <v>1984</v>
      </c>
      <c r="F153" s="2" t="inlineStr">
        <is>
          <t>телефильм</t>
        </is>
      </c>
      <c r="G153" s="2" t="n"/>
      <c r="H153" s="2" t="n">
        <v>196</v>
      </c>
      <c r="I153" s="2" t="inlineStr">
        <is>
          <t>да</t>
        </is>
      </c>
      <c r="J153" s="2" t="inlineStr"/>
      <c r="K153" s="3" t="inlineStr">
        <is>
          <t>Телефильм. Веня Сидельников тайком от родителей уезжает на большую стройку. Только встретившись с настоящими трудностями, юноша сможет проявить лучшие черты характера и найти свое место в жизни...</t>
        </is>
      </c>
      <c r="L153" s="2" t="inlineStr">
        <is>
          <t>Кино_СССР сводный каталог.xlsx: список телефильмов</t>
        </is>
      </c>
      <c r="M153" s="2">
        <f>HYPERLINK("https://ru.wikipedia.org/w/index.php?search=%D0%94%D0%BE%D1%80%D0%BE%D0%B3%D0%B0%20%D0%BA%20%D1%81%D0%B5%D0%B1%D0%B5%201984%20%D1%84%D0%B8%D0%BB%D1%8C%D0%BC","искать")</f>
        <v/>
      </c>
      <c r="N153" s="3" t="n"/>
      <c r="O153" s="2" t="n"/>
    </row>
    <row r="154">
      <c r="A154" s="2" t="n">
        <v>153</v>
      </c>
      <c r="B154" s="2" t="inlineStr">
        <is>
          <t>обрыв</t>
        </is>
      </c>
      <c r="C154" s="2" t="n">
        <v>8123</v>
      </c>
      <c r="D154" s="3" t="inlineStr">
        <is>
          <t>По следам Карабаира</t>
        </is>
      </c>
      <c r="E154" s="2" t="n">
        <v>1979</v>
      </c>
      <c r="F154" s="2" t="inlineStr">
        <is>
          <t>телефильм</t>
        </is>
      </c>
      <c r="G154" s="2" t="n"/>
      <c r="H154" s="2" t="n">
        <v>196</v>
      </c>
      <c r="I154" s="2" t="inlineStr">
        <is>
          <t>да</t>
        </is>
      </c>
      <c r="J154" s="2" t="inlineStr">
        <is>
          <t>да</t>
        </is>
      </c>
      <c r="K154" s="3" t="inlineStr">
        <is>
          <t>По одноимённому роману Рашида Кешокова. Доблестная советская милиция борется с контрреволюционным бандитизмом, помогая кавказской бедноте идти трудной дорогой в светлое социалистическое будущее...</t>
        </is>
      </c>
      <c r="L154" s="2" t="inlineStr">
        <is>
          <t>Кино_СССР сводный каталог.xlsx: список телефильмов</t>
        </is>
      </c>
      <c r="M154" s="2">
        <f>HYPERLINK("https://ru.wikipedia.org/w/index.php?search=%D0%9F%D0%BE%20%D1%81%D0%BB%D0%B5%D0%B4%D0%B0%D0%BC%20%D0%9A%D0%B0%D1%80%D0%B0%D0%B1%D0%B0%D0%B8%D1%80%D0%B0%201979%20%D1%84%D0%B8%D0%BB%D1%8C%D0%BC","искать")</f>
        <v/>
      </c>
      <c r="N154" s="3" t="n"/>
      <c r="O154" s="2" t="n"/>
    </row>
    <row r="155">
      <c r="A155" s="2" t="n">
        <v>154</v>
      </c>
      <c r="B155" s="2" t="inlineStr">
        <is>
          <t>обрыв</t>
        </is>
      </c>
      <c r="C155" s="2" t="n">
        <v>8820</v>
      </c>
      <c r="D155" s="3" t="inlineStr">
        <is>
          <t>Мария</t>
        </is>
      </c>
      <c r="E155" s="2" t="n">
        <v>1988</v>
      </c>
      <c r="F155" s="2" t="inlineStr">
        <is>
          <t>кинофильм</t>
        </is>
      </c>
      <c r="G155" s="2" t="n"/>
      <c r="H155" s="2" t="n">
        <v>196</v>
      </c>
      <c r="I155" s="2" t="inlineStr">
        <is>
          <t>да</t>
        </is>
      </c>
      <c r="J155" s="2" t="inlineStr">
        <is>
          <t>да</t>
        </is>
      </c>
      <c r="K155" s="3" t="inlineStr">
        <is>
          <t>По мотивам новеллы Евгения Гуала "Копитами збито". Действие фильма разворачивается в первые месяцы после окончания Великой Отечественной войны. Люди, залечивая раны, возвращаются в мирную жизнь...</t>
        </is>
      </c>
      <c r="L155" s="2" t="inlineStr">
        <is>
          <t>Кино_СССР сводный каталог.xlsx: список фильмов (доп.)</t>
        </is>
      </c>
      <c r="M155" s="2">
        <f>HYPERLINK("https://ru.wikipedia.org/w/index.php?search=%D0%9C%D0%B0%D1%80%D0%B8%D1%8F%201988%20%D1%84%D0%B8%D0%BB%D1%8C%D0%BC","искать")</f>
        <v/>
      </c>
      <c r="N155" s="3" t="n"/>
      <c r="O155" s="2" t="n"/>
    </row>
    <row r="156">
      <c r="A156" s="2" t="n">
        <v>155</v>
      </c>
      <c r="B156" s="2" t="inlineStr">
        <is>
          <t>обрыв</t>
        </is>
      </c>
      <c r="C156" s="2" t="n">
        <v>9217</v>
      </c>
      <c r="D156" s="3" t="inlineStr">
        <is>
          <t>Балаган</t>
        </is>
      </c>
      <c r="E156" s="2" t="n">
        <v>1990</v>
      </c>
      <c r="F156" s="2" t="inlineStr">
        <is>
          <t>кинофильм</t>
        </is>
      </c>
      <c r="G156" s="2" t="inlineStr">
        <is>
          <t>к/с им. Довженко</t>
        </is>
      </c>
      <c r="H156" s="2" t="n">
        <v>196</v>
      </c>
      <c r="I156" s="2" t="inlineStr">
        <is>
          <t>да</t>
        </is>
      </c>
      <c r="J156" s="2" t="inlineStr"/>
      <c r="K156" s="3" t="inlineStr">
        <is>
          <t>Смешная и грустная история о поэте, которого не печатают. Из-за своей мягкости и бесхарактерности герой постоянно заканчивает день в компании "алкашей" со всеми вытекающими отсюда последствиями...</t>
        </is>
      </c>
      <c r="L156" s="2" t="inlineStr">
        <is>
          <t>Кино_СССР сводный каталог.xlsx: список фильмов (доп.)</t>
        </is>
      </c>
      <c r="M156" s="2">
        <f>HYPERLINK("https://ru.wikipedia.org/w/index.php?search=%D0%91%D0%B0%D0%BB%D0%B0%D0%B3%D0%B0%D0%BD%201990%20%D1%84%D0%B8%D0%BB%D1%8C%D0%BC","искать")</f>
        <v/>
      </c>
      <c r="N156" s="3" t="n"/>
      <c r="O156" s="2" t="n"/>
    </row>
    <row r="157">
      <c r="A157" s="2" t="n">
        <v>156</v>
      </c>
      <c r="B157" s="2" t="inlineStr">
        <is>
          <t>обрыв</t>
        </is>
      </c>
      <c r="C157" s="2" t="n">
        <v>9652</v>
      </c>
      <c r="D157" s="3" t="inlineStr">
        <is>
          <t>Случайный вальс</t>
        </is>
      </c>
      <c r="E157" s="2" t="n">
        <v>1989</v>
      </c>
      <c r="F157" s="2" t="inlineStr">
        <is>
          <t>кинофильм</t>
        </is>
      </c>
      <c r="G157" s="2" t="n"/>
      <c r="H157" s="2" t="n">
        <v>196</v>
      </c>
      <c r="I157" s="2" t="inlineStr">
        <is>
          <t>да</t>
        </is>
      </c>
      <c r="J157" s="2" t="inlineStr"/>
      <c r="K157" s="3" t="inlineStr">
        <is>
          <t>Чтобы избавиться от тоски и зарядиться оптимизмом, Татьяна Прокофьевна - немолодая женщина с привычками и повадками красавицы - приглашает к себе юных постояльцев и принимается их щедро опекать...</t>
        </is>
      </c>
      <c r="L157" s="2" t="inlineStr">
        <is>
          <t>Кино_СССР сводный каталог.xlsx: список фильмов (доп.)</t>
        </is>
      </c>
      <c r="M157" s="2">
        <f>HYPERLINK("https://ru.wikipedia.org/w/index.php?search=%D0%A1%D0%BB%D1%83%D1%87%D0%B0%D0%B9%D0%BD%D1%8B%D0%B9%20%D0%B2%D0%B0%D0%BB%D1%8C%D1%81%201989%20%D1%84%D0%B8%D0%BB%D1%8C%D0%BC","искать")</f>
        <v/>
      </c>
      <c r="N157" s="3" t="n"/>
      <c r="O157" s="2" t="n"/>
    </row>
    <row r="158">
      <c r="A158" s="2" t="n">
        <v>157</v>
      </c>
      <c r="B158" s="2" t="inlineStr">
        <is>
          <t>обрыв</t>
        </is>
      </c>
      <c r="C158" s="2" t="n">
        <v>10697</v>
      </c>
      <c r="D158" s="3" t="inlineStr">
        <is>
          <t>Мгновение правды</t>
        </is>
      </c>
      <c r="E158" s="2" t="n">
        <v>1977</v>
      </c>
      <c r="F158" s="2" t="inlineStr">
        <is>
          <t>фильм-спектакль</t>
        </is>
      </c>
      <c r="G158" s="2" t="inlineStr">
        <is>
          <t>Литовское телевидение</t>
        </is>
      </c>
      <c r="H158" s="2" t="n">
        <v>198</v>
      </c>
      <c r="I158" s="2" t="inlineStr">
        <is>
          <t>да</t>
        </is>
      </c>
      <c r="J158" s="2" t="inlineStr"/>
      <c r="K158" s="3" t="inlineStr">
        <is>
          <t>Спектакль по пьесе А.Лауринчюкаса, в которой персонажи втянуты в интригующий сюжет с элементами детектива и мелодрамы . По мере того как развиваются события, проявляются моральные принципы героев...</t>
        </is>
      </c>
      <c r="L158" s="2" t="inlineStr">
        <is>
          <t>https://www.kino-teatr.ru/teatr/movie/106588/annot/</t>
        </is>
      </c>
      <c r="M158" s="2">
        <f>HYPERLINK("https://ru.wikipedia.org/w/index.php?search=%D0%9C%D0%B3%D0%BD%D0%BE%D0%B2%D0%B5%D0%BD%D0%B8%D0%B5%20%D0%BF%D1%80%D0%B0%D0%B2%D0%B4%D1%8B%201977%20%D1%84%D0%B8%D0%BB%D1%8C%D0%BC","искать")</f>
        <v/>
      </c>
      <c r="N158" s="3" t="n"/>
      <c r="O158" s="2" t="n"/>
    </row>
    <row r="159">
      <c r="A159" s="2" t="n">
        <v>158</v>
      </c>
      <c r="B159" s="2" t="inlineStr">
        <is>
          <t>обрыв</t>
        </is>
      </c>
      <c r="C159" s="2" t="n">
        <v>9072</v>
      </c>
      <c r="D159" s="3" t="inlineStr">
        <is>
          <t>Стервятники на дорогах</t>
        </is>
      </c>
      <c r="E159" s="2" t="n">
        <v>1990</v>
      </c>
      <c r="F159" s="2" t="inlineStr">
        <is>
          <t>кинофильм</t>
        </is>
      </c>
      <c r="G159" s="2" t="n"/>
      <c r="H159" s="2" t="n">
        <v>199</v>
      </c>
      <c r="I159" s="2" t="inlineStr">
        <is>
          <t>да</t>
        </is>
      </c>
      <c r="J159" s="2" t="inlineStr"/>
      <c r="K159" s="3" t="inlineStr">
        <is>
          <t>Стервятники на дорогах - это организованная банда грабителей и убийц. Они убивают друга водителя-дальнобойщика, жена которого ждет ребенка. Милиция помочь не может, и тогда он один начинает мстить...</t>
        </is>
      </c>
      <c r="L159" s="2" t="inlineStr">
        <is>
          <t>Кино_СССР сводный каталог.xlsx: список фильмов (доп.)</t>
        </is>
      </c>
      <c r="M159" s="2">
        <f>HYPERLINK("https://ru.wikipedia.org/w/index.php?search=%D0%A1%D1%82%D0%B5%D1%80%D0%B2%D1%8F%D1%82%D0%BD%D0%B8%D0%BA%D0%B8%20%D0%BD%D0%B0%20%D0%B4%D0%BE%D1%80%D0%BE%D0%B3%D0%B0%D1%85%201990%20%D1%84%D0%B8%D0%BB%D1%8C%D0%BC","искать")</f>
        <v/>
      </c>
      <c r="N159" s="3" t="n"/>
      <c r="O159" s="2" t="n"/>
    </row>
    <row r="160">
      <c r="A160" s="2" t="n">
        <v>159</v>
      </c>
      <c r="B160" s="2" t="inlineStr">
        <is>
          <t>обрыв</t>
        </is>
      </c>
      <c r="C160" s="2" t="n">
        <v>10685</v>
      </c>
      <c r="D160" s="3" t="inlineStr">
        <is>
          <t>Деревья умирают стоя</t>
        </is>
      </c>
      <c r="E160" s="2" t="n">
        <v>1977</v>
      </c>
      <c r="F160" s="2" t="inlineStr">
        <is>
          <t>фильм-спектакль</t>
        </is>
      </c>
      <c r="G160" s="2" t="inlineStr">
        <is>
          <t>Ленинградское телевидение</t>
        </is>
      </c>
      <c r="H160" s="2" t="n">
        <v>199</v>
      </c>
      <c r="I160" s="2" t="inlineStr">
        <is>
          <t>да</t>
        </is>
      </c>
      <c r="J160" s="2" t="inlineStr"/>
      <c r="K160" s="3" t="inlineStr">
        <is>
          <t>По мотивам пьесы испанского драматурга Алехандро Касона.
Прошло 20 лет с тех самых пор, как мистер Бальбоа, будучи не в состоянии смириться с дурными наклонностями своего внука, выгнал его из дома...</t>
        </is>
      </c>
      <c r="L160" s="2" t="inlineStr">
        <is>
          <t>https://www.kino-teatr.ru/teatr/movie/16162/annot/</t>
        </is>
      </c>
      <c r="M160" s="2">
        <f>HYPERLINK("https://ru.wikipedia.org/w/index.php?search=%D0%94%D0%B5%D1%80%D0%B5%D0%B2%D1%8C%D1%8F%20%D1%83%D0%BC%D0%B8%D1%80%D0%B0%D1%8E%D1%82%20%D1%81%D1%82%D0%BE%D1%8F%201977%20%D1%84%D0%B8%D0%BB%D1%8C%D0%BC","искать")</f>
        <v/>
      </c>
      <c r="N160" s="3" t="n"/>
      <c r="O160" s="2" t="n"/>
    </row>
    <row r="161">
      <c r="A161" s="2" t="n">
        <v>160</v>
      </c>
      <c r="B161" s="2" t="inlineStr">
        <is>
          <t>обрыв</t>
        </is>
      </c>
      <c r="C161" s="2" t="n">
        <v>9595</v>
      </c>
      <c r="D161" s="3" t="inlineStr">
        <is>
          <t>Продление рода</t>
        </is>
      </c>
      <c r="E161" s="2" t="n">
        <v>1988</v>
      </c>
      <c r="F161" s="2" t="inlineStr">
        <is>
          <t>кинофильм</t>
        </is>
      </c>
      <c r="G161" s="2" t="n"/>
      <c r="H161" s="2" t="n">
        <v>200</v>
      </c>
      <c r="I161" s="2" t="inlineStr">
        <is>
          <t>да</t>
        </is>
      </c>
      <c r="J161" s="2" t="inlineStr"/>
      <c r="K161" s="3" t="inlineStr">
        <is>
          <t>По книге Сергея Алексеева. Недалеко от военного аэродрома находится полуразрушенный древний монастырь. Группа местных энтузиастов и столичных реставраторов пытается восстановить разрушенную обитель...</t>
        </is>
      </c>
      <c r="L161" s="2" t="inlineStr">
        <is>
          <t>Кино_СССР сводный каталог.xlsx: список фильмов (доп.)</t>
        </is>
      </c>
      <c r="M161" s="2">
        <f>HYPERLINK("https://ru.wikipedia.org/w/index.php?search=%D0%9F%D1%80%D0%BE%D0%B4%D0%BB%D0%B5%D0%BD%D0%B8%D0%B5%20%D1%80%D0%BE%D0%B4%D0%B0%201988%20%D1%84%D0%B8%D0%BB%D1%8C%D0%BC","искать")</f>
        <v/>
      </c>
      <c r="N161" s="3" t="n"/>
      <c r="O161" s="2" t="n"/>
    </row>
    <row r="162">
      <c r="A162" s="2" t="n">
        <v>161</v>
      </c>
      <c r="B162" s="2" t="inlineStr">
        <is>
          <t>обрыв</t>
        </is>
      </c>
      <c r="C162" s="2" t="n">
        <v>9260</v>
      </c>
      <c r="D162" s="3" t="inlineStr">
        <is>
          <t>В городе Сочи тёмные ночи</t>
        </is>
      </c>
      <c r="E162" s="2" t="n">
        <v>1989</v>
      </c>
      <c r="F162" s="2" t="inlineStr">
        <is>
          <t>кинофильм</t>
        </is>
      </c>
      <c r="G162" s="2" t="n"/>
      <c r="H162" s="2" t="n">
        <v>201</v>
      </c>
      <c r="I162" s="2" t="inlineStr">
        <is>
          <t>да</t>
        </is>
      </c>
      <c r="J162" s="2" t="inlineStr"/>
      <c r="K162" s="3" t="inlineStr">
        <is>
          <t>Авантюрная история путешествия страной парочки - исключенной из института двадцатичетырёхлетней Лены и пятидесятилетнего мошенника-сантехника Степаныча - в поисках беспечной жизни оказавшейся в Сочи...</t>
        </is>
      </c>
      <c r="L162" s="2" t="inlineStr">
        <is>
          <t>Кино_СССР сводный каталог.xlsx: список фильмов (доп.)</t>
        </is>
      </c>
      <c r="M162" s="2">
        <f>HYPERLINK("https://ru.wikipedia.org/w/index.php?search=%D0%92%20%D0%B3%D0%BE%D1%80%D0%BE%D0%B4%D0%B5%20%D0%A1%D0%BE%D1%87%D0%B8%20%D1%82%D1%91%D0%BC%D0%BD%D1%8B%D0%B5%20%D0%BD%D0%BE%D1%87%D0%B8%201989%20%D1%84%D0%B8%D0%BB%D1%8C%D0%BC","искать")</f>
        <v/>
      </c>
      <c r="N162" s="3" t="n"/>
      <c r="O162" s="2" t="n"/>
    </row>
    <row r="163">
      <c r="A163" s="2" t="n">
        <v>162</v>
      </c>
      <c r="B163" s="2" t="inlineStr">
        <is>
          <t>обрыв</t>
        </is>
      </c>
      <c r="C163" s="2" t="n">
        <v>9762</v>
      </c>
      <c r="D163" s="3" t="inlineStr">
        <is>
          <t>Шакалы</t>
        </is>
      </c>
      <c r="E163" s="2" t="n">
        <v>1989</v>
      </c>
      <c r="F163" s="2" t="inlineStr">
        <is>
          <t>кинофильм</t>
        </is>
      </c>
      <c r="G163" s="2" t="n"/>
      <c r="H163" s="2" t="n">
        <v>201</v>
      </c>
      <c r="I163" s="2" t="inlineStr">
        <is>
          <t>да</t>
        </is>
      </c>
      <c r="J163" s="2" t="inlineStr"/>
      <c r="K163" s="3" t="inlineStr">
        <is>
          <t>Трое демобилизованных «афганцев» прибывают в один из городов Средней Азии. И уже в аэропорту между ними и местной неофашистской организацией, безнаказанно бесчинствующей в городе, начинается схватка...</t>
        </is>
      </c>
      <c r="L163" s="2" t="inlineStr">
        <is>
          <t>Кино_СССР сводный каталог.xlsx: список фильмов (доп.)</t>
        </is>
      </c>
      <c r="M163" s="2">
        <f>HYPERLINK("https://ru.wikipedia.org/w/index.php?search=%D0%A8%D0%B0%D0%BA%D0%B0%D0%BB%D1%8B%201989%20%D1%84%D0%B8%D0%BB%D1%8C%D0%BC","искать")</f>
        <v/>
      </c>
      <c r="N163" s="3" t="n"/>
      <c r="O163" s="2" t="n"/>
    </row>
    <row r="164">
      <c r="A164" s="2" t="n">
        <v>163</v>
      </c>
      <c r="B164" s="2" t="inlineStr">
        <is>
          <t>обрыв</t>
        </is>
      </c>
      <c r="C164" s="2" t="n">
        <v>9897</v>
      </c>
      <c r="D164" s="3" t="inlineStr">
        <is>
          <t>Старая черешня</t>
        </is>
      </c>
      <c r="E164" s="2" t="n">
        <v>1972</v>
      </c>
      <c r="F164" s="2" t="inlineStr">
        <is>
          <t>кинофильм</t>
        </is>
      </c>
      <c r="G164" s="2" t="inlineStr">
        <is>
          <t>Азербайджанфильм</t>
        </is>
      </c>
      <c r="H164" s="2" t="n">
        <v>201</v>
      </c>
      <c r="I164" s="2" t="inlineStr">
        <is>
          <t>да</t>
        </is>
      </c>
      <c r="J164" s="2" t="inlineStr">
        <is>
          <t>да</t>
        </is>
      </c>
      <c r="K164" s="3" t="inlineStr">
        <is>
          <t>По мотивам одноименного рассказа Акрама Айлисли. Во дворе дома мельника росла старая черешня, ставшая деревенской реликвией. И что бы ни случалось, всегда возле нее собирались жители, резвились дети...</t>
        </is>
      </c>
      <c r="L164" s="2" t="inlineStr">
        <is>
          <t>https://www.kino-teatr.ru/short/movie/sov/85452/annot/</t>
        </is>
      </c>
      <c r="M164" s="2">
        <f>HYPERLINK("https://ru.wikipedia.org/w/index.php?search=%D0%A1%D1%82%D0%B0%D1%80%D0%B0%D1%8F%20%D1%87%D0%B5%D1%80%D0%B5%D1%88%D0%BD%D1%8F%201972%20%D1%84%D0%B8%D0%BB%D1%8C%D0%BC","искать")</f>
        <v/>
      </c>
      <c r="N164" s="3" t="n"/>
      <c r="O164" s="2" t="n"/>
    </row>
    <row r="165">
      <c r="A165" s="2" t="n">
        <v>164</v>
      </c>
      <c r="B165" s="2" t="inlineStr">
        <is>
          <t>обрыв</t>
        </is>
      </c>
      <c r="C165" s="2" t="n">
        <v>10065</v>
      </c>
      <c r="D165" s="3" t="inlineStr">
        <is>
          <t>Три маски</t>
        </is>
      </c>
      <c r="E165" s="2" t="n">
        <v>1957</v>
      </c>
      <c r="F165" s="2" t="inlineStr">
        <is>
          <t>фильм-спектакль</t>
        </is>
      </c>
      <c r="G165" s="2" t="inlineStr">
        <is>
          <t>Radiotelevisão Portuguesa (RTP)</t>
        </is>
      </c>
      <c r="H165" s="2" t="n">
        <v>201</v>
      </c>
      <c r="I165" s="2" t="inlineStr">
        <is>
          <t>да</t>
        </is>
      </c>
      <c r="J165" s="2" t="inlineStr"/>
      <c r="K165" s="3" t="inlineStr">
        <is>
          <t>По пьесе португальского драматурга Жозе Режиу.
Главные персонажи-маски телеспектакля - Мефистофель, Коломбина и Пьеро. Пьеро и Мефистофель соперничают за сердце служанки Коломбины во время карнавала...</t>
        </is>
      </c>
      <c r="L165" s="2" t="inlineStr">
        <is>
          <t>https://www.kino-teatr.ru/teatr/movie/130573/annot/</t>
        </is>
      </c>
      <c r="M165" s="2">
        <f>HYPERLINK("https://ru.wikipedia.org/w/index.php?search=%D0%A2%D1%80%D0%B8%20%D0%BC%D0%B0%D1%81%D0%BA%D0%B8%201957%20%D1%84%D0%B8%D0%BB%D1%8C%D0%BC","искать")</f>
        <v/>
      </c>
      <c r="N165" s="3" t="n"/>
      <c r="O165" s="2" t="n"/>
    </row>
    <row r="166">
      <c r="A166" s="2" t="n">
        <v>165</v>
      </c>
      <c r="B166" s="2" t="inlineStr">
        <is>
          <t>обрыв</t>
        </is>
      </c>
      <c r="C166" s="2" t="n">
        <v>7611</v>
      </c>
      <c r="D166" s="3" t="inlineStr">
        <is>
          <t>За всё заплачено</t>
        </is>
      </c>
      <c r="E166" s="2" t="n">
        <v>1988</v>
      </c>
      <c r="F166" s="2" t="inlineStr">
        <is>
          <t>телефильм</t>
        </is>
      </c>
      <c r="G166" s="2" t="inlineStr">
        <is>
          <t>ТО «Экран»</t>
        </is>
      </c>
      <c r="H166" s="2" t="n">
        <v>202</v>
      </c>
      <c r="I166" s="2" t="inlineStr">
        <is>
          <t>да</t>
        </is>
      </c>
      <c r="J166" s="2" t="inlineStr"/>
      <c r="K166" s="3" t="inlineStr">
        <is>
          <t>По мотивам одноименной документальной повести А.Смирнова. Пятеро воинов-"афганцев" после демобилизации едут в Сибирь, чтобы заработать на памятник своему погибшему другу. Для них война не закончилась...</t>
        </is>
      </c>
      <c r="L166" s="2" t="inlineStr">
        <is>
          <t>Кино_СССР сводный каталог.xlsx: список телефильмов</t>
        </is>
      </c>
      <c r="M166" s="2">
        <f>HYPERLINK("https://ru.wikipedia.org/w/index.php?search=%D0%97%D0%B0%20%D0%B2%D1%81%D1%91%20%D0%B7%D0%B0%D0%BF%D0%BB%D0%B0%D1%87%D0%B5%D0%BD%D0%BE%201988%20%D1%84%D0%B8%D0%BB%D1%8C%D0%BC","искать")</f>
        <v/>
      </c>
      <c r="N166" s="3" t="n"/>
      <c r="O166" s="2" t="n"/>
    </row>
    <row r="167">
      <c r="A167" s="2" t="n">
        <v>166</v>
      </c>
      <c r="B167" s="2" t="inlineStr">
        <is>
          <t>обрыв</t>
        </is>
      </c>
      <c r="C167" s="2" t="n">
        <v>8383</v>
      </c>
      <c r="D167" s="3" t="inlineStr">
        <is>
          <t>Сорванцы, вперёд!</t>
        </is>
      </c>
      <c r="E167" s="2" t="n">
        <v>1986</v>
      </c>
      <c r="F167" s="2" t="inlineStr">
        <is>
          <t>телефильм</t>
        </is>
      </c>
      <c r="G167" s="2" t="n"/>
      <c r="H167" s="2" t="n">
        <v>202</v>
      </c>
      <c r="I167" s="2" t="inlineStr">
        <is>
          <t>да</t>
        </is>
      </c>
      <c r="J167" s="2" t="inlineStr">
        <is>
          <t>да</t>
        </is>
      </c>
      <c r="K167" s="3" t="inlineStr">
        <is>
          <t>Фильм поставлен по мотивам повести В.Даутартаса "Он - капитан Сорвиголова" и рассказывает о трёх мальчишках, обделённых вниманием родителей и в чём-то разочаровавшихся, ищущих романтики и приключений...</t>
        </is>
      </c>
      <c r="L167" s="2" t="inlineStr">
        <is>
          <t>Кино_СССР сводный каталог.xlsx: список телефильмов</t>
        </is>
      </c>
      <c r="M167" s="2">
        <f>HYPERLINK("https://ru.wikipedia.org/w/index.php?search=%D0%A1%D0%BE%D1%80%D0%B2%D0%B0%D0%BD%D1%86%D1%8B%2C%20%D0%B2%D0%BF%D0%B5%D1%80%D1%91%D0%B4%21%201986%20%D1%84%D0%B8%D0%BB%D1%8C%D0%BC","искать")</f>
        <v/>
      </c>
      <c r="N167" s="3" t="n"/>
      <c r="O167" s="2" t="n"/>
    </row>
    <row r="168">
      <c r="A168" s="2" t="n">
        <v>167</v>
      </c>
      <c r="B168" s="2" t="inlineStr">
        <is>
          <t>обрыв</t>
        </is>
      </c>
      <c r="C168" s="2" t="n">
        <v>7201</v>
      </c>
      <c r="D168" s="3" t="inlineStr">
        <is>
          <t>Активная зона</t>
        </is>
      </c>
      <c r="E168" s="2" t="n">
        <v>1979</v>
      </c>
      <c r="F168" s="2" t="inlineStr">
        <is>
          <t>телефильм</t>
        </is>
      </c>
      <c r="G168" s="2" t="n"/>
      <c r="H168" s="2" t="n">
        <v>203</v>
      </c>
      <c r="I168" s="2" t="inlineStr">
        <is>
          <t>да</t>
        </is>
      </c>
      <c r="J168" s="2" t="inlineStr"/>
      <c r="K168" s="3" t="inlineStr">
        <is>
          <t>В основе сюжета борьба нового секретаря парткома атомной электростанции против достижения высоких показателей за счет нарушения норм эксплуатации техники и за улучшение морального климата в коллективе...</t>
        </is>
      </c>
      <c r="L168" s="2" t="inlineStr">
        <is>
          <t>Кино_СССР сводный каталог.xlsx: список телефильмов</t>
        </is>
      </c>
      <c r="M168" s="2">
        <f>HYPERLINK("https://ru.wikipedia.org/w/index.php?search=%D0%90%D0%BA%D1%82%D0%B8%D0%B2%D0%BD%D0%B0%D1%8F%20%D0%B7%D0%BE%D0%BD%D0%B0%201979%20%D1%84%D0%B8%D0%BB%D1%8C%D0%BC","искать")</f>
        <v/>
      </c>
      <c r="N168" s="3" t="n"/>
      <c r="O168" s="2" t="n"/>
    </row>
    <row r="169">
      <c r="A169" s="2" t="n">
        <v>168</v>
      </c>
      <c r="B169" s="2" t="inlineStr">
        <is>
          <t>обрыв</t>
        </is>
      </c>
      <c r="C169" s="2" t="n">
        <v>7388</v>
      </c>
      <c r="D169" s="3" t="inlineStr">
        <is>
          <t>Время выбрало нас</t>
        </is>
      </c>
      <c r="E169" s="2" t="n">
        <v>1976</v>
      </c>
      <c r="F169" s="2" t="inlineStr">
        <is>
          <t>телефильм</t>
        </is>
      </c>
      <c r="G169" s="2" t="n"/>
      <c r="H169" s="2" t="n">
        <v>203</v>
      </c>
      <c r="I169" s="2" t="inlineStr">
        <is>
          <t>да</t>
        </is>
      </c>
      <c r="J169" s="2" t="inlineStr"/>
      <c r="K169" s="3" t="inlineStr">
        <is>
          <t>Многосерийный телефильм. Партизанская сага. Зима 1942 года. Ивану Воронецкому в качестве уполномоченного Центрального комитета комсомола Белоруссии и его группе из пяти человек поручают особое задание...</t>
        </is>
      </c>
      <c r="L169" s="2" t="inlineStr">
        <is>
          <t>Кино_СССР сводный каталог.xlsx: список телефильмов</t>
        </is>
      </c>
      <c r="M169" s="2">
        <f>HYPERLINK("https://ru.wikipedia.org/w/index.php?search=%D0%92%D1%80%D0%B5%D0%BC%D1%8F%20%D0%B2%D1%8B%D0%B1%D1%80%D0%B0%D0%BB%D0%BE%20%D0%BD%D0%B0%D1%81%201976%20%D1%84%D0%B8%D0%BB%D1%8C%D0%BC","искать")</f>
        <v/>
      </c>
      <c r="N169" s="3" t="n"/>
      <c r="O169" s="2" t="n"/>
    </row>
    <row r="170">
      <c r="A170" s="2" t="n">
        <v>169</v>
      </c>
      <c r="B170" s="2" t="inlineStr">
        <is>
          <t>обрыв</t>
        </is>
      </c>
      <c r="C170" s="2" t="n">
        <v>7762</v>
      </c>
      <c r="D170" s="3" t="inlineStr">
        <is>
          <t>Красная юрта</t>
        </is>
      </c>
      <c r="E170" s="2" t="n">
        <v>1982</v>
      </c>
      <c r="F170" s="2" t="inlineStr">
        <is>
          <t>телефильм</t>
        </is>
      </c>
      <c r="G170" s="2" t="n"/>
      <c r="H170" s="2" t="n">
        <v>203</v>
      </c>
      <c r="I170" s="2" t="inlineStr">
        <is>
          <t>да</t>
        </is>
      </c>
      <c r="J170" s="2" t="inlineStr"/>
      <c r="K170" s="3" t="inlineStr">
        <is>
          <t>В годы коллективизации в глухой казахский аул приехала агитбригада "Красная юрта". Боясь организации в ауле колхоза, местные жители пытались бежать за границу, но члены агитбригады вступили с ними в бой…</t>
        </is>
      </c>
      <c r="L170" s="2" t="inlineStr">
        <is>
          <t>Кино_СССР сводный каталог.xlsx: список телефильмов</t>
        </is>
      </c>
      <c r="M170" s="2">
        <f>HYPERLINK("https://ru.wikipedia.org/w/index.php?search=%D0%9A%D1%80%D0%B0%D1%81%D0%BD%D0%B0%D1%8F%20%D1%8E%D1%80%D1%82%D0%B0%201982%20%D1%84%D0%B8%D0%BB%D1%8C%D0%BC","искать")</f>
        <v/>
      </c>
      <c r="N170" s="3" t="n"/>
      <c r="O170" s="2" t="n"/>
    </row>
    <row r="171">
      <c r="A171" s="2" t="n">
        <v>170</v>
      </c>
      <c r="B171" s="2" t="inlineStr">
        <is>
          <t>обрыв</t>
        </is>
      </c>
      <c r="C171" s="2" t="n">
        <v>9342</v>
      </c>
      <c r="D171" s="3" t="inlineStr">
        <is>
          <t>До первой крови</t>
        </is>
      </c>
      <c r="E171" s="2" t="n">
        <v>1989</v>
      </c>
      <c r="F171" s="2" t="inlineStr">
        <is>
          <t>кинофильм</t>
        </is>
      </c>
      <c r="G171" s="2" t="n"/>
      <c r="H171" s="2" t="n">
        <v>204</v>
      </c>
      <c r="I171" s="2" t="inlineStr">
        <is>
          <t>да</t>
        </is>
      </c>
      <c r="J171" s="2" t="inlineStr"/>
      <c r="K171" s="3" t="inlineStr">
        <is>
          <t>В пионерском лагере дети играют в войну. "Синие" противостоят "зеленым". Шантажируя друг друга и делая ставки на низкие струнки партнеров, они доходят до предела недоверия, доводя игру до опасной черты...</t>
        </is>
      </c>
      <c r="L171" s="2" t="inlineStr">
        <is>
          <t>Кино_СССР сводный каталог.xlsx: список фильмов (доп.)</t>
        </is>
      </c>
      <c r="M171" s="2">
        <f>HYPERLINK("https://ru.wikipedia.org/w/index.php?search=%D0%94%D0%BE%20%D0%BF%D0%B5%D1%80%D0%B2%D0%BE%D0%B9%20%D0%BA%D1%80%D0%BE%D0%B2%D0%B8%201989%20%D1%84%D0%B8%D0%BB%D1%8C%D0%BC","искать")</f>
        <v/>
      </c>
      <c r="N171" s="3" t="n"/>
      <c r="O171" s="2" t="n"/>
    </row>
    <row r="172">
      <c r="A172" s="2" t="n">
        <v>171</v>
      </c>
      <c r="B172" s="2" t="inlineStr">
        <is>
          <t>обрыв</t>
        </is>
      </c>
      <c r="C172" s="2" t="n">
        <v>8552</v>
      </c>
      <c r="D172" s="3" t="inlineStr">
        <is>
          <t>Чемпион</t>
        </is>
      </c>
      <c r="E172" s="2" t="n">
        <v>1979</v>
      </c>
      <c r="F172" s="2" t="inlineStr">
        <is>
          <t>телефильм</t>
        </is>
      </c>
      <c r="G172" s="2" t="n"/>
      <c r="H172" s="2" t="n">
        <v>205</v>
      </c>
      <c r="I172" s="2" t="inlineStr">
        <is>
          <t>да</t>
        </is>
      </c>
      <c r="J172" s="2" t="inlineStr"/>
      <c r="K172" s="3" t="inlineStr">
        <is>
          <t>По мотивам одноименной повести Б.Сокпакбаева. О том, как дружба с веселой и находчивой девочкой помогла герою фильма преодолеть свою нерешительность и стать победителем в школьных соревнованиях по боксу...</t>
        </is>
      </c>
      <c r="L172" s="2" t="inlineStr">
        <is>
          <t>Кино_СССР сводный каталог.xlsx: список телефильмов</t>
        </is>
      </c>
      <c r="M172" s="2">
        <f>HYPERLINK("https://ru.wikipedia.org/w/index.php?search=%D0%A7%D0%B5%D0%BC%D0%BF%D0%B8%D0%BE%D0%BD%201979%20%D1%84%D0%B8%D0%BB%D1%8C%D0%BC","искать")</f>
        <v/>
      </c>
      <c r="N172" s="3" t="n"/>
      <c r="O172" s="2" t="n"/>
    </row>
    <row r="173">
      <c r="A173" s="2" t="n">
        <v>172</v>
      </c>
      <c r="B173" s="2" t="inlineStr">
        <is>
          <t>обрыв</t>
        </is>
      </c>
      <c r="C173" s="2" t="n">
        <v>9642</v>
      </c>
      <c r="D173" s="3" t="inlineStr">
        <is>
          <t>Сестрички Либерти</t>
        </is>
      </c>
      <c r="E173" s="2" t="n">
        <v>1990</v>
      </c>
      <c r="F173" s="2" t="inlineStr">
        <is>
          <t>кинофильм</t>
        </is>
      </c>
      <c r="G173" s="2" t="n"/>
      <c r="H173" s="2" t="n">
        <v>205</v>
      </c>
      <c r="I173" s="2" t="inlineStr">
        <is>
          <t>да</t>
        </is>
      </c>
      <c r="J173" s="2" t="inlineStr"/>
      <c r="K173" s="3" t="inlineStr">
        <is>
          <t>Две юные, простодушные сестрицы-близняшки очарованы художником-модернистом, который к ним снисходителен и даже вводит их в круг 'избранных'. Девочки в полном восторге - им нравится исполнять его капризы...</t>
        </is>
      </c>
      <c r="L173" s="2" t="inlineStr">
        <is>
          <t>Кино_СССР сводный каталог.xlsx: список фильмов (доп.)</t>
        </is>
      </c>
      <c r="M173" s="2">
        <f>HYPERLINK("https://ru.wikipedia.org/w/index.php?search=%D0%A1%D0%B5%D1%81%D1%82%D1%80%D0%B8%D1%87%D0%BA%D0%B8%20%D0%9B%D0%B8%D0%B1%D0%B5%D1%80%D1%82%D0%B8%201990%20%D1%84%D0%B8%D0%BB%D1%8C%D0%BC","искать")</f>
        <v/>
      </c>
      <c r="N173" s="3" t="n"/>
      <c r="O173" s="2" t="n"/>
    </row>
    <row r="174">
      <c r="A174" s="2" t="n">
        <v>173</v>
      </c>
      <c r="B174" s="2" t="inlineStr">
        <is>
          <t>обрыв</t>
        </is>
      </c>
      <c r="C174" s="2" t="n">
        <v>8362</v>
      </c>
      <c r="D174" s="3" t="inlineStr">
        <is>
          <t>Смерть под парусом</t>
        </is>
      </c>
      <c r="E174" s="2" t="n">
        <v>1976</v>
      </c>
      <c r="F174" s="2" t="inlineStr">
        <is>
          <t>телефильм</t>
        </is>
      </c>
      <c r="G174" s="2" t="n"/>
      <c r="H174" s="2" t="n">
        <v>206</v>
      </c>
      <c r="I174" s="2" t="inlineStr">
        <is>
          <t>да</t>
        </is>
      </c>
      <c r="J174" s="2" t="inlineStr"/>
      <c r="K174" s="3" t="inlineStr">
        <is>
          <t>Телефильм. Детектив по одноименному роману Чарльза Сноу. Молодые люди, принадлежащие к аристократическому обществу, проводят уик-энд на яхте. Однажды ранним утром на палубе находят убитого владельца яхты...</t>
        </is>
      </c>
      <c r="L174" s="2" t="inlineStr">
        <is>
          <t>Кино_СССР сводный каталог.xlsx: список телефильмов</t>
        </is>
      </c>
      <c r="M174" s="2">
        <f>HYPERLINK("https://ru.wikipedia.org/w/index.php?search=%D0%A1%D0%BC%D0%B5%D1%80%D1%82%D1%8C%20%D0%BF%D0%BE%D0%B4%20%D0%BF%D0%B0%D1%80%D1%83%D1%81%D0%BE%D0%BC%201976%20%D1%84%D0%B8%D0%BB%D1%8C%D0%BC","искать")</f>
        <v/>
      </c>
      <c r="N174" s="3" t="n"/>
      <c r="O174" s="2" t="n"/>
    </row>
    <row r="175">
      <c r="A175" s="2" t="n">
        <v>174</v>
      </c>
      <c r="B175" s="2" t="inlineStr">
        <is>
          <t>обрыв</t>
        </is>
      </c>
      <c r="C175" s="2" t="n">
        <v>9253</v>
      </c>
      <c r="D175" s="3" t="inlineStr">
        <is>
          <t>Бродячий автобус</t>
        </is>
      </c>
      <c r="E175" s="2" t="n">
        <v>1989</v>
      </c>
      <c r="F175" s="2" t="inlineStr">
        <is>
          <t>кинофильм</t>
        </is>
      </c>
      <c r="G175" s="2" t="n"/>
      <c r="H175" s="2" t="n">
        <v>208</v>
      </c>
      <c r="I175" s="2" t="inlineStr">
        <is>
          <t>да</t>
        </is>
      </c>
      <c r="J175" s="2" t="inlineStr"/>
      <c r="K175" s="3" t="inlineStr">
        <is>
          <t>Разъезжает от села к селу разбитый старенький автобус с маленькой труппой, чтобы дать в день два-три спектакля перед немногочисленной аудиторией. В труппе - люди, каждый из них по-своему влюбленный в театр...</t>
        </is>
      </c>
      <c r="L175" s="2" t="inlineStr">
        <is>
          <t>Кино_СССР сводный каталог.xlsx: список фильмов (доп.)</t>
        </is>
      </c>
      <c r="M175" s="2">
        <f>HYPERLINK("https://ru.wikipedia.org/w/index.php?search=%D0%91%D1%80%D0%BE%D0%B4%D1%8F%D1%87%D0%B8%D0%B9%20%D0%B0%D0%B2%D1%82%D0%BE%D0%B1%D1%83%D1%81%201989%20%D1%84%D0%B8%D0%BB%D1%8C%D0%BC","искать")</f>
        <v/>
      </c>
      <c r="N175" s="3" t="n"/>
      <c r="O175" s="2" t="n"/>
    </row>
    <row r="176">
      <c r="A176" s="2" t="n">
        <v>175</v>
      </c>
      <c r="B176" s="2" t="inlineStr">
        <is>
          <t>обрыв</t>
        </is>
      </c>
      <c r="C176" s="2" t="n">
        <v>9289</v>
      </c>
      <c r="D176" s="3" t="inlineStr">
        <is>
          <t>Встретимся на Таити</t>
        </is>
      </c>
      <c r="E176" s="2" t="n">
        <v>1991</v>
      </c>
      <c r="F176" s="2" t="inlineStr">
        <is>
          <t>кинофильм</t>
        </is>
      </c>
      <c r="G176" s="2" t="n"/>
      <c r="H176" s="2" t="n">
        <v>208</v>
      </c>
      <c r="I176" s="2" t="inlineStr">
        <is>
          <t>да</t>
        </is>
      </c>
      <c r="J176" s="2" t="inlineStr"/>
      <c r="K176" s="3" t="inlineStr">
        <is>
          <t>О массажистке Жанне, бармене Максе, безработном астрономе Сандре и красавице Лене, вышедшей замуж за француза. Герои мечтают о Таити. Они молоды, веселы, талантливы, артистичны - и их мечта становится явью...</t>
        </is>
      </c>
      <c r="L176" s="2" t="inlineStr">
        <is>
          <t>Кино_СССР сводный каталог.xlsx: список фильмов (доп.)</t>
        </is>
      </c>
      <c r="M176" s="2">
        <f>HYPERLINK("https://ru.wikipedia.org/w/index.php?search=%D0%92%D1%81%D1%82%D1%80%D0%B5%D1%82%D0%B8%D0%BC%D1%81%D1%8F%20%D0%BD%D0%B0%20%D0%A2%D0%B0%D0%B8%D1%82%D0%B8%201991%20%D1%84%D0%B8%D0%BB%D1%8C%D0%BC","искать")</f>
        <v/>
      </c>
      <c r="N176" s="3" t="n"/>
      <c r="O176" s="2" t="n"/>
    </row>
    <row r="177">
      <c r="A177" s="2" t="n">
        <v>176</v>
      </c>
      <c r="B177" s="2" t="inlineStr">
        <is>
          <t>обрыв</t>
        </is>
      </c>
      <c r="C177" s="2" t="n">
        <v>8162</v>
      </c>
      <c r="D177" s="3" t="inlineStr">
        <is>
          <t>Пора летних гроз</t>
        </is>
      </c>
      <c r="E177" s="2" t="n">
        <v>1980</v>
      </c>
      <c r="F177" s="2" t="inlineStr">
        <is>
          <t>телефильм</t>
        </is>
      </c>
      <c r="G177" s="2" t="n"/>
      <c r="H177" s="2" t="n">
        <v>209</v>
      </c>
      <c r="I177" s="2" t="inlineStr">
        <is>
          <t>да</t>
        </is>
      </c>
      <c r="J177" s="2" t="inlineStr">
        <is>
          <t>да</t>
        </is>
      </c>
      <c r="K177" s="3" t="inlineStr">
        <is>
          <t>Каждый рабочий день героев фильма Ксении Барышевой, секретаря Просторненского сельского райкома, и Сергея Грачева, второго секретаря райкома, наполнен думами и заботами, связанными с будущим колхозного села...</t>
        </is>
      </c>
      <c r="L177" s="2" t="inlineStr">
        <is>
          <t>Кино_СССР сводный каталог.xlsx: список телефильмов</t>
        </is>
      </c>
      <c r="M177" s="2">
        <f>HYPERLINK("https://ru.wikipedia.org/w/index.php?search=%D0%9F%D0%BE%D1%80%D0%B0%20%D0%BB%D0%B5%D1%82%D0%BD%D0%B8%D1%85%20%D0%B3%D1%80%D0%BE%D0%B7%201980%20%D1%84%D0%B8%D0%BB%D1%8C%D0%BC","искать")</f>
        <v/>
      </c>
      <c r="N177" s="3" t="n"/>
      <c r="O177" s="2" t="n"/>
    </row>
    <row r="178">
      <c r="A178" s="2" t="n">
        <v>177</v>
      </c>
      <c r="B178" s="2" t="inlineStr">
        <is>
          <t>обрыв</t>
        </is>
      </c>
      <c r="C178" s="2" t="n">
        <v>8882</v>
      </c>
      <c r="D178" s="3" t="inlineStr">
        <is>
          <t>Ночь длинных ножей</t>
        </is>
      </c>
      <c r="E178" s="2" t="n">
        <v>1990</v>
      </c>
      <c r="F178" s="2" t="inlineStr">
        <is>
          <t>кинофильм</t>
        </is>
      </c>
      <c r="G178" s="2" t="n"/>
      <c r="H178" s="2" t="n">
        <v>209</v>
      </c>
      <c r="I178" s="2" t="inlineStr">
        <is>
          <t>да</t>
        </is>
      </c>
      <c r="J178" s="2" t="inlineStr"/>
      <c r="K178" s="3" t="inlineStr">
        <is>
          <t>В криминально-политическом памфлете речь идет о государственном перевороте. По Москве разъезжают в автомобиле молодой человек с винтовкой, снабженной оптическим прицелом, а рядом с ним две развеселые девицы...</t>
        </is>
      </c>
      <c r="L178" s="2" t="inlineStr">
        <is>
          <t>Кино_СССР сводный каталог.xlsx: список фильмов (доп.)</t>
        </is>
      </c>
      <c r="M178" s="2">
        <f>HYPERLINK("https://ru.wikipedia.org/w/index.php?search=%D0%9D%D0%BE%D1%87%D1%8C%20%D0%B4%D0%BB%D0%B8%D0%BD%D0%BD%D1%8B%D1%85%20%D0%BD%D0%BE%D0%B6%D0%B5%D0%B9%201990%20%D1%84%D0%B8%D0%BB%D1%8C%D0%BC","искать")</f>
        <v/>
      </c>
      <c r="N178" s="3" t="n"/>
      <c r="O178" s="2" t="n"/>
    </row>
    <row r="179">
      <c r="A179" s="2" t="n">
        <v>178</v>
      </c>
      <c r="B179" s="2" t="inlineStr">
        <is>
          <t>обрыв</t>
        </is>
      </c>
      <c r="C179" s="2" t="n">
        <v>9167</v>
      </c>
      <c r="D179" s="3" t="inlineStr">
        <is>
          <t>Шаг вправо... шаг влево...</t>
        </is>
      </c>
      <c r="E179" s="2" t="n">
        <v>1991</v>
      </c>
      <c r="F179" s="2" t="inlineStr">
        <is>
          <t>кинофильм</t>
        </is>
      </c>
      <c r="G179" s="2" t="n"/>
      <c r="H179" s="2" t="n">
        <v>209</v>
      </c>
      <c r="I179" s="2" t="inlineStr">
        <is>
          <t>да</t>
        </is>
      </c>
      <c r="J179" s="2" t="inlineStr"/>
      <c r="K179" s="3" t="inlineStr">
        <is>
          <t>Можно ли убежать от судьбы, если тихо и незаметно жить, не причиняя никому зла? Оказывается нельзя. Так приезд известной певицы и популярной тележурналистки влечет за собой роковые и непредсказуемые события...</t>
        </is>
      </c>
      <c r="L179" s="2" t="inlineStr">
        <is>
          <t>Кино_СССР сводный каталог.xlsx: список фильмов (доп.)</t>
        </is>
      </c>
      <c r="M179" s="2">
        <f>HYPERLINK("https://ru.wikipedia.org/w/index.php?search=%D0%A8%D0%B0%D0%B3%20%D0%B2%D0%BF%D1%80%D0%B0%D0%B2%D0%BE...%20%D1%88%D0%B0%D0%B3%20%D0%B2%D0%BB%D0%B5%D0%B2%D0%BE...%201991%20%D1%84%D0%B8%D0%BB%D1%8C%D0%BC","искать")</f>
        <v/>
      </c>
      <c r="N179" s="3" t="n"/>
      <c r="O179" s="2" t="n"/>
    </row>
    <row r="180">
      <c r="A180" s="2" t="n">
        <v>179</v>
      </c>
      <c r="B180" s="2" t="inlineStr">
        <is>
          <t>обрыв</t>
        </is>
      </c>
      <c r="C180" s="2" t="n">
        <v>8727</v>
      </c>
      <c r="D180" s="3" t="inlineStr">
        <is>
          <t>За прекрасных дам!</t>
        </is>
      </c>
      <c r="E180" s="2" t="n">
        <v>1989</v>
      </c>
      <c r="F180" s="2" t="inlineStr">
        <is>
          <t>кинофильм</t>
        </is>
      </c>
      <c r="G180" s="2" t="n"/>
      <c r="H180" s="2" t="n">
        <v>210</v>
      </c>
      <c r="I180" s="2" t="inlineStr">
        <is>
          <t>да</t>
        </is>
      </c>
      <c r="J180" s="2" t="inlineStr"/>
      <c r="K180" s="3" t="inlineStr">
        <is>
          <t>Молодые люди в масках и с пистолетами ворвались в дом, где пять прекрасных дам готовятся отпраздновать некое торжество. Испуганные дамы уже снимали с себя драгоценности, когда ситуация вдруг резко изменилась...</t>
        </is>
      </c>
      <c r="L180" s="2" t="inlineStr">
        <is>
          <t>Кино_СССР сводный каталог.xlsx: список фильмов (доп.)</t>
        </is>
      </c>
      <c r="M180" s="2">
        <f>HYPERLINK("https://ru.wikipedia.org/w/index.php?search=%D0%97%D0%B0%20%D0%BF%D1%80%D0%B5%D0%BA%D1%80%D0%B0%D1%81%D0%BD%D1%8B%D1%85%20%D0%B4%D0%B0%D0%BC%21%201989%20%D1%84%D0%B8%D0%BB%D1%8C%D0%BC","искать")</f>
        <v/>
      </c>
      <c r="N180" s="3" t="n"/>
      <c r="O180" s="2" t="n"/>
    </row>
    <row r="181">
      <c r="A181" s="2" t="n">
        <v>180</v>
      </c>
      <c r="B181" s="2" t="inlineStr">
        <is>
          <t>обрыв</t>
        </is>
      </c>
      <c r="C181" s="2" t="n">
        <v>9760</v>
      </c>
      <c r="D181" s="3" t="inlineStr">
        <is>
          <t>Чудовище или кто-то другой...</t>
        </is>
      </c>
      <c r="E181" s="2" t="n">
        <v>1988</v>
      </c>
      <c r="F181" s="2" t="inlineStr">
        <is>
          <t>кинофильм</t>
        </is>
      </c>
      <c r="G181" s="2" t="n"/>
      <c r="H181" s="2" t="n">
        <v>210</v>
      </c>
      <c r="I181" s="2" t="inlineStr">
        <is>
          <t>да</t>
        </is>
      </c>
      <c r="J181" s="2" t="inlineStr"/>
      <c r="K181" s="3" t="inlineStr">
        <is>
          <t>Сорокалетний оперный хорист Пулат Мухамеджанов, застряв в лифте многоэтажного дома, вспоминает родных и близких, наилучшие и наихудшие качества, которые он унаследовал от них и, конечно, надеется на спасение...</t>
        </is>
      </c>
      <c r="L181" s="2" t="inlineStr">
        <is>
          <t>Кино_СССР сводный каталог.xlsx: список фильмов (доп.)</t>
        </is>
      </c>
      <c r="M181" s="2">
        <f>HYPERLINK("https://ru.wikipedia.org/w/index.php?search=%D0%A7%D1%83%D0%B4%D0%BE%D0%B2%D0%B8%D1%89%D0%B5%20%D0%B8%D0%BB%D0%B8%20%D0%BA%D1%82%D0%BE-%D1%82%D0%BE%20%D0%B4%D1%80%D1%83%D0%B3%D0%BE%D0%B9...%201988%20%D1%84%D0%B8%D0%BB%D1%8C%D0%BC","искать")</f>
        <v/>
      </c>
      <c r="N181" s="3" t="n"/>
      <c r="O181" s="2" t="n"/>
    </row>
    <row r="182">
      <c r="A182" s="2" t="n">
        <v>181</v>
      </c>
      <c r="B182" s="2" t="inlineStr">
        <is>
          <t>обрыв</t>
        </is>
      </c>
      <c r="C182" s="2" t="n">
        <v>7572</v>
      </c>
      <c r="D182" s="3" t="inlineStr">
        <is>
          <t>Единственный мужчина</t>
        </is>
      </c>
      <c r="E182" s="2" t="n">
        <v>1981</v>
      </c>
      <c r="F182" s="2" t="inlineStr">
        <is>
          <t>телефильм</t>
        </is>
      </c>
      <c r="G182" s="2" t="n"/>
      <c r="H182" s="2" t="n">
        <v>211</v>
      </c>
      <c r="I182" s="2" t="inlineStr">
        <is>
          <t>да</t>
        </is>
      </c>
      <c r="J182" s="2" t="inlineStr"/>
      <c r="K182" s="3" t="inlineStr">
        <is>
          <t>Телефильм по роману Леонида Лиходеева «Четыре главы из жизни Марии Николаевны». Героиня фильма - директор крупного научно-производственного объединения - однажды делает вывод, что ее личная жизнь не сложилась...</t>
        </is>
      </c>
      <c r="L182" s="2" t="inlineStr">
        <is>
          <t>Кино_СССР сводный каталог.xlsx: список телефильмов</t>
        </is>
      </c>
      <c r="M182" s="2">
        <f>HYPERLINK("https://ru.wikipedia.org/w/index.php?search=%D0%95%D0%B4%D0%B8%D0%BD%D1%81%D1%82%D0%B2%D0%B5%D0%BD%D0%BD%D1%8B%D0%B9%20%D0%BC%D1%83%D0%B6%D1%87%D0%B8%D0%BD%D0%B0%201981%20%D1%84%D0%B8%D0%BB%D1%8C%D0%BC","искать")</f>
        <v/>
      </c>
      <c r="N182" s="3" t="n"/>
      <c r="O182" s="2" t="n"/>
    </row>
    <row r="183">
      <c r="A183" s="2" t="n">
        <v>182</v>
      </c>
      <c r="B183" s="2" t="inlineStr">
        <is>
          <t>обрыв</t>
        </is>
      </c>
      <c r="C183" s="2" t="n">
        <v>9314</v>
      </c>
      <c r="D183" s="3" t="inlineStr">
        <is>
          <t>Господня рыба</t>
        </is>
      </c>
      <c r="E183" s="2" t="n">
        <v>1991</v>
      </c>
      <c r="F183" s="2" t="inlineStr">
        <is>
          <t>кинофильм</t>
        </is>
      </c>
      <c r="G183" s="2" t="n"/>
      <c r="H183" s="2" t="n">
        <v>211</v>
      </c>
      <c r="I183" s="2" t="inlineStr">
        <is>
          <t>да</t>
        </is>
      </c>
      <c r="J183" s="2" t="inlineStr"/>
      <c r="K183" s="3" t="inlineStr">
        <is>
          <t>По мотивам рассказов Александра Ивановича Куприна. Журналист приезжает в Одессу и попадает в руки мошенников, которые его ловко обворовывают. Ситуации порой анекдотичны, а порой нелепы, но жизнь такова и есть...</t>
        </is>
      </c>
      <c r="L183" s="2" t="inlineStr">
        <is>
          <t>Кино_СССР сводный каталог.xlsx: список фильмов (доп.)</t>
        </is>
      </c>
      <c r="M183" s="2">
        <f>HYPERLINK("https://ru.wikipedia.org/w/index.php?search=%D0%93%D0%BE%D1%81%D0%BF%D0%BE%D0%B4%D0%BD%D1%8F%20%D1%80%D1%8B%D0%B1%D0%B0%201991%20%D1%84%D0%B8%D0%BB%D1%8C%D0%BC","искать")</f>
        <v/>
      </c>
      <c r="N183" s="3" t="n"/>
      <c r="O183" s="2" t="n"/>
    </row>
    <row r="184">
      <c r="A184" s="2" t="n">
        <v>183</v>
      </c>
      <c r="B184" s="2" t="inlineStr">
        <is>
          <t>обрыв</t>
        </is>
      </c>
      <c r="C184" s="2" t="n">
        <v>7233</v>
      </c>
      <c r="D184" s="3" t="inlineStr">
        <is>
          <t>Баллада о белогривой</t>
        </is>
      </c>
      <c r="E184" s="2" t="n">
        <v>1975</v>
      </c>
      <c r="F184" s="2" t="inlineStr">
        <is>
          <t>телефильм</t>
        </is>
      </c>
      <c r="G184" s="2" t="n"/>
      <c r="H184" s="2" t="n">
        <v>212</v>
      </c>
      <c r="I184" s="2" t="inlineStr">
        <is>
          <t>да</t>
        </is>
      </c>
      <c r="J184" s="2" t="inlineStr">
        <is>
          <t>да</t>
        </is>
      </c>
      <c r="K184" s="3" t="inlineStr">
        <is>
          <t>О душевной красоте человека, о его любви к людям, природе и родным местам. Действие фильма происходит в узбекском кишлаке, где издавна живет легенда о белогривой лошади, которую могут увидеть только влюбленные...</t>
        </is>
      </c>
      <c r="L184" s="2" t="inlineStr">
        <is>
          <t>Кино_СССР сводный каталог.xlsx: список телефильмов</t>
        </is>
      </c>
      <c r="M184" s="2">
        <f>HYPERLINK("https://ru.wikipedia.org/w/index.php?search=%D0%91%D0%B0%D0%BB%D0%BB%D0%B0%D0%B4%D0%B0%20%D0%BE%20%D0%B1%D0%B5%D0%BB%D0%BE%D0%B3%D1%80%D0%B8%D0%B2%D0%BE%D0%B9%201975%20%D1%84%D0%B8%D0%BB%D1%8C%D0%BC","искать")</f>
        <v/>
      </c>
      <c r="N184" s="3" t="n"/>
      <c r="O184" s="2" t="n"/>
    </row>
    <row r="185">
      <c r="A185" s="2" t="n">
        <v>184</v>
      </c>
      <c r="B185" s="2" t="inlineStr">
        <is>
          <t>обрыв</t>
        </is>
      </c>
      <c r="C185" s="2" t="n">
        <v>8049</v>
      </c>
      <c r="D185" s="3" t="inlineStr">
        <is>
          <t>Оружие Зевса</t>
        </is>
      </c>
      <c r="E185" s="2" t="n">
        <v>1991</v>
      </c>
      <c r="F185" s="2" t="inlineStr">
        <is>
          <t>телефильм</t>
        </is>
      </c>
      <c r="G185" s="2" t="n"/>
      <c r="H185" s="2" t="n">
        <v>212</v>
      </c>
      <c r="I185" s="2" t="inlineStr">
        <is>
          <t>да</t>
        </is>
      </c>
      <c r="J185" s="2" t="inlineStr"/>
      <c r="K185" s="3" t="inlineStr">
        <is>
          <t>Телесериал по роману Евгения Велтистова "Ноктюрн пустоты"  рассказывает о работе ученых над теорией управления стихиями под названием "Оружие Зевса", призванной способствовать сохранению экологии планеты Земля...</t>
        </is>
      </c>
      <c r="L185" s="2" t="inlineStr">
        <is>
          <t>Кино_СССР сводный каталог.xlsx: список телефильмов</t>
        </is>
      </c>
      <c r="M185" s="2">
        <f>HYPERLINK("https://ru.wikipedia.org/w/index.php?search=%D0%9E%D1%80%D1%83%D0%B6%D0%B8%D0%B5%20%D0%97%D0%B5%D0%B2%D1%81%D0%B0%201991%20%D1%84%D0%B8%D0%BB%D1%8C%D0%BC","искать")</f>
        <v/>
      </c>
      <c r="N185" s="3" t="n"/>
      <c r="O185" s="2" t="n"/>
    </row>
    <row r="186">
      <c r="A186" s="2" t="n">
        <v>185</v>
      </c>
      <c r="B186" s="2" t="inlineStr">
        <is>
          <t>обрыв</t>
        </is>
      </c>
      <c r="C186" s="2" t="n">
        <v>8788</v>
      </c>
      <c r="D186" s="3" t="inlineStr">
        <is>
          <t>Курьер на Восток</t>
        </is>
      </c>
      <c r="E186" s="2" t="n">
        <v>1991</v>
      </c>
      <c r="F186" s="2" t="inlineStr">
        <is>
          <t>кинофильм</t>
        </is>
      </c>
      <c r="G186" s="2" t="n"/>
      <c r="H186" s="2" t="n">
        <v>212</v>
      </c>
      <c r="I186" s="2" t="inlineStr">
        <is>
          <t>да</t>
        </is>
      </c>
      <c r="J186" s="2" t="inlineStr"/>
      <c r="K186" s="3" t="inlineStr">
        <is>
          <t>Двое бывших детдомовцев связали свои судьбы с мафией. Один погиб, а другой был арестован в среднеазиатском городке. Поняв, что они с другом стали жертвами обмана и "шестерками" в чужой игре, он решил отомстить...</t>
        </is>
      </c>
      <c r="L186" s="2" t="inlineStr">
        <is>
          <t>Кино_СССР сводный каталог.xlsx: список фильмов (доп.)</t>
        </is>
      </c>
      <c r="M186" s="2">
        <f>HYPERLINK("https://ru.wikipedia.org/w/index.php?search=%D0%9A%D1%83%D1%80%D1%8C%D0%B5%D1%80%20%D0%BD%D0%B0%20%D0%92%D0%BE%D1%81%D1%82%D0%BE%D0%BA%201991%20%D1%84%D0%B8%D0%BB%D1%8C%D0%BC","искать")</f>
        <v/>
      </c>
      <c r="N186" s="3" t="n"/>
      <c r="O186" s="2" t="n"/>
    </row>
    <row r="187">
      <c r="A187" s="2" t="n">
        <v>186</v>
      </c>
      <c r="B187" s="2" t="inlineStr">
        <is>
          <t>обрыв</t>
        </is>
      </c>
      <c r="C187" s="2" t="n">
        <v>8984</v>
      </c>
      <c r="D187" s="3" t="inlineStr">
        <is>
          <t>Происшествие</t>
        </is>
      </c>
      <c r="E187" s="2" t="n">
        <v>1974</v>
      </c>
      <c r="F187" s="2" t="inlineStr">
        <is>
          <t>кинофильм</t>
        </is>
      </c>
      <c r="G187" s="2" t="n"/>
      <c r="H187" s="2" t="n">
        <v>212</v>
      </c>
      <c r="I187" s="2" t="inlineStr">
        <is>
          <t>да</t>
        </is>
      </c>
      <c r="J187" s="2" t="inlineStr"/>
      <c r="K187" s="3" t="inlineStr">
        <is>
          <t>Заключительная часть трилогии: "Вот моя деревня"(1972), "Аварийное положение"(1973). В основе сюжета - работа школьного "зеленого патруля", который помогает леснику лечить раненого лосенка и искать браконьеров...</t>
        </is>
      </c>
      <c r="L187" s="2" t="inlineStr">
        <is>
          <t>Кино_СССР сводный каталог.xlsx: список фильмов (доп.)</t>
        </is>
      </c>
      <c r="M187" s="2">
        <f>HYPERLINK("https://ru.wikipedia.org/w/index.php?search=%D0%9F%D1%80%D0%BE%D0%B8%D1%81%D1%88%D0%B5%D1%81%D1%82%D0%B2%D0%B8%D0%B5%201974%20%D1%84%D0%B8%D0%BB%D1%8C%D0%BC","искать")</f>
        <v/>
      </c>
      <c r="N187" s="3" t="n"/>
      <c r="O187" s="2" t="n"/>
    </row>
    <row r="188">
      <c r="A188" s="2" t="n">
        <v>187</v>
      </c>
      <c r="B188" s="2" t="inlineStr">
        <is>
          <t>обрыв</t>
        </is>
      </c>
      <c r="C188" s="2" t="n">
        <v>9275</v>
      </c>
      <c r="D188" s="3" t="inlineStr">
        <is>
          <t>Возвращение на обетованную землю</t>
        </is>
      </c>
      <c r="E188" s="2" t="n">
        <v>1991</v>
      </c>
      <c r="F188" s="2" t="inlineStr">
        <is>
          <t>кинофильм</t>
        </is>
      </c>
      <c r="G188" s="2" t="n"/>
      <c r="H188" s="2" t="n">
        <v>212</v>
      </c>
      <c r="I188" s="2" t="inlineStr">
        <is>
          <t>да</t>
        </is>
      </c>
      <c r="J188" s="2" t="inlineStr"/>
      <c r="K188" s="3" t="inlineStr">
        <is>
          <t>Герои фильма пришли на землю северной Армении отнюдь не из рая - они беженцы, бежали от насилия. Он и она молоды. Ждут ребенка. Они творят мир вокруг себя и тем самым творят самих себя, умножаясь в своих делах...</t>
        </is>
      </c>
      <c r="L188" s="2" t="inlineStr">
        <is>
          <t>Кино_СССР сводный каталог.xlsx: список фильмов (доп.)</t>
        </is>
      </c>
      <c r="M188" s="2">
        <f>HYPERLINK("https://ru.wikipedia.org/w/index.php?search=%D0%92%D0%BE%D0%B7%D0%B2%D1%80%D0%B0%D1%89%D0%B5%D0%BD%D0%B8%D0%B5%20%D0%BD%D0%B0%20%D0%BE%D0%B1%D0%B5%D1%82%D0%BE%D0%B2%D0%B0%D0%BD%D0%BD%D1%83%D1%8E%20%D0%B7%D0%B5%D0%BC%D0%BB%D1%8E%201991%20%D1%84%D0%B8%D0%BB%D1%8C%D0%BC","искать")</f>
        <v/>
      </c>
      <c r="N188" s="3" t="n"/>
      <c r="O188" s="2" t="n"/>
    </row>
    <row r="189">
      <c r="A189" s="2" t="n">
        <v>188</v>
      </c>
      <c r="B189" s="2" t="inlineStr">
        <is>
          <t>обрыв</t>
        </is>
      </c>
      <c r="C189" s="2" t="n">
        <v>9693</v>
      </c>
      <c r="D189" s="3" t="inlineStr">
        <is>
          <t>Тихий ужас</t>
        </is>
      </c>
      <c r="E189" s="2" t="n">
        <v>1989</v>
      </c>
      <c r="F189" s="2" t="inlineStr">
        <is>
          <t>кинофильм</t>
        </is>
      </c>
      <c r="G189" s="2" t="n"/>
      <c r="H189" s="2" t="n">
        <v>212</v>
      </c>
      <c r="I189" s="2" t="inlineStr">
        <is>
          <t>да</t>
        </is>
      </c>
      <c r="J189" s="2" t="inlineStr">
        <is>
          <t>да</t>
        </is>
      </c>
      <c r="K189" s="3" t="inlineStr">
        <is>
          <t>В начале было о-о-очень страшное убийство! И волосы у всех встали дыбом! Но все причесались и снова пошли снимать кино. А там опять!!! Убийство!!! Страшное!!! Да что я вам тут рассказываю - это же "Тихий ужас"...</t>
        </is>
      </c>
      <c r="L189" s="2" t="inlineStr">
        <is>
          <t>Кино_СССР сводный каталог.xlsx: список фильмов (доп.)</t>
        </is>
      </c>
      <c r="M189" s="2">
        <f>HYPERLINK("https://ru.wikipedia.org/w/index.php?search=%D0%A2%D0%B8%D1%85%D0%B8%D0%B9%20%D1%83%D0%B6%D0%B0%D1%81%201989%20%D1%84%D0%B8%D0%BB%D1%8C%D0%BC","искать")</f>
        <v/>
      </c>
      <c r="N189" s="3" t="n"/>
      <c r="O189" s="2" t="n"/>
    </row>
    <row r="190">
      <c r="A190" s="2" t="n">
        <v>189</v>
      </c>
      <c r="B190" s="2" t="inlineStr">
        <is>
          <t>обрыв</t>
        </is>
      </c>
      <c r="C190" s="2" t="n">
        <v>8735</v>
      </c>
      <c r="D190" s="3" t="inlineStr">
        <is>
          <t>Здравия желаю! или Бешеный дембель</t>
        </is>
      </c>
      <c r="E190" s="2" t="n">
        <v>1990</v>
      </c>
      <c r="F190" s="2" t="inlineStr">
        <is>
          <t>кинофильм</t>
        </is>
      </c>
      <c r="G190" s="2" t="n"/>
      <c r="H190" s="2" t="n">
        <v>213</v>
      </c>
      <c r="I190" s="2" t="inlineStr">
        <is>
          <t>да</t>
        </is>
      </c>
      <c r="J190" s="2" t="inlineStr"/>
      <c r="K190" s="3" t="inlineStr">
        <is>
          <t>Эксцентрическая комедия о молодом солдате Мите Агафонове, который, предельно точно исполняя все требования воинского устава, совершенно измучил свое начальство. Генералы подают в отставку, "деды" молят о пощаде...</t>
        </is>
      </c>
      <c r="L190" s="2" t="inlineStr">
        <is>
          <t>Кино_СССР сводный каталог.xlsx: список фильмов (доп.)</t>
        </is>
      </c>
      <c r="M190" s="2">
        <f>HYPERLINK("https://ru.wikipedia.org/w/index.php?search=%D0%97%D0%B4%D1%80%D0%B0%D0%B2%D0%B8%D1%8F%20%D0%B6%D0%B5%D0%BB%D0%B0%D1%8E%21%20%D0%B8%D0%BB%D0%B8%20%D0%91%D0%B5%D1%88%D0%B5%D0%BD%D1%8B%D0%B9%20%D0%B4%D0%B5%D0%BC%D0%B1%D0%B5%D0%BB%D1%8C%201990%20%D1%84%D0%B8%D0%BB%D1%8C%D0%BC","искать")</f>
        <v/>
      </c>
      <c r="N190" s="3" t="n"/>
      <c r="O190" s="2" t="n"/>
    </row>
    <row r="191">
      <c r="A191" s="2" t="n">
        <v>190</v>
      </c>
      <c r="B191" s="2" t="inlineStr">
        <is>
          <t>обрыв</t>
        </is>
      </c>
      <c r="C191" s="2" t="n">
        <v>9303</v>
      </c>
      <c r="D191" s="3" t="inlineStr">
        <is>
          <t>Гениальная идея</t>
        </is>
      </c>
      <c r="E191" s="2" t="n">
        <v>1991</v>
      </c>
      <c r="F191" s="2" t="inlineStr">
        <is>
          <t>кинофильм</t>
        </is>
      </c>
      <c r="G191" s="2" t="n"/>
      <c r="H191" s="2" t="n">
        <v>213</v>
      </c>
      <c r="I191" s="2" t="inlineStr">
        <is>
          <t>да</t>
        </is>
      </c>
      <c r="J191" s="2" t="inlineStr"/>
      <c r="K191" s="3" t="inlineStr">
        <is>
          <t>Он и она случайно встретившиеся в захолустной гостинице, бедны. В их голодных идеях рождается идея - "ловить на удочку" ошалевших от провинциальной тоски мужиков готовых напоить и накормить очаровательную девочку…</t>
        </is>
      </c>
      <c r="L191" s="2" t="inlineStr">
        <is>
          <t>Кино_СССР сводный каталог.xlsx: список фильмов (доп.)</t>
        </is>
      </c>
      <c r="M191" s="2">
        <f>HYPERLINK("https://ru.wikipedia.org/w/index.php?search=%D0%93%D0%B5%D0%BD%D0%B8%D0%B0%D0%BB%D1%8C%D0%BD%D0%B0%D1%8F%20%D0%B8%D0%B4%D0%B5%D1%8F%201991%20%D1%84%D0%B8%D0%BB%D1%8C%D0%BC","искать")</f>
        <v/>
      </c>
      <c r="N191" s="3" t="n"/>
      <c r="O191" s="2" t="n"/>
    </row>
    <row r="192">
      <c r="A192" s="2" t="n">
        <v>191</v>
      </c>
      <c r="B192" s="2" t="inlineStr">
        <is>
          <t>обрыв</t>
        </is>
      </c>
      <c r="C192" s="2" t="n">
        <v>10425</v>
      </c>
      <c r="D192" s="3" t="inlineStr">
        <is>
          <t>Фиеста</t>
        </is>
      </c>
      <c r="E192" s="2" t="n">
        <v>1971</v>
      </c>
      <c r="F192" s="2" t="inlineStr">
        <is>
          <t>фильм-спектакль</t>
        </is>
      </c>
      <c r="G192" s="2" t="inlineStr">
        <is>
          <t>ЛенТВ</t>
        </is>
      </c>
      <c r="H192" s="2" t="n">
        <v>213</v>
      </c>
      <c r="I192" s="2" t="inlineStr">
        <is>
          <t>да</t>
        </is>
      </c>
      <c r="J192" s="2" t="inlineStr">
        <is>
          <t>да</t>
        </is>
      </c>
      <c r="K192" s="3" t="inlineStr">
        <is>
          <t>Телеспектакль по роману Э.Хемингуэя "И восходит солнце" в постановке БДТ им. Г.Товстоногова. В условных бюджетных декорациях
молодые театральные актеры играли азартно, они будто жили в далеких Испании и Франции...</t>
        </is>
      </c>
      <c r="L192" s="2" t="inlineStr">
        <is>
          <t>https://www.kino-teatr.ru/teatr/movie/81672/annot/</t>
        </is>
      </c>
      <c r="M192" s="2">
        <f>HYPERLINK("https://ru.wikipedia.org/w/index.php?search=%D0%A4%D0%B8%D0%B5%D1%81%D1%82%D0%B0%201971%20%D1%84%D0%B8%D0%BB%D1%8C%D0%BC","искать")</f>
        <v/>
      </c>
      <c r="N192" s="3" t="n"/>
      <c r="O192" s="2" t="n"/>
    </row>
    <row r="193">
      <c r="A193" s="2" t="n">
        <v>192</v>
      </c>
      <c r="B193" s="2" t="inlineStr">
        <is>
          <t>обрыв</t>
        </is>
      </c>
      <c r="C193" s="2" t="n">
        <v>7840</v>
      </c>
      <c r="D193" s="3" t="inlineStr">
        <is>
          <t>Мал да удал</t>
        </is>
      </c>
      <c r="E193" s="2" t="n">
        <v>1974</v>
      </c>
      <c r="F193" s="2" t="inlineStr">
        <is>
          <t>телефильм</t>
        </is>
      </c>
      <c r="G193" s="2" t="n"/>
      <c r="H193" s="2" t="n">
        <v>214</v>
      </c>
      <c r="I193" s="2" t="inlineStr">
        <is>
          <t>да</t>
        </is>
      </c>
      <c r="J193" s="2" t="inlineStr"/>
      <c r="K193" s="3" t="inlineStr">
        <is>
          <t>По мотивам туркменских народных сказок. Плохо жилось на свете бедному Алты-ага. Детей у него не было, кибитка была худая, а казан пустой. Но после встречи с крошечным мальчиком Яртыгулаком его жизнь переменилась...</t>
        </is>
      </c>
      <c r="L193" s="2" t="inlineStr">
        <is>
          <t>Кино_СССР сводный каталог.xlsx: список телефильмов</t>
        </is>
      </c>
      <c r="M193" s="2">
        <f>HYPERLINK("https://ru.wikipedia.org/w/index.php?search=%D0%9C%D0%B0%D0%BB%20%D0%B4%D0%B0%20%D1%83%D0%B4%D0%B0%D0%BB%201974%20%D1%84%D0%B8%D0%BB%D1%8C%D0%BC","искать")</f>
        <v/>
      </c>
      <c r="N193" s="3" t="n"/>
      <c r="O193" s="2" t="n"/>
    </row>
    <row r="194">
      <c r="A194" s="2" t="n">
        <v>193</v>
      </c>
      <c r="B194" s="2" t="inlineStr">
        <is>
          <t>обрыв</t>
        </is>
      </c>
      <c r="C194" s="2" t="n">
        <v>9589</v>
      </c>
      <c r="D194" s="3" t="inlineStr">
        <is>
          <t>Принц привидение</t>
        </is>
      </c>
      <c r="E194" s="2" t="n">
        <v>1990</v>
      </c>
      <c r="F194" s="2" t="inlineStr">
        <is>
          <t>кинофильм</t>
        </is>
      </c>
      <c r="G194" s="2" t="n"/>
      <c r="H194" s="2" t="n">
        <v>214</v>
      </c>
      <c r="I194" s="2" t="inlineStr">
        <is>
          <t>да</t>
        </is>
      </c>
      <c r="J194" s="2" t="inlineStr"/>
      <c r="K194" s="3" t="inlineStr">
        <is>
          <t>По мотивам новелл Вашингтона Ирвинга. Еще ребенком принц Ахмет был заточен в замок властолюбивым султаном. Когда принц подрос, султан из страха потерять престол приказал визирю любым способом избавиться от юноши...</t>
        </is>
      </c>
      <c r="L194" s="2" t="inlineStr">
        <is>
          <t>Кино_СССР сводный каталог.xlsx: список фильмов (доп.)</t>
        </is>
      </c>
      <c r="M194" s="2">
        <f>HYPERLINK("https://ru.wikipedia.org/w/index.php?search=%D0%9F%D1%80%D0%B8%D0%BD%D1%86%20%D0%BF%D1%80%D0%B8%D0%B2%D0%B8%D0%B4%D0%B5%D0%BD%D0%B8%D0%B5%201990%20%D1%84%D0%B8%D0%BB%D1%8C%D0%BC","искать")</f>
        <v/>
      </c>
      <c r="N194" s="3" t="n"/>
      <c r="O194" s="2" t="n"/>
    </row>
    <row r="195">
      <c r="A195" s="2" t="n">
        <v>194</v>
      </c>
      <c r="B195" s="2" t="inlineStr">
        <is>
          <t>обрыв</t>
        </is>
      </c>
      <c r="C195" s="2" t="n">
        <v>7880</v>
      </c>
      <c r="D195" s="3" t="inlineStr">
        <is>
          <t>Миф</t>
        </is>
      </c>
      <c r="E195" s="2" t="n">
        <v>1986</v>
      </c>
      <c r="F195" s="2" t="inlineStr">
        <is>
          <t>телефильм</t>
        </is>
      </c>
      <c r="G195" s="2" t="n"/>
      <c r="H195" s="2" t="n">
        <v>215</v>
      </c>
      <c r="I195" s="2" t="inlineStr">
        <is>
          <t>да</t>
        </is>
      </c>
      <c r="J195" s="2" t="inlineStr">
        <is>
          <t>да</t>
        </is>
      </c>
      <c r="K195" s="3" t="inlineStr">
        <is>
          <t>По мотивам повести К.Ласкари «Двадцать третий пируэт». Вера Скобелева - способная балерина и талантливый балетмейстер. Ее жизнь, внешне неустроенная, наполнена глубоким смыслом и любовью ко всему, что ее окружает...</t>
        </is>
      </c>
      <c r="L195" s="2" t="inlineStr">
        <is>
          <t>Кино_СССР сводный каталог.xlsx: список телефильмов</t>
        </is>
      </c>
      <c r="M195" s="2">
        <f>HYPERLINK("https://ru.wikipedia.org/w/index.php?search=%D0%9C%D0%B8%D1%84%201986%20%D1%84%D0%B8%D0%BB%D1%8C%D0%BC","искать")</f>
        <v/>
      </c>
      <c r="N195" s="3" t="n"/>
      <c r="O195" s="2" t="n"/>
    </row>
    <row r="196">
      <c r="A196" s="2" t="n">
        <v>195</v>
      </c>
      <c r="B196" s="2" t="inlineStr">
        <is>
          <t>обрыв</t>
        </is>
      </c>
      <c r="C196" s="2" t="n">
        <v>8141</v>
      </c>
      <c r="D196" s="3" t="inlineStr">
        <is>
          <t>Подружка моя</t>
        </is>
      </c>
      <c r="E196" s="2" t="n">
        <v>1985</v>
      </c>
      <c r="F196" s="2" t="inlineStr">
        <is>
          <t>телефильм</t>
        </is>
      </c>
      <c r="G196" s="2" t="n"/>
      <c r="H196" s="2" t="n">
        <v>215</v>
      </c>
      <c r="I196" s="2" t="inlineStr">
        <is>
          <t>да</t>
        </is>
      </c>
      <c r="J196" s="2" t="inlineStr"/>
      <c r="K196" s="3" t="inlineStr">
        <is>
          <t>Таня Топтыгина с увлечением работает в Подмосковье мастером передвижной механизированной колонны. Однажды ей предлагают заключить фиктивный брак, гарантирующий московскую прописку. Таню соблазняет это предложение...</t>
        </is>
      </c>
      <c r="L196" s="2" t="inlineStr">
        <is>
          <t>Кино_СССР сводный каталог.xlsx: список телефильмов</t>
        </is>
      </c>
      <c r="M196" s="2">
        <f>HYPERLINK("https://ru.wikipedia.org/w/index.php?search=%D0%9F%D0%BE%D0%B4%D1%80%D1%83%D0%B6%D0%BA%D0%B0%20%D0%BC%D0%BE%D1%8F%201985%20%D1%84%D0%B8%D0%BB%D1%8C%D0%BC","искать")</f>
        <v/>
      </c>
      <c r="N196" s="3" t="n"/>
      <c r="O196" s="2" t="n"/>
    </row>
    <row r="197">
      <c r="A197" s="2" t="n">
        <v>196</v>
      </c>
      <c r="B197" s="2" t="inlineStr">
        <is>
          <t>обрыв</t>
        </is>
      </c>
      <c r="C197" s="2" t="n">
        <v>9294</v>
      </c>
      <c r="D197" s="3" t="inlineStr">
        <is>
          <t>Высокая кровь</t>
        </is>
      </c>
      <c r="E197" s="2" t="n">
        <v>1989</v>
      </c>
      <c r="F197" s="2" t="inlineStr">
        <is>
          <t>кинофильм</t>
        </is>
      </c>
      <c r="G197" s="2" t="n"/>
      <c r="H197" s="2" t="n">
        <v>215</v>
      </c>
      <c r="I197" s="2" t="inlineStr">
        <is>
          <t>да</t>
        </is>
      </c>
      <c r="J197" s="2" t="inlineStr"/>
      <c r="K197" s="3" t="inlineStr">
        <is>
          <t>Жокей Филипп попадает в больницу. Во время отсутствия Филиппа начальство решает отправить на конезавод его красавца-коня Фаворита. Породистого скакуна грузят в открытый кузов грузовика и отправляют в далекий путь...</t>
        </is>
      </c>
      <c r="L197" s="2" t="inlineStr">
        <is>
          <t>Кино_СССР сводный каталог.xlsx: список фильмов (доп.)</t>
        </is>
      </c>
      <c r="M197" s="2">
        <f>HYPERLINK("https://ru.wikipedia.org/w/index.php?search=%D0%92%D1%8B%D1%81%D0%BE%D0%BA%D0%B0%D1%8F%20%D0%BA%D1%80%D0%BE%D0%B2%D1%8C%201989%20%D1%84%D0%B8%D0%BB%D1%8C%D0%BC","искать")</f>
        <v/>
      </c>
      <c r="N197" s="3" t="n"/>
      <c r="O197" s="2" t="n"/>
    </row>
    <row r="198">
      <c r="A198" s="2" t="n">
        <v>197</v>
      </c>
      <c r="B198" s="2" t="inlineStr">
        <is>
          <t>обрыв</t>
        </is>
      </c>
      <c r="C198" s="2" t="n">
        <v>9769</v>
      </c>
      <c r="D198" s="3" t="inlineStr">
        <is>
          <t>Шоколадный бунт</t>
        </is>
      </c>
      <c r="E198" s="2" t="n">
        <v>1990</v>
      </c>
      <c r="F198" s="2" t="inlineStr">
        <is>
          <t>кинофильм</t>
        </is>
      </c>
      <c r="G198" s="2" t="n"/>
      <c r="H198" s="2" t="n">
        <v>215</v>
      </c>
      <c r="I198" s="2" t="inlineStr">
        <is>
          <t>да</t>
        </is>
      </c>
      <c r="J198" s="2" t="inlineStr">
        <is>
          <t>да</t>
        </is>
      </c>
      <c r="K198" s="3" t="inlineStr">
        <is>
          <t>Сладкий запах шоколада наполнил город. Речушка потемнела, улицы города покрылись конфетными фантиками. Сахарный диабет измучил всех горожан, а производство кондитерской фабрики расширяется. Грядет шоколадный бунт...</t>
        </is>
      </c>
      <c r="L198" s="2" t="inlineStr">
        <is>
          <t>Кино_СССР сводный каталог.xlsx: список фильмов (доп.)</t>
        </is>
      </c>
      <c r="M198" s="2">
        <f>HYPERLINK("https://ru.wikipedia.org/w/index.php?search=%D0%A8%D0%BE%D0%BA%D0%BE%D0%BB%D0%B0%D0%B4%D0%BD%D1%8B%D0%B9%20%D0%B1%D1%83%D0%BD%D1%82%201990%20%D1%84%D0%B8%D0%BB%D1%8C%D0%BC","искать")</f>
        <v/>
      </c>
      <c r="N198" s="3" t="n"/>
      <c r="O198" s="2" t="n"/>
    </row>
    <row r="199">
      <c r="A199" s="2" t="n">
        <v>198</v>
      </c>
      <c r="B199" s="2" t="inlineStr">
        <is>
          <t>обрыв</t>
        </is>
      </c>
      <c r="C199" s="2" t="n">
        <v>10001</v>
      </c>
      <c r="D199" s="3" t="inlineStr">
        <is>
          <t>Смотрины</t>
        </is>
      </c>
      <c r="E199" s="2" t="n">
        <v>1984</v>
      </c>
      <c r="F199" s="2" t="inlineStr">
        <is>
          <t>телефильм</t>
        </is>
      </c>
      <c r="G199" s="2" t="inlineStr">
        <is>
          <t>"Минсктелефильм"</t>
        </is>
      </c>
      <c r="H199" s="2" t="n">
        <v>215</v>
      </c>
      <c r="I199" s="2" t="inlineStr">
        <is>
          <t>да</t>
        </is>
      </c>
      <c r="J199" s="2" t="inlineStr"/>
      <c r="K199" s="3" t="inlineStr">
        <is>
          <t>Смотрины обычно проходят в доме невесты, но, случалось, и на гуляньях, в клубе. Овдовевший колхозник, отец двух детей, Дмитрий Неборако по прозвищу Цапля предлагает директору школы Петру Федотовичу стать его сватом…</t>
        </is>
      </c>
      <c r="L199" s="2" t="inlineStr">
        <is>
          <t>https://www.kino-teatr.ru/short/movie/sov/6570/annot/</t>
        </is>
      </c>
      <c r="M199" s="2">
        <f>HYPERLINK("https://ru.wikipedia.org/w/index.php?search=%D0%A1%D0%BC%D0%BE%D1%82%D1%80%D0%B8%D0%BD%D1%8B%201984%20%D1%84%D0%B8%D0%BB%D1%8C%D0%BC","искать")</f>
        <v/>
      </c>
      <c r="N199" s="3" t="n"/>
      <c r="O199" s="2" t="n"/>
    </row>
    <row r="200">
      <c r="A200" s="2" t="n">
        <v>199</v>
      </c>
      <c r="B200" s="2" t="inlineStr">
        <is>
          <t>обрыв</t>
        </is>
      </c>
      <c r="C200" s="2" t="n">
        <v>7588</v>
      </c>
      <c r="D200" s="3" t="inlineStr">
        <is>
          <t>Жёлтая птица</t>
        </is>
      </c>
      <c r="E200" s="2" t="n">
        <v>1983</v>
      </c>
      <c r="F200" s="2" t="inlineStr">
        <is>
          <t>телефильм</t>
        </is>
      </c>
      <c r="G200" s="2" t="n"/>
      <c r="H200" s="2" t="n">
        <v>216</v>
      </c>
      <c r="I200" s="2" t="inlineStr">
        <is>
          <t>да</t>
        </is>
      </c>
      <c r="J200" s="2" t="inlineStr"/>
      <c r="K200" s="3" t="inlineStr">
        <is>
          <t>Эстрадная певица Нино Мтиули потеряла веру в себя - нет былой популярности у публики, неудачно сложилась личная жизнь. Однако героиня фильма постепенно обретает уверенность, что сможет выйти из творческого кризиса...</t>
        </is>
      </c>
      <c r="L200" s="2" t="inlineStr">
        <is>
          <t>Кино_СССР сводный каталог.xlsx: список телефильмов</t>
        </is>
      </c>
      <c r="M200" s="2">
        <f>HYPERLINK("https://ru.wikipedia.org/w/index.php?search=%D0%96%D1%91%D0%BB%D1%82%D0%B0%D1%8F%20%D0%BF%D1%82%D0%B8%D1%86%D0%B0%201983%20%D1%84%D0%B8%D0%BB%D1%8C%D0%BC","искать")</f>
        <v/>
      </c>
      <c r="N200" s="3" t="n"/>
      <c r="O200" s="2" t="n"/>
    </row>
    <row r="201">
      <c r="A201" s="2" t="n">
        <v>200</v>
      </c>
      <c r="B201" s="2" t="inlineStr">
        <is>
          <t>обрыв</t>
        </is>
      </c>
      <c r="C201" s="2" t="n">
        <v>7843</v>
      </c>
      <c r="D201" s="3" t="inlineStr">
        <is>
          <t>Маленькое одолжение</t>
        </is>
      </c>
      <c r="E201" s="2" t="n">
        <v>1984</v>
      </c>
      <c r="F201" s="2" t="inlineStr">
        <is>
          <t>телефильм</t>
        </is>
      </c>
      <c r="G201" s="2" t="n"/>
      <c r="H201" s="2" t="n">
        <v>216</v>
      </c>
      <c r="I201" s="2" t="inlineStr">
        <is>
          <t>да</t>
        </is>
      </c>
      <c r="J201" s="2" t="inlineStr"/>
      <c r="K201" s="3" t="inlineStr">
        <is>
          <t>Однажды известный эстрадный певец Валентин Озерников, вернувшись из очередной гастрольной поездки, задумался над быстротекущей жизнью и попытался сформулировать себе нравственные критерии дальнейшего существования...</t>
        </is>
      </c>
      <c r="L201" s="2" t="inlineStr">
        <is>
          <t>Кино_СССР сводный каталог.xlsx: список телефильмов</t>
        </is>
      </c>
      <c r="M201" s="2">
        <f>HYPERLINK("https://ru.wikipedia.org/w/index.php?search=%D0%9C%D0%B0%D0%BB%D0%B5%D0%BD%D1%8C%D0%BA%D0%BE%D0%B5%20%D0%BE%D0%B4%D0%BE%D0%BB%D0%B6%D0%B5%D0%BD%D0%B8%D0%B5%201984%20%D1%84%D0%B8%D0%BB%D1%8C%D0%BC","искать")</f>
        <v/>
      </c>
      <c r="N201" s="3" t="n"/>
      <c r="O201" s="2" t="n"/>
    </row>
    <row r="202">
      <c r="A202" s="2" t="n">
        <v>201</v>
      </c>
      <c r="B202" s="2" t="inlineStr">
        <is>
          <t>обрыв</t>
        </is>
      </c>
      <c r="C202" s="2" t="n">
        <v>9599</v>
      </c>
      <c r="D202" s="3" t="inlineStr">
        <is>
          <t>Пропавший путь</t>
        </is>
      </c>
      <c r="E202" s="2" t="n">
        <v>1990</v>
      </c>
      <c r="F202" s="2" t="inlineStr">
        <is>
          <t>кинофильм</t>
        </is>
      </c>
      <c r="G202" s="2" t="n"/>
      <c r="H202" s="2" t="n">
        <v>216</v>
      </c>
      <c r="I202" s="2" t="inlineStr">
        <is>
          <t>да</t>
        </is>
      </c>
      <c r="J202" s="2" t="inlineStr"/>
      <c r="K202" s="3" t="inlineStr">
        <is>
          <t>По мотивам произведений Августа Мялка. После смерти матери Юлиус воспитывается в семье рыбака. Окончив школу, герой покидает рыбачий поселок и едет в город на поиски отца, от которого много лет не получал известий...</t>
        </is>
      </c>
      <c r="L202" s="2" t="inlineStr">
        <is>
          <t>Кино_СССР сводный каталог.xlsx: список фильмов (доп.)</t>
        </is>
      </c>
      <c r="M202" s="2">
        <f>HYPERLINK("https://ru.wikipedia.org/w/index.php?search=%D0%9F%D1%80%D0%BE%D0%BF%D0%B0%D0%B2%D1%88%D0%B8%D0%B9%20%D0%BF%D1%83%D1%82%D1%8C%201990%20%D1%84%D0%B8%D0%BB%D1%8C%D0%BC","искать")</f>
        <v/>
      </c>
      <c r="N202" s="3" t="n"/>
      <c r="O202" s="2" t="n"/>
    </row>
    <row r="203">
      <c r="A203" s="2" t="n">
        <v>202</v>
      </c>
      <c r="B203" s="2" t="inlineStr">
        <is>
          <t>обрыв</t>
        </is>
      </c>
      <c r="C203" s="2" t="n">
        <v>9736</v>
      </c>
      <c r="D203" s="3" t="inlineStr">
        <is>
          <t>Хомоновус</t>
        </is>
      </c>
      <c r="E203" s="2" t="n">
        <v>1990</v>
      </c>
      <c r="F203" s="2" t="inlineStr">
        <is>
          <t>кинофильм</t>
        </is>
      </c>
      <c r="G203" s="2" t="n"/>
      <c r="H203" s="2" t="n">
        <v>216</v>
      </c>
      <c r="I203" s="2" t="inlineStr">
        <is>
          <t>да</t>
        </is>
      </c>
      <c r="J203" s="2" t="inlineStr"/>
      <c r="K203" s="3" t="inlineStr">
        <is>
          <t>В ответ на несдержанность учительницы ученики объявляют ей бойкот. Увлеченные травлей, они уже не думают о границах дозволенного. Коллективная месть подобно снежному кому обрастает все новыми и новыми жестокостями...</t>
        </is>
      </c>
      <c r="L203" s="2" t="inlineStr">
        <is>
          <t>Кино_СССР сводный каталог.xlsx: список фильмов (доп.)</t>
        </is>
      </c>
      <c r="M203" s="2">
        <f>HYPERLINK("https://ru.wikipedia.org/w/index.php?search=%D0%A5%D0%BE%D0%BC%D0%BE%D0%BD%D0%BE%D0%B2%D1%83%D1%81%201990%20%D1%84%D0%B8%D0%BB%D1%8C%D0%BC","искать")</f>
        <v/>
      </c>
      <c r="N203" s="3" t="n"/>
      <c r="O203" s="2" t="n"/>
    </row>
    <row r="204">
      <c r="A204" s="2" t="n">
        <v>203</v>
      </c>
      <c r="B204" s="2" t="inlineStr">
        <is>
          <t>обрыв</t>
        </is>
      </c>
      <c r="C204" s="2" t="n">
        <v>9904</v>
      </c>
      <c r="D204" s="3" t="inlineStr">
        <is>
          <t>Здравствуй, сосед!</t>
        </is>
      </c>
      <c r="E204" s="2" t="n">
        <v>1973</v>
      </c>
      <c r="F204" s="2" t="inlineStr">
        <is>
          <t>телефильм</t>
        </is>
      </c>
      <c r="G204" s="2" t="inlineStr">
        <is>
          <t>Грузия-фильм, по заказу Гостелерадио</t>
        </is>
      </c>
      <c r="H204" s="2" t="n">
        <v>216</v>
      </c>
      <c r="I204" s="2" t="inlineStr">
        <is>
          <t>да</t>
        </is>
      </c>
      <c r="J204" s="2" t="inlineStr"/>
      <c r="K204" s="3" t="inlineStr">
        <is>
          <t>Границей между дворами Даты и Михи служила белая линия. Но свинья и куры постоянно нарушали эту границу. Тогда соседи возвели каменную стену. Однако теперь они не могли общаться друг с другом, и тогда стену снесли...</t>
        </is>
      </c>
      <c r="L204" s="2" t="inlineStr">
        <is>
          <t>https://www.kino-teatr.ru/short/movie/sov/83561/annot/</t>
        </is>
      </c>
      <c r="M204" s="2">
        <f>HYPERLINK("https://ru.wikipedia.org/w/index.php?search=%D0%97%D0%B4%D1%80%D0%B0%D0%B2%D1%81%D1%82%D0%B2%D1%83%D0%B9%2C%20%D1%81%D0%BE%D1%81%D0%B5%D0%B4%21%201973%20%D1%84%D0%B8%D0%BB%D1%8C%D0%BC","искать")</f>
        <v/>
      </c>
      <c r="N204" s="3" t="n"/>
      <c r="O204" s="2" t="n"/>
    </row>
    <row r="205">
      <c r="A205" s="2" t="n">
        <v>204</v>
      </c>
      <c r="B205" s="2" t="inlineStr">
        <is>
          <t>обрыв</t>
        </is>
      </c>
      <c r="C205" s="2" t="n">
        <v>10819</v>
      </c>
      <c r="D205" s="3" t="inlineStr">
        <is>
          <t>Стакан чая с лимоном</t>
        </is>
      </c>
      <c r="E205" s="2" t="n">
        <v>1979</v>
      </c>
      <c r="F205" s="2" t="inlineStr">
        <is>
          <t>фильм-спектакль</t>
        </is>
      </c>
      <c r="G205" s="2" t="inlineStr">
        <is>
          <t>Литовское телевидение</t>
        </is>
      </c>
      <c r="H205" s="2" t="n">
        <v>216</v>
      </c>
      <c r="I205" s="2" t="inlineStr">
        <is>
          <t>да</t>
        </is>
      </c>
      <c r="J205" s="2" t="inlineStr"/>
      <c r="K205" s="3" t="inlineStr">
        <is>
          <t>Преуспевающий писатель Арвид Винге из-за своей слабости к женщинам нередко попадает в затруднительное положение. И всякий раз ему на помощь приходит его жена Эльна, весьма ловко избавляющая Арвида от неприятностей...</t>
        </is>
      </c>
      <c r="L205" s="2" t="inlineStr">
        <is>
          <t>https://www.kino-teatr.ru/teatr/movie/107804/annot/</t>
        </is>
      </c>
      <c r="M205" s="2">
        <f>HYPERLINK("https://ru.wikipedia.org/w/index.php?search=%D0%A1%D1%82%D0%B0%D0%BA%D0%B0%D0%BD%20%D1%87%D0%B0%D1%8F%20%D1%81%20%D0%BB%D0%B8%D0%BC%D0%BE%D0%BD%D0%BE%D0%BC%201979%20%D1%84%D0%B8%D0%BB%D1%8C%D0%BC","искать")</f>
        <v/>
      </c>
      <c r="N205" s="3" t="n"/>
      <c r="O205" s="2" t="n"/>
    </row>
    <row r="206">
      <c r="A206" s="2" t="n">
        <v>205</v>
      </c>
      <c r="B206" s="2" t="inlineStr">
        <is>
          <t>обрыв</t>
        </is>
      </c>
      <c r="C206" s="2" t="n">
        <v>8792</v>
      </c>
      <c r="D206" s="3" t="inlineStr">
        <is>
          <t>Латыши?!</t>
        </is>
      </c>
      <c r="E206" s="2" t="n">
        <v>1989</v>
      </c>
      <c r="F206" s="2" t="inlineStr">
        <is>
          <t>кинофильм</t>
        </is>
      </c>
      <c r="G206" s="2" t="n"/>
      <c r="H206" s="2" t="n">
        <v>217</v>
      </c>
      <c r="I206" s="2" t="inlineStr">
        <is>
          <t>да</t>
        </is>
      </c>
      <c r="J206" s="2" t="inlineStr"/>
      <c r="K206" s="3" t="inlineStr">
        <is>
          <t>В семье Лацисов страшное горе - погиб в Афганистане младший сын. За поминальным столом собрались все члены семьи: отец, вдова погибшего, его старший брат Август с женой и сыном Янисом. Они вспоминают прожитую жизнь...</t>
        </is>
      </c>
      <c r="L206" s="2" t="inlineStr">
        <is>
          <t>Кино_СССР сводный каталог.xlsx: список фильмов (доп.)</t>
        </is>
      </c>
      <c r="M206" s="2">
        <f>HYPERLINK("https://ru.wikipedia.org/w/index.php?search=%D0%9B%D0%B0%D1%82%D1%8B%D1%88%D0%B8%3F%21%201989%20%D1%84%D0%B8%D0%BB%D1%8C%D0%BC","искать")</f>
        <v/>
      </c>
      <c r="N206" s="3" t="n"/>
      <c r="O206" s="2" t="n"/>
    </row>
    <row r="207">
      <c r="A207" s="2" t="n">
        <v>206</v>
      </c>
      <c r="B207" s="2" t="inlineStr">
        <is>
          <t>обрыв</t>
        </is>
      </c>
      <c r="C207" s="2" t="n">
        <v>9192</v>
      </c>
      <c r="D207" s="3" t="inlineStr">
        <is>
          <t>Яд скорпиона</t>
        </is>
      </c>
      <c r="E207" s="2" t="n">
        <v>1991</v>
      </c>
      <c r="F207" s="2" t="inlineStr">
        <is>
          <t>кинофильм</t>
        </is>
      </c>
      <c r="G207" s="2" t="n"/>
      <c r="H207" s="2" t="n">
        <v>217</v>
      </c>
      <c r="I207" s="2" t="inlineStr">
        <is>
          <t>да</t>
        </is>
      </c>
      <c r="J207" s="2" t="inlineStr"/>
      <c r="K207" s="3" t="inlineStr">
        <is>
          <t>Ассоциативная пародия на фильмы "Фантомас", "Калигула", "Ночной портье" и др. (со слов режиссера). Журналистка Анна дежурит на телефоне "Службы доверия". Случайно она узнает о секте самоубийц и присоединяется к ним...</t>
        </is>
      </c>
      <c r="L207" s="2" t="inlineStr">
        <is>
          <t>Кино_СССР сводный каталог.xlsx: список фильмов (доп.)</t>
        </is>
      </c>
      <c r="M207" s="2">
        <f>HYPERLINK("https://ru.wikipedia.org/w/index.php?search=%D0%AF%D0%B4%20%D1%81%D0%BA%D0%BE%D1%80%D0%BF%D0%B8%D0%BE%D0%BD%D0%B0%201991%20%D1%84%D0%B8%D0%BB%D1%8C%D0%BC","искать")</f>
        <v/>
      </c>
      <c r="N207" s="3" t="n"/>
      <c r="O207" s="2" t="n"/>
    </row>
    <row r="208">
      <c r="A208" s="2" t="n">
        <v>207</v>
      </c>
      <c r="B208" s="2" t="inlineStr">
        <is>
          <t>обрыв</t>
        </is>
      </c>
      <c r="C208" s="2" t="n">
        <v>9517</v>
      </c>
      <c r="D208" s="3" t="inlineStr">
        <is>
          <t>Ночь при дороге</t>
        </is>
      </c>
      <c r="E208" s="2" t="n">
        <v>1991</v>
      </c>
      <c r="F208" s="2" t="inlineStr">
        <is>
          <t>кинофильм</t>
        </is>
      </c>
      <c r="G208" s="2" t="n"/>
      <c r="H208" s="2" t="n">
        <v>217</v>
      </c>
      <c r="I208" s="2" t="inlineStr">
        <is>
          <t>да</t>
        </is>
      </c>
      <c r="J208" s="2" t="inlineStr"/>
      <c r="K208" s="3" t="inlineStr">
        <is>
          <t>По мотивам ранней прозы Кузьмы Черного и Максима Горецкого. О сложном трагическом времени коллективизации - раскрестьянивания. Два батлейщика (кукольника) ходят по деревням, попадая в различные конфликтные ситуации...</t>
        </is>
      </c>
      <c r="L208" s="2" t="inlineStr">
        <is>
          <t>Кино_СССР сводный каталог.xlsx: список фильмов (доп.)</t>
        </is>
      </c>
      <c r="M208" s="2">
        <f>HYPERLINK("https://ru.wikipedia.org/w/index.php?search=%D0%9D%D0%BE%D1%87%D1%8C%20%D0%BF%D1%80%D0%B8%20%D0%B4%D0%BE%D1%80%D0%BE%D0%B3%D0%B5%201991%20%D1%84%D0%B8%D0%BB%D1%8C%D0%BC","искать")</f>
        <v/>
      </c>
      <c r="N208" s="3" t="n"/>
      <c r="O208" s="2" t="n"/>
    </row>
    <row r="209">
      <c r="A209" s="2" t="n">
        <v>208</v>
      </c>
      <c r="B209" s="2" t="inlineStr">
        <is>
          <t>обрыв</t>
        </is>
      </c>
      <c r="C209" s="2" t="n">
        <v>10730</v>
      </c>
      <c r="D209" s="3" t="inlineStr">
        <is>
          <t>Весенняя песнь</t>
        </is>
      </c>
      <c r="E209" s="2" t="n">
        <v>1978</v>
      </c>
      <c r="F209" s="2" t="inlineStr">
        <is>
          <t>фильм-спектакль</t>
        </is>
      </c>
      <c r="G209" s="2" t="inlineStr">
        <is>
          <t>Литовское телевидение</t>
        </is>
      </c>
      <c r="H209" s="2" t="n">
        <v>217</v>
      </c>
      <c r="I209" s="2" t="inlineStr">
        <is>
          <t>да</t>
        </is>
      </c>
      <c r="J209" s="2" t="inlineStr">
        <is>
          <t>да</t>
        </is>
      </c>
      <c r="K209" s="3" t="inlineStr">
        <is>
          <t>По одноименной пьесе Балиса Сруоги.
Усадьба в довоенной Литве, отношения между людьми, конфликт между христианским и языческим мировоззрением, жажда жизни и любви, эгоистическое осуществление желаний ведёт к гибели...</t>
        </is>
      </c>
      <c r="L209" s="2" t="inlineStr">
        <is>
          <t>https://www.kino-teatr.ru/teatr/movie/107476/annot/</t>
        </is>
      </c>
      <c r="M209" s="2">
        <f>HYPERLINK("https://ru.wikipedia.org/w/index.php?search=%D0%92%D0%B5%D1%81%D0%B5%D0%BD%D0%BD%D1%8F%D1%8F%20%D0%BF%D0%B5%D1%81%D0%BD%D1%8C%201978%20%D1%84%D0%B8%D0%BB%D1%8C%D0%BC","искать")</f>
        <v/>
      </c>
      <c r="N209" s="3" t="n"/>
      <c r="O209" s="2" t="n"/>
    </row>
    <row r="210">
      <c r="A210" s="2" t="n">
        <v>209</v>
      </c>
      <c r="B210" s="2" t="inlineStr">
        <is>
          <t>обрыв</t>
        </is>
      </c>
      <c r="C210" s="2" t="n">
        <v>7383</v>
      </c>
      <c r="D210" s="3" t="inlineStr">
        <is>
          <t>Вот такая история...</t>
        </is>
      </c>
      <c r="E210" s="2" t="n">
        <v>1987</v>
      </c>
      <c r="F210" s="2" t="inlineStr">
        <is>
          <t>телефильм</t>
        </is>
      </c>
      <c r="G210" s="2" t="n"/>
      <c r="H210" s="2" t="n">
        <v>218</v>
      </c>
      <c r="I210" s="2" t="inlineStr">
        <is>
          <t>да</t>
        </is>
      </c>
      <c r="J210" s="2" t="inlineStr"/>
      <c r="K210" s="3" t="inlineStr">
        <is>
          <t>В НИИ на базе старой лаборатории создаются две новые. Ведущие инженеры Сергей и Владимир имеют равные возможности возглавить их. Для этого нужно немногое - помочь начальству сместить неугодного прежнего руководителя...</t>
        </is>
      </c>
      <c r="L210" s="2" t="inlineStr">
        <is>
          <t>Кино_СССР сводный каталог.xlsx: список телефильмов</t>
        </is>
      </c>
      <c r="M210" s="2">
        <f>HYPERLINK("https://ru.wikipedia.org/w/index.php?search=%D0%92%D0%BE%D1%82%20%D1%82%D0%B0%D0%BA%D0%B0%D1%8F%20%D0%B8%D1%81%D1%82%D0%BE%D1%80%D0%B8%D1%8F...%201987%20%D1%84%D0%B8%D0%BB%D1%8C%D0%BC","искать")</f>
        <v/>
      </c>
      <c r="N210" s="3" t="n"/>
      <c r="O210" s="2" t="n"/>
    </row>
    <row r="211">
      <c r="A211" s="2" t="n">
        <v>210</v>
      </c>
      <c r="B211" s="2" t="inlineStr">
        <is>
          <t>обрыв</t>
        </is>
      </c>
      <c r="C211" s="2" t="n">
        <v>7814</v>
      </c>
      <c r="D211" s="3" t="inlineStr">
        <is>
          <t>Личное оружие</t>
        </is>
      </c>
      <c r="E211" s="2" t="n">
        <v>1991</v>
      </c>
      <c r="F211" s="2" t="inlineStr">
        <is>
          <t>телефильм</t>
        </is>
      </c>
      <c r="G211" s="2" t="n"/>
      <c r="H211" s="2" t="n">
        <v>218</v>
      </c>
      <c r="I211" s="2" t="inlineStr">
        <is>
          <t>да</t>
        </is>
      </c>
      <c r="J211" s="2" t="inlineStr"/>
      <c r="K211" s="3" t="inlineStr">
        <is>
          <t>В провинциальном городке Лиманске произошло убийство рядового милиционера. С целью расследования преступления из Москвы приезжает капитан милиции Любовь Виртанен, появление которой настораживает руководство Лиманска...</t>
        </is>
      </c>
      <c r="L211" s="2" t="inlineStr">
        <is>
          <t>Кино_СССР сводный каталог.xlsx: список телефильмов</t>
        </is>
      </c>
      <c r="M211" s="2">
        <f>HYPERLINK("https://ru.wikipedia.org/w/index.php?search=%D0%9B%D0%B8%D1%87%D0%BD%D0%BE%D0%B5%20%D0%BE%D1%80%D1%83%D0%B6%D0%B8%D0%B5%201991%20%D1%84%D0%B8%D0%BB%D1%8C%D0%BC","искать")</f>
        <v/>
      </c>
      <c r="N211" s="3" t="n"/>
      <c r="O211" s="2" t="n"/>
    </row>
    <row r="212">
      <c r="A212" s="2" t="n">
        <v>211</v>
      </c>
      <c r="B212" s="2" t="inlineStr">
        <is>
          <t>обрыв</t>
        </is>
      </c>
      <c r="C212" s="2" t="n">
        <v>9364</v>
      </c>
      <c r="D212" s="3" t="inlineStr">
        <is>
          <t>За последней чертой</t>
        </is>
      </c>
      <c r="E212" s="2" t="n">
        <v>1991</v>
      </c>
      <c r="F212" s="2" t="inlineStr">
        <is>
          <t>кинофильм</t>
        </is>
      </c>
      <c r="G212" s="2" t="inlineStr">
        <is>
          <t>Мосфильм</t>
        </is>
      </c>
      <c r="H212" s="2" t="n">
        <v>218</v>
      </c>
      <c r="I212" s="2" t="inlineStr">
        <is>
          <t>да</t>
        </is>
      </c>
      <c r="J212" s="2" t="inlineStr"/>
      <c r="K212" s="3" t="inlineStr">
        <is>
          <t>Прославленный боксёр оказывается выброшенным за борт жизни. Судьба не оставляет ему выбора: он связывается с преступной бандой. Но есть черта, которую он не в состоянии переступить. И герой решается на отчаянный шаг...</t>
        </is>
      </c>
      <c r="L212" s="2" t="inlineStr">
        <is>
          <t>Кино_СССР сводный каталог.xlsx: список фильмов (доп.)</t>
        </is>
      </c>
      <c r="M212" s="2">
        <f>HYPERLINK("https://ru.wikipedia.org/w/index.php?search=%D0%97%D0%B0%20%D0%BF%D0%BE%D1%81%D0%BB%D0%B5%D0%B4%D0%BD%D0%B5%D0%B9%20%D1%87%D0%B5%D1%80%D1%82%D0%BE%D0%B9%201991%20%D1%84%D0%B8%D0%BB%D1%8C%D0%BC","искать")</f>
        <v/>
      </c>
      <c r="N212" s="3" t="n"/>
      <c r="O212" s="2" t="n"/>
    </row>
    <row r="213">
      <c r="A213" s="2" t="n">
        <v>212</v>
      </c>
      <c r="B213" s="2" t="inlineStr">
        <is>
          <t>обрыв</t>
        </is>
      </c>
      <c r="C213" s="2" t="n">
        <v>9965</v>
      </c>
      <c r="D213" s="3" t="inlineStr">
        <is>
          <t>Добро ксендза черти ловят</t>
        </is>
      </c>
      <c r="E213" s="2" t="n">
        <v>1981</v>
      </c>
      <c r="F213" s="2" t="inlineStr">
        <is>
          <t>телефильм</t>
        </is>
      </c>
      <c r="G213" s="2" t="inlineStr">
        <is>
          <t>Литовское телевидение</t>
        </is>
      </c>
      <c r="H213" s="2" t="n">
        <v>218</v>
      </c>
      <c r="I213" s="2" t="inlineStr">
        <is>
          <t>да</t>
        </is>
      </c>
      <c r="J213" s="2" t="inlineStr"/>
      <c r="K213" s="3" t="inlineStr">
        <is>
          <t>Фильм поставлен по мотивам рассказов Юлии Жемайте.
Приехавшие на похороны ксёндза родственники делят его добро, забыв о покойном. Не отстают от них и прихожане, которые считают, что им нужно вернуть их пожертвования...</t>
        </is>
      </c>
      <c r="L213" s="2" t="inlineStr">
        <is>
          <t>https://www.kino-teatr.ru/short/movie/sov/103170/annot/</t>
        </is>
      </c>
      <c r="M213" s="2">
        <f>HYPERLINK("https://ru.wikipedia.org/w/index.php?search=%D0%94%D0%BE%D0%B1%D1%80%D0%BE%20%D0%BA%D1%81%D0%B5%D0%BD%D0%B4%D0%B7%D0%B0%20%D1%87%D0%B5%D1%80%D1%82%D0%B8%20%D0%BB%D0%BE%D0%B2%D1%8F%D1%82%201981%20%D1%84%D0%B8%D0%BB%D1%8C%D0%BC","искать")</f>
        <v/>
      </c>
      <c r="N213" s="3" t="n"/>
      <c r="O213" s="2" t="n"/>
    </row>
    <row r="214">
      <c r="A214" s="2" t="n">
        <v>213</v>
      </c>
      <c r="B214" s="2" t="inlineStr">
        <is>
          <t>обрыв</t>
        </is>
      </c>
      <c r="C214" s="2" t="n">
        <v>7212</v>
      </c>
      <c r="D214" s="3" t="inlineStr">
        <is>
          <t>Антарктическая повесть</t>
        </is>
      </c>
      <c r="E214" s="2" t="n">
        <v>1979</v>
      </c>
      <c r="F214" s="2" t="inlineStr">
        <is>
          <t>телефильм</t>
        </is>
      </c>
      <c r="G214" s="2" t="inlineStr">
        <is>
          <t>Мосфильм</t>
        </is>
      </c>
      <c r="H214" s="2" t="n">
        <v>219</v>
      </c>
      <c r="I214" s="2" t="inlineStr">
        <is>
          <t>да</t>
        </is>
      </c>
      <c r="J214" s="2" t="inlineStr"/>
      <c r="K214" s="3" t="inlineStr">
        <is>
          <t>Телесериал посвящен покорителям южных широт. Семенов, Гаранин, Филатов, Бармин — отважные полярники, начавшие осваивать Антарктиду. Чувство ответственности, нравственная сила помогают им в борьбе с суровыми условиями...</t>
        </is>
      </c>
      <c r="L214" s="2" t="inlineStr">
        <is>
          <t>Кино_СССР сводный каталог.xlsx: список телефильмов</t>
        </is>
      </c>
      <c r="M214" s="2">
        <f>HYPERLINK("https://ru.wikipedia.org/w/index.php?search=%D0%90%D0%BD%D1%82%D0%B0%D1%80%D0%BA%D1%82%D0%B8%D1%87%D0%B5%D1%81%D0%BA%D0%B0%D1%8F%20%D0%BF%D0%BE%D0%B2%D0%B5%D1%81%D1%82%D1%8C%201979%20%D1%84%D0%B8%D0%BB%D1%8C%D0%BC","искать")</f>
        <v/>
      </c>
      <c r="N214" s="3" t="n"/>
      <c r="O214" s="2" t="n"/>
    </row>
    <row r="215">
      <c r="A215" s="2" t="n">
        <v>214</v>
      </c>
      <c r="B215" s="2" t="inlineStr">
        <is>
          <t>обрыв</t>
        </is>
      </c>
      <c r="C215" s="2" t="n">
        <v>8129</v>
      </c>
      <c r="D215" s="3" t="inlineStr">
        <is>
          <t>Погода на август</t>
        </is>
      </c>
      <c r="E215" s="2" t="n">
        <v>1983</v>
      </c>
      <c r="F215" s="2" t="inlineStr">
        <is>
          <t>телефильм</t>
        </is>
      </c>
      <c r="G215" s="2" t="n"/>
      <c r="H215" s="2" t="n">
        <v>219</v>
      </c>
      <c r="I215" s="2" t="inlineStr">
        <is>
          <t>да</t>
        </is>
      </c>
      <c r="J215" s="2" t="inlineStr">
        <is>
          <t>да</t>
        </is>
      </c>
      <c r="K215" s="3" t="inlineStr">
        <is>
          <t>Телефильм по мотивам повести В.Краковского "Лето текущего года". Философская история тринадцатилетнего Илмара, живущего в обычном, но всегда удивительном мире уходящего детства, где слиты и любовь, и дружба, и вражда...</t>
        </is>
      </c>
      <c r="L215" s="2" t="inlineStr">
        <is>
          <t>Кино_СССР сводный каталог.xlsx: список телефильмов</t>
        </is>
      </c>
      <c r="M215" s="2">
        <f>HYPERLINK("https://ru.wikipedia.org/w/index.php?search=%D0%9F%D0%BE%D0%B3%D0%BE%D0%B4%D0%B0%20%D0%BD%D0%B0%20%D0%B0%D0%B2%D0%B3%D1%83%D1%81%D1%82%201983%20%D1%84%D0%B8%D0%BB%D1%8C%D0%BC","искать")</f>
        <v/>
      </c>
      <c r="N215" s="3" t="n"/>
      <c r="O215" s="2" t="n"/>
    </row>
    <row r="216">
      <c r="A216" s="2" t="n">
        <v>215</v>
      </c>
      <c r="B216" s="2" t="inlineStr">
        <is>
          <t>обрыв</t>
        </is>
      </c>
      <c r="C216" s="2" t="n">
        <v>8226</v>
      </c>
      <c r="D216" s="3" t="inlineStr">
        <is>
          <t>Продается медвежья шкура</t>
        </is>
      </c>
      <c r="E216" s="2" t="n">
        <v>1980</v>
      </c>
      <c r="F216" s="2" t="inlineStr">
        <is>
          <t>телефильм</t>
        </is>
      </c>
      <c r="G216" s="2" t="n"/>
      <c r="H216" s="2" t="n">
        <v>219</v>
      </c>
      <c r="I216" s="2" t="inlineStr">
        <is>
          <t>да</t>
        </is>
      </c>
      <c r="J216" s="2" t="inlineStr"/>
      <c r="K216" s="3" t="inlineStr">
        <is>
          <t>Телефильм по одноименному рассказу Валентина Распутина. Охотник Василь убивает медведицу. Оставшийся в живых медведь кидается на охотника и получает ранение. И теперь рассвирепевший израненный зверь преследует человека…</t>
        </is>
      </c>
      <c r="L216" s="2" t="inlineStr">
        <is>
          <t>Кино_СССР сводный каталог.xlsx: список телефильмов</t>
        </is>
      </c>
      <c r="M216" s="2">
        <f>HYPERLINK("https://ru.wikipedia.org/w/index.php?search=%D0%9F%D1%80%D0%BE%D0%B4%D0%B0%D0%B5%D1%82%D1%81%D1%8F%20%D0%BC%D0%B5%D0%B4%D0%B2%D0%B5%D0%B6%D1%8C%D1%8F%20%D1%88%D0%BA%D1%83%D1%80%D0%B0%201980%20%D1%84%D0%B8%D0%BB%D1%8C%D0%BC","искать")</f>
        <v/>
      </c>
      <c r="N216" s="3" t="n"/>
      <c r="O216" s="2" t="n"/>
    </row>
    <row r="217">
      <c r="A217" s="2" t="n">
        <v>216</v>
      </c>
      <c r="B217" s="2" t="inlineStr">
        <is>
          <t>обрыв</t>
        </is>
      </c>
      <c r="C217" s="2" t="n">
        <v>7761</v>
      </c>
      <c r="D217" s="3" t="inlineStr">
        <is>
          <t>Красавец-мужчина</t>
        </is>
      </c>
      <c r="E217" s="2" t="n">
        <v>1978</v>
      </c>
      <c r="F217" s="2" t="inlineStr">
        <is>
          <t>телефильм</t>
        </is>
      </c>
      <c r="G217" s="2" t="n"/>
      <c r="H217" s="2" t="n">
        <v>220</v>
      </c>
      <c r="I217" s="2" t="inlineStr">
        <is>
          <t>да</t>
        </is>
      </c>
      <c r="J217" s="2" t="inlineStr"/>
      <c r="K217" s="3" t="inlineStr">
        <is>
          <t>История из семейной жизни, которая произошла в городе Бряхимове спустя шесть лет после свадьбы. Красавец-мужчина Аполлон Окоемов решил променять влюбленную в него до беспамятства жену Зою на богатую красотку Оболдуеву...</t>
        </is>
      </c>
      <c r="L217" s="2" t="inlineStr">
        <is>
          <t>Кино_СССР сводный каталог.xlsx: список телефильмов</t>
        </is>
      </c>
      <c r="M217" s="2">
        <f>HYPERLINK("https://ru.wikipedia.org/w/index.php?search=%D0%9A%D1%80%D0%B0%D1%81%D0%B0%D0%B2%D0%B5%D1%86-%D0%BC%D1%83%D0%B6%D1%87%D0%B8%D0%BD%D0%B0%201978%20%D1%84%D0%B8%D0%BB%D1%8C%D0%BC","искать")</f>
        <v/>
      </c>
      <c r="N217" s="3" t="n"/>
      <c r="O217" s="2" t="n"/>
    </row>
    <row r="218">
      <c r="A218" s="2" t="n">
        <v>217</v>
      </c>
      <c r="B218" s="2" t="inlineStr">
        <is>
          <t>обрыв</t>
        </is>
      </c>
      <c r="C218" s="2" t="n">
        <v>8236</v>
      </c>
      <c r="D218" s="3" t="inlineStr">
        <is>
          <t>Просто ужас!</t>
        </is>
      </c>
      <c r="E218" s="2" t="n">
        <v>1982</v>
      </c>
      <c r="F218" s="2" t="inlineStr">
        <is>
          <t>телефильм</t>
        </is>
      </c>
      <c r="G218" s="2" t="inlineStr">
        <is>
          <t>Одесская киностудия</t>
        </is>
      </c>
      <c r="H218" s="2" t="n">
        <v>220</v>
      </c>
      <c r="I218" s="2" t="inlineStr">
        <is>
          <t>да</t>
        </is>
      </c>
      <c r="J218" s="2" t="inlineStr"/>
      <c r="K218" s="3" t="inlineStr">
        <is>
          <t>По мотивам одноименной пьесы Юрия Сотника. О забавных приключениях шестиклассника Антона и его папы. С помощью чудесной машины «Исполнитель желания» Антон становится ветеринаром, а его отец, врач-ветеринар, — школьником…</t>
        </is>
      </c>
      <c r="L218" s="2" t="inlineStr">
        <is>
          <t>Кино_СССР сводный каталог.xlsx: список телефильмов</t>
        </is>
      </c>
      <c r="M218" s="2">
        <f>HYPERLINK("https://ru.wikipedia.org/w/index.php?search=%D0%9F%D1%80%D0%BE%D1%81%D1%82%D0%BE%20%D1%83%D0%B6%D0%B0%D1%81%21%201982%20%D1%84%D0%B8%D0%BB%D1%8C%D0%BC","искать")</f>
        <v/>
      </c>
      <c r="N218" s="3" t="n"/>
      <c r="O218" s="2" t="n"/>
    </row>
    <row r="219">
      <c r="A219" s="2" t="n">
        <v>218</v>
      </c>
      <c r="B219" s="2" t="inlineStr">
        <is>
          <t>обрыв</t>
        </is>
      </c>
      <c r="C219" s="2" t="n">
        <v>9238</v>
      </c>
      <c r="D219" s="3" t="inlineStr">
        <is>
          <t>Бесконечность</t>
        </is>
      </c>
      <c r="E219" s="2" t="n">
        <v>1991</v>
      </c>
      <c r="F219" s="2" t="inlineStr">
        <is>
          <t>кинофильм</t>
        </is>
      </c>
      <c r="G219" s="2" t="n"/>
      <c r="H219" s="2" t="n">
        <v>220</v>
      </c>
      <c r="I219" s="2" t="inlineStr">
        <is>
          <t>да</t>
        </is>
      </c>
      <c r="J219" s="2" t="inlineStr"/>
      <c r="K219" s="3" t="inlineStr">
        <is>
          <t>Чтобы избавиться от мыслей о смерти, Прохоров отправляется в некое путешествие - без вещей и без цели - и оказывается в маленьком городке, где родился и вырос. Но городок не дает ему утешения, потому что и сам умирает...</t>
        </is>
      </c>
      <c r="L219" s="2" t="inlineStr">
        <is>
          <t>Кино_СССР сводный каталог.xlsx: список фильмов (доп.)</t>
        </is>
      </c>
      <c r="M219" s="2">
        <f>HYPERLINK("https://ru.wikipedia.org/w/index.php?search=%D0%91%D0%B5%D1%81%D0%BA%D0%BE%D0%BD%D0%B5%D1%87%D0%BD%D0%BE%D1%81%D1%82%D1%8C%201991%20%D1%84%D0%B8%D0%BB%D1%8C%D0%BC","искать")</f>
        <v/>
      </c>
      <c r="N219" s="3" t="n"/>
      <c r="O219" s="2" t="n"/>
    </row>
    <row r="220">
      <c r="A220" s="2" t="n">
        <v>219</v>
      </c>
      <c r="B220" s="2" t="inlineStr">
        <is>
          <t>обрыв</t>
        </is>
      </c>
      <c r="C220" s="2" t="n">
        <v>7955</v>
      </c>
      <c r="D220" s="3" t="inlineStr">
        <is>
          <t>Наша дача</t>
        </is>
      </c>
      <c r="E220" s="2" t="n">
        <v>1990</v>
      </c>
      <c r="F220" s="2" t="inlineStr">
        <is>
          <t>телефильм</t>
        </is>
      </c>
      <c r="G220" s="2" t="inlineStr">
        <is>
          <t>ТО «Экран»</t>
        </is>
      </c>
      <c r="H220" s="2" t="n">
        <v>221</v>
      </c>
      <c r="I220" s="2" t="inlineStr">
        <is>
          <t>да</t>
        </is>
      </c>
      <c r="J220" s="2" t="inlineStr"/>
      <c r="K220" s="3" t="inlineStr">
        <is>
          <t>Телефильм. Действие фильма происходит на некогда респектабельной даче, куда съехались две семьи. Хозяин дачи - дед Андрей - хотел видеть здесь родовое гнездо и не предполагал, что она станет предметом семейного раздора...</t>
        </is>
      </c>
      <c r="L220" s="2" t="inlineStr">
        <is>
          <t>Кино_СССР сводный каталог.xlsx: список телефильмов</t>
        </is>
      </c>
      <c r="M220" s="2">
        <f>HYPERLINK("https://ru.wikipedia.org/w/index.php?search=%D0%9D%D0%B0%D1%88%D0%B0%20%D0%B4%D0%B0%D1%87%D0%B0%201990%20%D1%84%D0%B8%D0%BB%D1%8C%D0%BC","искать")</f>
        <v/>
      </c>
      <c r="N220" s="3" t="n"/>
      <c r="O220" s="2" t="n"/>
    </row>
    <row r="221">
      <c r="A221" s="2" t="n">
        <v>220</v>
      </c>
      <c r="B221" s="2" t="inlineStr">
        <is>
          <t>обрыв</t>
        </is>
      </c>
      <c r="C221" s="2" t="n">
        <v>9092</v>
      </c>
      <c r="D221" s="3" t="inlineStr">
        <is>
          <t>Там, у нас</t>
        </is>
      </c>
      <c r="E221" s="2" t="n">
        <v>1990</v>
      </c>
      <c r="F221" s="2" t="inlineStr">
        <is>
          <t>кинофильм</t>
        </is>
      </c>
      <c r="G221" s="2" t="n"/>
      <c r="H221" s="2" t="n">
        <v>221</v>
      </c>
      <c r="I221" s="2" t="inlineStr">
        <is>
          <t>да</t>
        </is>
      </c>
      <c r="J221" s="2" t="inlineStr"/>
      <c r="K221" s="3" t="inlineStr">
        <is>
          <t>Жители маленького аджарского села живут трудно, бедно, в постоянном страхе перед оползнем. Часто, собрав вещи в узлы, они покидают свои жилища и прячутся в безопасных местах. Затем возвращаются, работают и растят детей...</t>
        </is>
      </c>
      <c r="L221" s="2" t="inlineStr">
        <is>
          <t>Кино_СССР сводный каталог.xlsx: список фильмов (доп.)</t>
        </is>
      </c>
      <c r="M221" s="2">
        <f>HYPERLINK("https://ru.wikipedia.org/w/index.php?search=%D0%A2%D0%B0%D0%BC%2C%20%D1%83%20%D0%BD%D0%B0%D1%81%201990%20%D1%84%D0%B8%D0%BB%D1%8C%D0%BC","искать")</f>
        <v/>
      </c>
      <c r="N221" s="3" t="n"/>
      <c r="O221" s="2" t="n"/>
    </row>
    <row r="222">
      <c r="A222" s="2" t="n">
        <v>221</v>
      </c>
      <c r="B222" s="2" t="inlineStr">
        <is>
          <t>обрыв</t>
        </is>
      </c>
      <c r="C222" s="2" t="n">
        <v>8476</v>
      </c>
      <c r="D222" s="3" t="inlineStr">
        <is>
          <t>Три дня в Москве</t>
        </is>
      </c>
      <c r="E222" s="2" t="n">
        <v>1974</v>
      </c>
      <c r="F222" s="2" t="inlineStr">
        <is>
          <t>телефильм</t>
        </is>
      </c>
      <c r="G222" s="2" t="inlineStr">
        <is>
          <t>Киностудия «Мосфильм». Творческое объединение телевизионных фильмов</t>
        </is>
      </c>
      <c r="H222" s="2" t="n">
        <v>222</v>
      </c>
      <c r="I222" s="2" t="inlineStr">
        <is>
          <t>да</t>
        </is>
      </c>
      <c r="J222" s="2" t="inlineStr"/>
      <c r="K222" s="3" t="inlineStr">
        <is>
          <t>Три дня провел в Москве добрый и смешливый милиционер-сибиряк Иван Федотов. И все время попадал в нелепые ситуации. Сколько всего с ним приключилось: и с космонавтом познакомился, и чуть было не женился, и бабушку нашёл...</t>
        </is>
      </c>
      <c r="L222" s="2" t="inlineStr">
        <is>
          <t>Кино_СССР сводный каталог.xlsx: список телефильмов</t>
        </is>
      </c>
      <c r="M222" s="2">
        <f>HYPERLINK("https://ru.wikipedia.org/w/index.php?search=%D0%A2%D1%80%D0%B8%20%D0%B4%D0%BD%D1%8F%20%D0%B2%20%D0%9C%D0%BE%D1%81%D0%BA%D0%B2%D0%B5%201974%20%D1%84%D0%B8%D0%BB%D1%8C%D0%BC","искать")</f>
        <v/>
      </c>
      <c r="N222" s="3" t="n"/>
      <c r="O222" s="2" t="n"/>
    </row>
    <row r="223">
      <c r="A223" s="2" t="n">
        <v>222</v>
      </c>
      <c r="B223" s="2" t="inlineStr">
        <is>
          <t>обрыв</t>
        </is>
      </c>
      <c r="C223" s="2" t="n">
        <v>9084</v>
      </c>
      <c r="D223" s="3" t="inlineStr">
        <is>
          <t>Сэнит зон</t>
        </is>
      </c>
      <c r="E223" s="2" t="n">
        <v>1990</v>
      </c>
      <c r="F223" s="2" t="inlineStr">
        <is>
          <t>кинофильм</t>
        </is>
      </c>
      <c r="G223" s="2" t="n"/>
      <c r="H223" s="2" t="n">
        <v>222</v>
      </c>
      <c r="I223" s="2" t="inlineStr">
        <is>
          <t>да</t>
        </is>
      </c>
      <c r="J223" s="2" t="inlineStr"/>
      <c r="K223" s="3" t="inlineStr">
        <is>
          <t>Власти провинциального городка ждут "поезд мира" с заморскими гостями: цветы, плакаты и пр. Однако, вместо десяти караваев красавицы тащат одиннадцать. Полковник Косолапов нюхом чует, что одиннадцатый каравай - с бомбой...</t>
        </is>
      </c>
      <c r="L223" s="2" t="inlineStr">
        <is>
          <t>Кино_СССР сводный каталог.xlsx: список фильмов (доп.)</t>
        </is>
      </c>
      <c r="M223" s="2">
        <f>HYPERLINK("https://ru.wikipedia.org/w/index.php?search=%D0%A1%D1%8D%D0%BD%D0%B8%D1%82%20%D0%B7%D0%BE%D0%BD%201990%20%D1%84%D0%B8%D0%BB%D1%8C%D0%BC","искать")</f>
        <v/>
      </c>
      <c r="N223" s="3" t="n"/>
      <c r="O223" s="2" t="n"/>
    </row>
    <row r="224">
      <c r="A224" s="2" t="n">
        <v>223</v>
      </c>
      <c r="B224" s="2" t="inlineStr">
        <is>
          <t>обрыв</t>
        </is>
      </c>
      <c r="C224" s="2" t="n">
        <v>9949</v>
      </c>
      <c r="D224" s="3" t="inlineStr">
        <is>
          <t>Враги</t>
        </is>
      </c>
      <c r="E224" s="2" t="n">
        <v>1980</v>
      </c>
      <c r="F224" s="2" t="inlineStr">
        <is>
          <t>кинофильм</t>
        </is>
      </c>
      <c r="G224" s="2" t="inlineStr">
        <is>
          <t>Ленфильм, 2 ТО</t>
        </is>
      </c>
      <c r="H224" s="2" t="n">
        <v>222</v>
      </c>
      <c r="I224" s="2" t="inlineStr">
        <is>
          <t>да</t>
        </is>
      </c>
      <c r="J224" s="2" t="inlineStr"/>
      <c r="K224" s="3" t="inlineStr">
        <is>
          <t>Дипломная работа режиссера
По одноименному рассказу Антона Чехова.
У доктора умер сын. К нему приезжает из соседней усадьбы помещик и умоляет ехать к больной жене. Еле живой от горя, доктор едет, но жена вовсе не больна...</t>
        </is>
      </c>
      <c r="L224" s="2" t="inlineStr">
        <is>
          <t>https://www.kino-teatr.ru/short/movie/sov/84693/annot/</t>
        </is>
      </c>
      <c r="M224" s="2">
        <f>HYPERLINK("https://ru.wikipedia.org/w/index.php?search=%D0%92%D1%80%D0%B0%D0%B3%D0%B8%201980%20%D1%84%D0%B8%D0%BB%D1%8C%D0%BC","искать")</f>
        <v/>
      </c>
      <c r="N224" s="3" t="n"/>
      <c r="O224" s="2" t="n"/>
    </row>
    <row r="225">
      <c r="A225" s="2" t="n">
        <v>224</v>
      </c>
      <c r="B225" s="2" t="inlineStr">
        <is>
          <t>обрыв</t>
        </is>
      </c>
      <c r="C225" s="2" t="n">
        <v>10217</v>
      </c>
      <c r="D225" s="3" t="inlineStr">
        <is>
          <t>Северный свет</t>
        </is>
      </c>
      <c r="E225" s="2" t="n">
        <v>1967</v>
      </c>
      <c r="F225" s="2" t="inlineStr">
        <is>
          <t>фильм-спектакль</t>
        </is>
      </c>
      <c r="G225" s="2" t="n"/>
      <c r="H225" s="2" t="n">
        <v>222</v>
      </c>
      <c r="I225" s="2" t="inlineStr">
        <is>
          <t>да</t>
        </is>
      </c>
      <c r="J225" s="2" t="inlineStr"/>
      <c r="K225" s="3" t="inlineStr">
        <is>
          <t>По мотивам одноименного романа английского писателя А.Кронина.
В основе сюжета - история английской провинциальной газеты "Северный свет", которой удалось выстоять в жестокой конкуренции с крупными газетными монополиями...</t>
        </is>
      </c>
      <c r="L225" s="2" t="inlineStr">
        <is>
          <t>https://www.kino-teatr.ru/teatr/movie/80982/annot/</t>
        </is>
      </c>
      <c r="M225" s="2">
        <f>HYPERLINK("https://ru.wikipedia.org/w/index.php?search=%D0%A1%D0%B5%D0%B2%D0%B5%D1%80%D0%BD%D1%8B%D0%B9%20%D1%81%D0%B2%D0%B5%D1%82%201967%20%D1%84%D0%B8%D0%BB%D1%8C%D0%BC","искать")</f>
        <v/>
      </c>
      <c r="N225" s="3" t="n"/>
      <c r="O225" s="2" t="n"/>
    </row>
    <row r="226">
      <c r="A226" s="2" t="n">
        <v>225</v>
      </c>
      <c r="B226" s="2" t="inlineStr">
        <is>
          <t>обрыв</t>
        </is>
      </c>
      <c r="C226" s="2" t="n">
        <v>7965</v>
      </c>
      <c r="D226" s="3" t="inlineStr">
        <is>
          <t>Не пройдёт и года...</t>
        </is>
      </c>
      <c r="E226" s="2" t="n">
        <v>1973</v>
      </c>
      <c r="F226" s="2" t="inlineStr">
        <is>
          <t>телефильм</t>
        </is>
      </c>
      <c r="G226" s="2" t="n"/>
      <c r="H226" s="2" t="n">
        <v>224</v>
      </c>
      <c r="I226" s="2" t="inlineStr">
        <is>
          <t>да</t>
        </is>
      </c>
      <c r="J226" s="2" t="inlineStr"/>
      <c r="K226" s="3" t="inlineStr">
        <is>
          <t>Телефильм. Петра Ивановича, опытного прораба, долго уговаривали стать главным инженером треста. С трудом уговорили. А через год он вернулся на свою стройку, полусерьезно утверждая, что прораб — не должность, а специальность…</t>
        </is>
      </c>
      <c r="L226" s="2" t="inlineStr">
        <is>
          <t>Кино_СССР сводный каталог.xlsx: список телефильмов</t>
        </is>
      </c>
      <c r="M226" s="2">
        <f>HYPERLINK("https://ru.wikipedia.org/w/index.php?search=%D0%9D%D0%B5%20%D0%BF%D1%80%D0%BE%D0%B9%D0%B4%D1%91%D1%82%20%D0%B8%20%D0%B3%D0%BE%D0%B4%D0%B0...%201973%20%D1%84%D0%B8%D0%BB%D1%8C%D0%BC","искать")</f>
        <v/>
      </c>
      <c r="N226" s="3" t="n"/>
      <c r="O226" s="2" t="n"/>
    </row>
    <row r="227">
      <c r="A227" s="2" t="n">
        <v>226</v>
      </c>
      <c r="B227" s="2" t="inlineStr">
        <is>
          <t>обрыв</t>
        </is>
      </c>
      <c r="C227" s="2" t="n">
        <v>8998</v>
      </c>
      <c r="D227" s="3" t="inlineStr">
        <is>
          <t>Путь к себе</t>
        </is>
      </c>
      <c r="E227" s="2" t="n">
        <v>1986</v>
      </c>
      <c r="F227" s="2" t="inlineStr">
        <is>
          <t>кинофильм</t>
        </is>
      </c>
      <c r="G227" s="2" t="n"/>
      <c r="H227" s="2" t="n">
        <v>224</v>
      </c>
      <c r="I227" s="2" t="inlineStr">
        <is>
          <t>да</t>
        </is>
      </c>
      <c r="J227" s="2" t="inlineStr"/>
      <c r="K227" s="3" t="inlineStr">
        <is>
          <t>Сотрудник НИИ инженер Крылов, вступивший в конфликт с администрацией, увольняется из института. Будучи спортсменом, Крылов начинает работать каскадером. Но и здесь, встречаясь с разными людьми, попадает в трудные ситуации...</t>
        </is>
      </c>
      <c r="L227" s="2" t="inlineStr">
        <is>
          <t>Кино_СССР сводный каталог.xlsx: список фильмов (доп.)</t>
        </is>
      </c>
      <c r="M227" s="2">
        <f>HYPERLINK("https://ru.wikipedia.org/w/index.php?search=%D0%9F%D1%83%D1%82%D1%8C%20%D0%BA%20%D1%81%D0%B5%D0%B1%D0%B5%201986%20%D1%84%D0%B8%D0%BB%D1%8C%D0%BC","искать")</f>
        <v/>
      </c>
      <c r="N227" s="3" t="n"/>
      <c r="O227" s="2" t="n"/>
    </row>
    <row r="228">
      <c r="A228" s="2" t="n">
        <v>227</v>
      </c>
      <c r="B228" s="2" t="inlineStr">
        <is>
          <t>обрыв</t>
        </is>
      </c>
      <c r="C228" s="2" t="n">
        <v>10759</v>
      </c>
      <c r="D228" s="3" t="inlineStr">
        <is>
          <t>Москва. Чистые пруды</t>
        </is>
      </c>
      <c r="E228" s="2" t="n">
        <v>1978</v>
      </c>
      <c r="F228" s="2" t="inlineStr">
        <is>
          <t>фильм-спектакль</t>
        </is>
      </c>
      <c r="G228" s="2" t="n"/>
      <c r="H228" s="2" t="n">
        <v>224</v>
      </c>
      <c r="I228" s="2" t="inlineStr">
        <is>
          <t>да</t>
        </is>
      </c>
      <c r="J228" s="2" t="inlineStr"/>
      <c r="K228" s="3" t="inlineStr">
        <is>
          <t>Фильм о встрече двух уже немолодых людей - участкового врача Валентины Михайловны и мастера взрывных работ Жигулина. Они познакомились в самом конце войны, были вместе несколько дней, а затем расстались на много-много лет...</t>
        </is>
      </c>
      <c r="L228" s="2" t="inlineStr">
        <is>
          <t>https://www.kino-teatr.ru/teatr/movie/13974/annot/</t>
        </is>
      </c>
      <c r="M228" s="2">
        <f>HYPERLINK("https://ru.wikipedia.org/w/index.php?search=%D0%9C%D0%BE%D1%81%D0%BA%D0%B2%D0%B0.%20%D0%A7%D0%B8%D1%81%D1%82%D1%8B%D0%B5%20%D0%BF%D1%80%D1%83%D0%B4%D1%8B%201978%20%D1%84%D0%B8%D0%BB%D1%8C%D0%BC","искать")</f>
        <v/>
      </c>
      <c r="N228" s="3" t="n"/>
      <c r="O228" s="2" t="n"/>
    </row>
    <row r="229">
      <c r="A229" s="2" t="n">
        <v>228</v>
      </c>
      <c r="B229" s="2" t="inlineStr">
        <is>
          <t>обрыв</t>
        </is>
      </c>
      <c r="C229" s="2" t="n">
        <v>8086</v>
      </c>
      <c r="D229" s="3" t="inlineStr">
        <is>
          <t>Первая любовь</t>
        </is>
      </c>
      <c r="E229" s="2" t="n">
        <v>1968</v>
      </c>
      <c r="F229" s="2" t="inlineStr">
        <is>
          <t>телефильм</t>
        </is>
      </c>
      <c r="G229" s="2" t="n"/>
      <c r="H229" s="2" t="n">
        <v>225</v>
      </c>
      <c r="I229" s="2" t="inlineStr">
        <is>
          <t>да</t>
        </is>
      </c>
      <c r="J229" s="2" t="inlineStr"/>
      <c r="K229" s="3" t="inlineStr">
        <is>
          <t>По одноименной повести И.Тургенева. Вчерашний гимназист влюбляется в соседку по даче,которая кокетничает со всеми подряд, в том числе и с ним. Юноша страдает, но не предполагает, что счастливым соперником является его отец...</t>
        </is>
      </c>
      <c r="L229" s="2" t="inlineStr">
        <is>
          <t>Кино_СССР сводный каталог.xlsx: список телефильмов</t>
        </is>
      </c>
      <c r="M229" s="2">
        <f>HYPERLINK("https://ru.wikipedia.org/w/index.php?search=%D0%9F%D0%B5%D1%80%D0%B2%D0%B0%D1%8F%20%D0%BB%D1%8E%D0%B1%D0%BE%D0%B2%D1%8C%201968%20%D1%84%D0%B8%D0%BB%D1%8C%D0%BC","искать")</f>
        <v/>
      </c>
      <c r="N229" s="3" t="n"/>
      <c r="O229" s="2" t="n"/>
    </row>
    <row r="230">
      <c r="A230" s="2" t="n">
        <v>229</v>
      </c>
      <c r="B230" s="2" t="inlineStr">
        <is>
          <t>обрыв</t>
        </is>
      </c>
      <c r="C230" s="2" t="n">
        <v>9448</v>
      </c>
      <c r="D230" s="3" t="inlineStr">
        <is>
          <t>Кумир</t>
        </is>
      </c>
      <c r="E230" s="2" t="n">
        <v>1988</v>
      </c>
      <c r="F230" s="2" t="inlineStr">
        <is>
          <t>кинофильм</t>
        </is>
      </c>
      <c r="G230" s="2" t="n"/>
      <c r="H230" s="2" t="n">
        <v>225</v>
      </c>
      <c r="I230" s="2" t="inlineStr">
        <is>
          <t>да</t>
        </is>
      </c>
      <c r="J230" s="2" t="inlineStr"/>
      <c r="K230" s="3" t="inlineStr">
        <is>
          <t>Эстрадный певец Хуршед начинает работать под руководством импрессарио Мира Алисовича. К нему очень скоро приходит успех и герой пока не замечает, что постепенно втягивается в круг интересов своего нового шефа и покровителя...</t>
        </is>
      </c>
      <c r="L230" s="2" t="inlineStr">
        <is>
          <t>Кино_СССР сводный каталог.xlsx: список фильмов (доп.)</t>
        </is>
      </c>
      <c r="M230" s="2">
        <f>HYPERLINK("https://ru.wikipedia.org/w/index.php?search=%D0%9A%D1%83%D0%BC%D0%B8%D1%80%201988%20%D1%84%D0%B8%D0%BB%D1%8C%D0%BC","искать")</f>
        <v/>
      </c>
      <c r="N230" s="3" t="n"/>
      <c r="O230" s="2" t="n"/>
    </row>
    <row r="231">
      <c r="A231" s="2" t="n">
        <v>230</v>
      </c>
      <c r="B231" s="2" t="inlineStr">
        <is>
          <t>обрыв</t>
        </is>
      </c>
      <c r="C231" s="2" t="n">
        <v>8717</v>
      </c>
      <c r="D231" s="3" t="inlineStr">
        <is>
          <t>Жди меня</t>
        </is>
      </c>
      <c r="E231" s="2" t="n">
        <v>1991</v>
      </c>
      <c r="F231" s="2" t="inlineStr">
        <is>
          <t>кинофильм</t>
        </is>
      </c>
      <c r="G231" s="2" t="n"/>
      <c r="H231" s="2" t="n">
        <v>226</v>
      </c>
      <c r="I231" s="2" t="inlineStr">
        <is>
          <t>да</t>
        </is>
      </c>
      <c r="J231" s="2" t="inlineStr"/>
      <c r="K231" s="3" t="inlineStr">
        <is>
          <t>Главный герой фильма, Озод, водитель кинопередвижки, он ездит по кишлакам и показывает кино. Но однажды попадает в трудную и опасную ситуацию, он столкнулся в горах, с наркодельцами, и они заставляют его перевести наркотики...</t>
        </is>
      </c>
      <c r="L231" s="2" t="inlineStr">
        <is>
          <t>Кино_СССР сводный каталог.xlsx: список фильмов (доп.)</t>
        </is>
      </c>
      <c r="M231" s="2">
        <f>HYPERLINK("https://ru.wikipedia.org/w/index.php?search=%D0%96%D0%B4%D0%B8%20%D0%BC%D0%B5%D0%BD%D1%8F%201991%20%D1%84%D0%B8%D0%BB%D1%8C%D0%BC","искать")</f>
        <v/>
      </c>
      <c r="N231" s="3" t="n"/>
      <c r="O231" s="2" t="n"/>
    </row>
    <row r="232">
      <c r="A232" s="2" t="n">
        <v>231</v>
      </c>
      <c r="B232" s="2" t="inlineStr">
        <is>
          <t>обрыв</t>
        </is>
      </c>
      <c r="C232" s="2" t="n">
        <v>9250</v>
      </c>
      <c r="D232" s="3" t="inlineStr">
        <is>
          <t>Большое золото мистера Гринвуда</t>
        </is>
      </c>
      <c r="E232" s="2" t="n">
        <v>1991</v>
      </c>
      <c r="F232" s="2" t="inlineStr">
        <is>
          <t>кинофильм</t>
        </is>
      </c>
      <c r="G232" s="2" t="n"/>
      <c r="H232" s="2" t="n">
        <v>226</v>
      </c>
      <c r="I232" s="2" t="inlineStr">
        <is>
          <t>да</t>
        </is>
      </c>
      <c r="J232" s="2" t="inlineStr"/>
      <c r="K232" s="3" t="inlineStr">
        <is>
          <t>Забавный остросюжетный фильм с выстрелами, поисками золота и рекламой. Трое искателей отправляются на поиски клада, который был упрятан в тайге охотником с Аляски, мистером Гринвудом. А по следам дружной троицы идут бандиты...</t>
        </is>
      </c>
      <c r="L232" s="2" t="inlineStr">
        <is>
          <t>Кино_СССР сводный каталог.xlsx: список фильмов (доп.)</t>
        </is>
      </c>
      <c r="M232" s="2">
        <f>HYPERLINK("https://ru.wikipedia.org/w/index.php?search=%D0%91%D0%BE%D0%BB%D1%8C%D1%88%D0%BE%D0%B5%20%D0%B7%D0%BE%D0%BB%D0%BE%D1%82%D0%BE%20%D0%BC%D0%B8%D1%81%D1%82%D0%B5%D1%80%D0%B0%20%D0%93%D1%80%D0%B8%D0%BD%D0%B2%D1%83%D0%B4%D0%B0%201991%20%D1%84%D0%B8%D0%BB%D1%8C%D0%BC","искать")</f>
        <v/>
      </c>
      <c r="N232" s="3" t="n"/>
      <c r="O232" s="2" t="n"/>
    </row>
    <row r="233">
      <c r="A233" s="2" t="n">
        <v>232</v>
      </c>
      <c r="B233" s="2" t="inlineStr">
        <is>
          <t>обрыв</t>
        </is>
      </c>
      <c r="C233" s="2" t="n">
        <v>9577</v>
      </c>
      <c r="D233" s="3" t="inlineStr">
        <is>
          <t>Потерпевший</t>
        </is>
      </c>
      <c r="E233" s="2" t="n">
        <v>1990</v>
      </c>
      <c r="F233" s="2" t="inlineStr">
        <is>
          <t>кинофильм</t>
        </is>
      </c>
      <c r="G233" s="2" t="n"/>
      <c r="H233" s="2" t="n">
        <v>226</v>
      </c>
      <c r="I233" s="2" t="inlineStr">
        <is>
          <t>да</t>
        </is>
      </c>
      <c r="J233" s="2" t="inlineStr"/>
      <c r="K233" s="3" t="inlineStr">
        <is>
          <t>Герой фильма - старший уполномоченный милиции Кузьмин. В основе сюжета - ограбление сберкассы, нападение на женщину с кражей сумки, судьба талантливого художника, загнанного жизнью в тупик и, наконец, проблемы отцов и детей...</t>
        </is>
      </c>
      <c r="L233" s="2" t="inlineStr">
        <is>
          <t>Кино_СССР сводный каталог.xlsx: список фильмов (доп.)</t>
        </is>
      </c>
      <c r="M233" s="2">
        <f>HYPERLINK("https://ru.wikipedia.org/w/index.php?search=%D0%9F%D0%BE%D1%82%D0%B5%D1%80%D0%BF%D0%B5%D0%B2%D1%88%D0%B8%D0%B9%201990%20%D1%84%D0%B8%D0%BB%D1%8C%D0%BC","искать")</f>
        <v/>
      </c>
      <c r="N233" s="3" t="n"/>
      <c r="O233" s="2" t="n"/>
    </row>
    <row r="234">
      <c r="A234" s="2" t="n">
        <v>233</v>
      </c>
      <c r="B234" s="2" t="inlineStr">
        <is>
          <t>обрыв</t>
        </is>
      </c>
      <c r="C234" s="2" t="n">
        <v>11226</v>
      </c>
      <c r="D234" s="3" t="inlineStr">
        <is>
          <t>С луны свалился</t>
        </is>
      </c>
      <c r="E234" s="2" t="n">
        <v>1988</v>
      </c>
      <c r="F234" s="2" t="inlineStr">
        <is>
          <t>фильм-спектакль</t>
        </is>
      </c>
      <c r="G234" s="2" t="inlineStr">
        <is>
          <t>Главная редакция литературно-драматических программ ЦТ</t>
        </is>
      </c>
      <c r="H234" s="2" t="n">
        <v>226</v>
      </c>
      <c r="I234" s="2" t="inlineStr">
        <is>
          <t>да</t>
        </is>
      </c>
      <c r="J234" s="2" t="inlineStr">
        <is>
          <t>да</t>
        </is>
      </c>
      <c r="K234" s="3" t="inlineStr">
        <is>
          <t>Сатирическая комедия по мотивам рассказов Михаила Зощенко "С луны свалился", "Слабая тара", "Сильное средство", "Волокита", "Лимонад", "Не надо спекулировать".
Наступили новые времена, где нет места взяткам, но вместо этого...</t>
        </is>
      </c>
      <c r="L234" s="2" t="inlineStr">
        <is>
          <t>https://www.kino-teatr.ru/teatr/movie/80544/annot/</t>
        </is>
      </c>
      <c r="M234" s="2">
        <f>HYPERLINK("https://ru.wikipedia.org/w/index.php?search=%D0%A1%20%D0%BB%D1%83%D0%BD%D1%8B%20%D1%81%D0%B2%D0%B0%D0%BB%D0%B8%D0%BB%D1%81%D1%8F%201988%20%D1%84%D0%B8%D0%BB%D1%8C%D0%BC","искать")</f>
        <v/>
      </c>
      <c r="N234" s="3" t="n"/>
      <c r="O234" s="2" t="n"/>
    </row>
    <row r="235">
      <c r="A235" s="2" t="n">
        <v>234</v>
      </c>
      <c r="B235" s="2" t="inlineStr">
        <is>
          <t>обрыв</t>
        </is>
      </c>
      <c r="C235" s="2" t="n">
        <v>8968</v>
      </c>
      <c r="D235" s="3" t="inlineStr">
        <is>
          <t>Похороны Сталина</t>
        </is>
      </c>
      <c r="E235" s="2" t="n">
        <v>1990</v>
      </c>
      <c r="F235" s="2" t="inlineStr">
        <is>
          <t>кинофильм</t>
        </is>
      </c>
      <c r="G235" s="2" t="n"/>
      <c r="H235" s="2" t="n">
        <v>227</v>
      </c>
      <c r="I235" s="2" t="inlineStr">
        <is>
          <t>да</t>
        </is>
      </c>
      <c r="J235" s="2" t="inlineStr">
        <is>
          <t>да</t>
        </is>
      </c>
      <c r="K235" s="3" t="inlineStr">
        <is>
          <t>Уже в названии фильма указан конкретный исторический момент - основные события ленты происходят в дни кончины и похорон диктатора. На этом фоне особенно ярко проявляются личные качества героев фильма и их отношения с властью...</t>
        </is>
      </c>
      <c r="L235" s="2" t="inlineStr">
        <is>
          <t>Кино_СССР сводный каталог.xlsx: список фильмов (доп.)</t>
        </is>
      </c>
      <c r="M235" s="2">
        <f>HYPERLINK("https://ru.wikipedia.org/w/index.php?search=%D0%9F%D0%BE%D1%85%D0%BE%D1%80%D0%BE%D0%BD%D1%8B%20%D0%A1%D1%82%D0%B0%D0%BB%D0%B8%D0%BD%D0%B0%201990%20%D1%84%D0%B8%D0%BB%D1%8C%D0%BC","искать")</f>
        <v/>
      </c>
      <c r="N235" s="3" t="n"/>
      <c r="O235" s="2" t="n"/>
    </row>
    <row r="236">
      <c r="A236" s="2" t="n">
        <v>235</v>
      </c>
      <c r="B236" s="2" t="inlineStr">
        <is>
          <t>обрыв</t>
        </is>
      </c>
      <c r="C236" s="2" t="n">
        <v>9443</v>
      </c>
      <c r="D236" s="3" t="inlineStr">
        <is>
          <t>Круглянский мост</t>
        </is>
      </c>
      <c r="E236" s="2" t="n">
        <v>1989</v>
      </c>
      <c r="F236" s="2" t="inlineStr">
        <is>
          <t>кинофильм</t>
        </is>
      </c>
      <c r="G236" s="2" t="n"/>
      <c r="H236" s="2" t="n">
        <v>227</v>
      </c>
      <c r="I236" s="2" t="inlineStr">
        <is>
          <t>да</t>
        </is>
      </c>
      <c r="J236" s="2" t="inlineStr"/>
      <c r="K236" s="3" t="inlineStr">
        <is>
          <t>Повесть военных лет. По одноименной повести Василя Быкова. Четверо солдат получили задание взорвать не имеющий стратегического значения мост. Приказ непонятен и тем не менее, не возражая начальству, герои отправляются в путь...</t>
        </is>
      </c>
      <c r="L236" s="2" t="inlineStr">
        <is>
          <t>Кино_СССР сводный каталог.xlsx: список фильмов (доп.)</t>
        </is>
      </c>
      <c r="M236" s="2">
        <f>HYPERLINK("https://ru.wikipedia.org/w/index.php?search=%D0%9A%D1%80%D1%83%D0%B3%D0%BB%D1%8F%D0%BD%D1%81%D0%BA%D0%B8%D0%B9%20%D0%BC%D0%BE%D1%81%D1%82%201989%20%D1%84%D0%B8%D0%BB%D1%8C%D0%BC","искать")</f>
        <v/>
      </c>
      <c r="N236" s="3" t="n"/>
      <c r="O236" s="2" t="n"/>
    </row>
    <row r="237">
      <c r="A237" s="2" t="n">
        <v>236</v>
      </c>
      <c r="B237" s="2" t="inlineStr">
        <is>
          <t>обрыв</t>
        </is>
      </c>
      <c r="C237" s="2" t="n">
        <v>9491</v>
      </c>
      <c r="D237" s="3" t="inlineStr">
        <is>
          <t>Наутилус</t>
        </is>
      </c>
      <c r="E237" s="2" t="n">
        <v>1990</v>
      </c>
      <c r="F237" s="2" t="inlineStr">
        <is>
          <t>кинофильм</t>
        </is>
      </c>
      <c r="G237" s="2" t="n"/>
      <c r="H237" s="2" t="n">
        <v>227</v>
      </c>
      <c r="I237" s="2" t="inlineStr">
        <is>
          <t>да</t>
        </is>
      </c>
      <c r="J237" s="2" t="inlineStr"/>
      <c r="K237" s="3" t="inlineStr">
        <is>
          <t>Расставшись с семьей и своей работой в НИИ, Феликс считает, что лучше быть дворником. Но смерть младшего брата, воевавшего в Афганистане, призывы к новой демократической жизни и свободе заставляют его изменить свои убеждения...</t>
        </is>
      </c>
      <c r="L237" s="2" t="inlineStr">
        <is>
          <t>Кино_СССР сводный каталог.xlsx: список фильмов (доп.)</t>
        </is>
      </c>
      <c r="M237" s="2">
        <f>HYPERLINK("https://ru.wikipedia.org/w/index.php?search=%D0%9D%D0%B0%D1%83%D1%82%D0%B8%D0%BB%D1%83%D1%81%201990%20%D1%84%D0%B8%D0%BB%D1%8C%D0%BC","искать")</f>
        <v/>
      </c>
      <c r="N237" s="3" t="n"/>
      <c r="O237" s="2" t="n"/>
    </row>
    <row r="238">
      <c r="A238" s="2" t="n">
        <v>237</v>
      </c>
      <c r="B238" s="2" t="inlineStr">
        <is>
          <t>обрыв</t>
        </is>
      </c>
      <c r="C238" s="2" t="n">
        <v>7917</v>
      </c>
      <c r="D238" s="3" t="inlineStr">
        <is>
          <t>Мы - взрослые</t>
        </is>
      </c>
      <c r="E238" s="2" t="n">
        <v>1980</v>
      </c>
      <c r="F238" s="2" t="inlineStr">
        <is>
          <t>телефильм</t>
        </is>
      </c>
      <c r="G238" s="2" t="n"/>
      <c r="H238" s="2" t="n">
        <v>228</v>
      </c>
      <c r="I238" s="2" t="inlineStr">
        <is>
          <t>да</t>
        </is>
      </c>
      <c r="J238" s="2" t="inlineStr"/>
      <c r="K238" s="3" t="inlineStr">
        <is>
          <t>По мотивам повести А.Сараева "Звездное поле". По окончании школы Жоламан приезжает на полуостров Мангышлак и становится рабочим-нефтяником. Зрители узнают о том, как он взрослеет и мужает, о его друзьях и первой юношеской любви…</t>
        </is>
      </c>
      <c r="L238" s="2" t="inlineStr">
        <is>
          <t>Кино_СССР сводный каталог.xlsx: список телефильмов</t>
        </is>
      </c>
      <c r="M238" s="2">
        <f>HYPERLINK("https://ru.wikipedia.org/w/index.php?search=%D0%9C%D1%8B%20-%20%D0%B2%D0%B7%D1%80%D0%BE%D1%81%D0%BB%D1%8B%D0%B5%201980%20%D1%84%D0%B8%D0%BB%D1%8C%D0%BC","искать")</f>
        <v/>
      </c>
      <c r="N238" s="3" t="n"/>
      <c r="O238" s="2" t="n"/>
    </row>
    <row r="239">
      <c r="A239" s="2" t="n">
        <v>238</v>
      </c>
      <c r="B239" s="2" t="inlineStr">
        <is>
          <t>обрыв</t>
        </is>
      </c>
      <c r="C239" s="2" t="n">
        <v>8940</v>
      </c>
      <c r="D239" s="3" t="inlineStr">
        <is>
          <t>Под маской "Черной кошки"</t>
        </is>
      </c>
      <c r="E239" s="2" t="n">
        <v>1990</v>
      </c>
      <c r="F239" s="2" t="inlineStr">
        <is>
          <t>кинофильм</t>
        </is>
      </c>
      <c r="G239" s="2" t="n"/>
      <c r="H239" s="2" t="n">
        <v>229</v>
      </c>
      <c r="I239" s="2" t="inlineStr">
        <is>
          <t>да</t>
        </is>
      </c>
      <c r="J239" s="2" t="inlineStr"/>
      <c r="K239" s="3" t="inlineStr">
        <is>
          <t>Киновариант в одной серии. Ташкент - город хлебный для тысяч и тысяч уставших от голода и холода военного времени. Но в этом разряженном пространстве действуют и преступные группировки. Имя одной из таких банд - "Черная кошка"...</t>
        </is>
      </c>
      <c r="L239" s="2" t="inlineStr">
        <is>
          <t>Кино_СССР сводный каталог.xlsx: список фильмов (доп.)</t>
        </is>
      </c>
      <c r="M239" s="2">
        <f>HYPERLINK("https://ru.wikipedia.org/w/index.php?search=%D0%9F%D0%BE%D0%B4%20%D0%BC%D0%B0%D1%81%D0%BA%D0%BE%D0%B9%20%22%D0%A7%D0%B5%D1%80%D0%BD%D0%BE%D0%B9%20%D0%BA%D0%BE%D1%88%D0%BA%D0%B8%22%201990%20%D1%84%D0%B8%D0%BB%D1%8C%D0%BC","искать")</f>
        <v/>
      </c>
      <c r="N239" s="3" t="n"/>
      <c r="O239" s="2" t="n"/>
    </row>
    <row r="240">
      <c r="A240" s="2" t="n">
        <v>239</v>
      </c>
      <c r="B240" s="2" t="inlineStr">
        <is>
          <t>обрыв</t>
        </is>
      </c>
      <c r="C240" s="2" t="n">
        <v>9223</v>
      </c>
      <c r="D240" s="3" t="inlineStr">
        <is>
          <t>Без мундира</t>
        </is>
      </c>
      <c r="E240" s="2" t="n">
        <v>1988</v>
      </c>
      <c r="F240" s="2" t="inlineStr">
        <is>
          <t>кинофильм</t>
        </is>
      </c>
      <c r="G240" s="2" t="n"/>
      <c r="H240" s="2" t="n">
        <v>229</v>
      </c>
      <c r="I240" s="2" t="inlineStr">
        <is>
          <t>да</t>
        </is>
      </c>
      <c r="J240" s="2" t="inlineStr"/>
      <c r="K240" s="3" t="inlineStr">
        <is>
          <t>Широкоформатный фильм. Начальник Первомайской железной дороги на первом этапе перестройки, случайно узнав, что его хотят снять с работы, решает осуществить давно задуманный им эксперимент - пустить по путям сверхтяжелый состав...</t>
        </is>
      </c>
      <c r="L240" s="2" t="inlineStr">
        <is>
          <t>Кино_СССР сводный каталог.xlsx: список фильмов (доп.)</t>
        </is>
      </c>
      <c r="M240" s="2">
        <f>HYPERLINK("https://ru.wikipedia.org/w/index.php?search=%D0%91%D0%B5%D0%B7%20%D0%BC%D1%83%D0%BD%D0%B4%D0%B8%D1%80%D0%B0%201988%20%D1%84%D0%B8%D0%BB%D1%8C%D0%BC","искать")</f>
        <v/>
      </c>
      <c r="N240" s="3" t="n"/>
      <c r="O240" s="2" t="n"/>
    </row>
    <row r="241">
      <c r="A241" s="2" t="n">
        <v>240</v>
      </c>
      <c r="B241" s="2" t="inlineStr">
        <is>
          <t>обрыв</t>
        </is>
      </c>
      <c r="C241" s="2" t="n">
        <v>7858</v>
      </c>
      <c r="D241" s="3" t="inlineStr">
        <is>
          <t>Машенька</t>
        </is>
      </c>
      <c r="E241" s="2" t="n">
        <v>1991</v>
      </c>
      <c r="F241" s="2" t="inlineStr">
        <is>
          <t>телефильм</t>
        </is>
      </c>
      <c r="G241" s="2" t="n"/>
      <c r="H241" s="2" t="n">
        <v>230</v>
      </c>
      <c r="I241" s="2" t="inlineStr">
        <is>
          <t>да</t>
        </is>
      </c>
      <c r="J241" s="2" t="inlineStr"/>
      <c r="K241" s="3" t="inlineStr">
        <is>
          <t>По роману Владимира Набокова. Берлин, 20-е годы, пансион, где живут русские эмигранты. Один из героев фильма, ожидающий приезда жены, показывает её фотографию соседу по пансиону, который узнает в ней свою первую любовь — Машеньку…</t>
        </is>
      </c>
      <c r="L241" s="2" t="inlineStr">
        <is>
          <t>Кино_СССР сводный каталог.xlsx: список телефильмов</t>
        </is>
      </c>
      <c r="M241" s="2">
        <f>HYPERLINK("https://ru.wikipedia.org/w/index.php?search=%D0%9C%D0%B0%D1%88%D0%B5%D0%BD%D1%8C%D0%BA%D0%B0%201991%20%D1%84%D0%B8%D0%BB%D1%8C%D0%BC","искать")</f>
        <v/>
      </c>
      <c r="N241" s="3" t="n"/>
      <c r="O241" s="2" t="n"/>
    </row>
    <row r="242">
      <c r="A242" s="2" t="n">
        <v>241</v>
      </c>
      <c r="B242" s="2" t="inlineStr">
        <is>
          <t>обрыв</t>
        </is>
      </c>
      <c r="C242" s="2" t="n">
        <v>8509</v>
      </c>
      <c r="D242" s="3" t="inlineStr">
        <is>
          <t>Фантазии Веснухина</t>
        </is>
      </c>
      <c r="E242" s="2" t="n">
        <v>1977</v>
      </c>
      <c r="F242" s="2" t="inlineStr">
        <is>
          <t>телефильм</t>
        </is>
      </c>
      <c r="G242" s="2" t="inlineStr">
        <is>
          <t>Одесская киностудия</t>
        </is>
      </c>
      <c r="H242" s="2" t="n">
        <v>230</v>
      </c>
      <c r="I242" s="2" t="inlineStr">
        <is>
          <t>да</t>
        </is>
      </c>
      <c r="J242" s="2" t="inlineStr"/>
      <c r="K242" s="3" t="inlineStr">
        <is>
          <t>Первоклассник Кирилл мечтает выступить в цирке со своим котом Тишей. Его увлечение дрессировкой доставляет много хлопот родителям, учительнице и одноклассникам. Но однажды Кирилл встречает клоуна, который соглашается помочь ему...</t>
        </is>
      </c>
      <c r="L242" s="2" t="inlineStr">
        <is>
          <t>Кино_СССР сводный каталог.xlsx: список телефильмов</t>
        </is>
      </c>
      <c r="M242" s="2">
        <f>HYPERLINK("https://ru.wikipedia.org/w/index.php?search=%D0%A4%D0%B0%D0%BD%D1%82%D0%B0%D0%B7%D0%B8%D0%B8%20%D0%92%D0%B5%D1%81%D0%BD%D1%83%D1%85%D0%B8%D0%BD%D0%B0%201977%20%D1%84%D0%B8%D0%BB%D1%8C%D0%BC","искать")</f>
        <v/>
      </c>
      <c r="N242" s="3" t="n"/>
      <c r="O242" s="2" t="n"/>
    </row>
    <row r="243">
      <c r="A243" s="2" t="n">
        <v>242</v>
      </c>
      <c r="B243" s="2" t="inlineStr">
        <is>
          <t>обрыв</t>
        </is>
      </c>
      <c r="C243" s="2" t="n">
        <v>8554</v>
      </c>
      <c r="D243" s="3" t="inlineStr">
        <is>
          <t>Чёрная пантера и Белый медведь</t>
        </is>
      </c>
      <c r="E243" s="2" t="n">
        <v>1990</v>
      </c>
      <c r="F243" s="2" t="inlineStr">
        <is>
          <t>телефильм</t>
        </is>
      </c>
      <c r="G243" s="2" t="n"/>
      <c r="H243" s="2" t="n">
        <v>230</v>
      </c>
      <c r="I243" s="2" t="inlineStr">
        <is>
          <t>да</t>
        </is>
      </c>
      <c r="J243" s="2" t="inlineStr"/>
      <c r="K243" s="3" t="inlineStr">
        <is>
          <t>По повести Владимира Винниченко. Рита, жена художника Корнея, уговаривает мужа продать одну из картин, чтобы выручить деньги на лечение сына. Не согласившись, Корней заставляет жену и больного сына позировать для нового полотна...</t>
        </is>
      </c>
      <c r="L243" s="2" t="inlineStr">
        <is>
          <t>Кино_СССР сводный каталог.xlsx: список телефильмов</t>
        </is>
      </c>
      <c r="M243" s="2">
        <f>HYPERLINK("https://ru.wikipedia.org/w/index.php?search=%D0%A7%D1%91%D1%80%D0%BD%D0%B0%D1%8F%20%D0%BF%D0%B0%D0%BD%D1%82%D0%B5%D1%80%D0%B0%20%D0%B8%20%D0%91%D0%B5%D0%BB%D1%8B%D0%B9%20%D0%BC%D0%B5%D0%B4%D0%B2%D0%B5%D0%B4%D1%8C%201990%20%D1%84%D0%B8%D0%BB%D1%8C%D0%BC","искать")</f>
        <v/>
      </c>
      <c r="N243" s="3" t="n"/>
      <c r="O243" s="2" t="n"/>
    </row>
    <row r="244">
      <c r="A244" s="2" t="n">
        <v>243</v>
      </c>
      <c r="B244" s="2" t="inlineStr">
        <is>
          <t>обрыв</t>
        </is>
      </c>
      <c r="C244" s="2" t="n">
        <v>9126</v>
      </c>
      <c r="D244" s="3" t="inlineStr">
        <is>
          <t>Улица мира</t>
        </is>
      </c>
      <c r="E244" s="2" t="n">
        <v>1991</v>
      </c>
      <c r="F244" s="2" t="inlineStr">
        <is>
          <t>кинофильм</t>
        </is>
      </c>
      <c r="G244" s="2" t="n"/>
      <c r="H244" s="2" t="n">
        <v>230</v>
      </c>
      <c r="I244" s="2" t="inlineStr">
        <is>
          <t>да</t>
        </is>
      </c>
      <c r="J244" s="2" t="inlineStr"/>
      <c r="K244" s="3" t="inlineStr">
        <is>
          <t>На обычной улице в уютных теплых домах обычной жизнью живут обычные люди. Однажды в новогоднюю ночь случается неожиданное - рядом с домом появляется часовой, затем приползает танк, и вскоре неизвестная армия занимает весь город...</t>
        </is>
      </c>
      <c r="L244" s="2" t="inlineStr">
        <is>
          <t>Кино_СССР сводный каталог.xlsx: список фильмов (доп.)</t>
        </is>
      </c>
      <c r="M244" s="2">
        <f>HYPERLINK("https://ru.wikipedia.org/w/index.php?search=%D0%A3%D0%BB%D0%B8%D1%86%D0%B0%20%D0%BC%D0%B8%D1%80%D0%B0%201991%20%D1%84%D0%B8%D0%BB%D1%8C%D0%BC","искать")</f>
        <v/>
      </c>
      <c r="N244" s="3" t="n"/>
      <c r="O244" s="2" t="n"/>
    </row>
    <row r="245">
      <c r="A245" s="2" t="n">
        <v>244</v>
      </c>
      <c r="B245" s="2" t="inlineStr">
        <is>
          <t>обрыв</t>
        </is>
      </c>
      <c r="C245" s="2" t="n">
        <v>9148</v>
      </c>
      <c r="D245" s="3" t="inlineStr">
        <is>
          <t>Христиане</t>
        </is>
      </c>
      <c r="E245" s="2" t="n">
        <v>1987</v>
      </c>
      <c r="F245" s="2" t="inlineStr">
        <is>
          <t>кинофильм</t>
        </is>
      </c>
      <c r="G245" s="2" t="n"/>
      <c r="H245" s="2" t="n">
        <v>230</v>
      </c>
      <c r="I245" s="2" t="inlineStr">
        <is>
          <t>да</t>
        </is>
      </c>
      <c r="J245" s="2" t="inlineStr"/>
      <c r="K245" s="3" t="inlineStr">
        <is>
          <t>По рассказу Леонида Андреева. Перед судом присяжных одна из свидетельниц, Пелагея Караулова, отказывается дать присягу перед крестом, мотивируя свой отказ тем, что она не христианка, так как занимается позорным для женщин делом...</t>
        </is>
      </c>
      <c r="L245" s="2" t="inlineStr">
        <is>
          <t>Кино_СССР сводный каталог.xlsx: список фильмов (доп.)</t>
        </is>
      </c>
      <c r="M245" s="2">
        <f>HYPERLINK("https://ru.wikipedia.org/w/index.php?search=%D0%A5%D1%80%D0%B8%D1%81%D1%82%D0%B8%D0%B0%D0%BD%D0%B5%201987%20%D1%84%D0%B8%D0%BB%D1%8C%D0%BC","искать")</f>
        <v/>
      </c>
      <c r="N245" s="3" t="n"/>
      <c r="O245" s="2" t="n"/>
    </row>
    <row r="246">
      <c r="A246" s="2" t="n">
        <v>245</v>
      </c>
      <c r="B246" s="2" t="inlineStr">
        <is>
          <t>обрыв</t>
        </is>
      </c>
      <c r="C246" s="2" t="n">
        <v>10041</v>
      </c>
      <c r="D246" s="3" t="inlineStr">
        <is>
          <t>Рычаги</t>
        </is>
      </c>
      <c r="E246" s="2" t="n">
        <v>1989</v>
      </c>
      <c r="F246" s="2" t="inlineStr">
        <is>
          <t>кинофильм</t>
        </is>
      </c>
      <c r="G246" s="2" t="inlineStr">
        <is>
          <t>“Мосфильм” при участии “Ленфильма”, студия “Ладога”</t>
        </is>
      </c>
      <c r="H246" s="2" t="n">
        <v>230</v>
      </c>
      <c r="I246" s="2" t="inlineStr">
        <is>
          <t>да</t>
        </is>
      </c>
      <c r="J246" s="2" t="inlineStr"/>
      <c r="K246" s="3" t="inlineStr">
        <is>
          <t>По одноименному рассказу Александра Яшина.
В канун ХХ съезда КПСС в деревенском клубе колхозники перед собранием откровенно говорят о своей трудной жизни. Начинается собрание - и эти же самые люди превращаются в "рычаги партии"...</t>
        </is>
      </c>
      <c r="L246" s="2" t="inlineStr">
        <is>
          <t>https://www.kino-teatr.ru/short/movie/sov/6130/annot/</t>
        </is>
      </c>
      <c r="M246" s="2">
        <f>HYPERLINK("https://ru.wikipedia.org/w/index.php?search=%D0%A0%D1%8B%D1%87%D0%B0%D0%B3%D0%B8%201989%20%D1%84%D0%B8%D0%BB%D1%8C%D0%BC","искать")</f>
        <v/>
      </c>
      <c r="N246" s="3" t="n"/>
      <c r="O246" s="2" t="n"/>
    </row>
    <row r="247">
      <c r="A247" s="2" t="n">
        <v>246</v>
      </c>
      <c r="B247" s="2" t="inlineStr">
        <is>
          <t>обрыв</t>
        </is>
      </c>
      <c r="C247" s="2" t="n">
        <v>7275</v>
      </c>
      <c r="D247" s="3" t="inlineStr">
        <is>
          <t>Бубенчик</t>
        </is>
      </c>
      <c r="E247" s="2" t="n">
        <v>1974</v>
      </c>
      <c r="F247" s="2" t="inlineStr">
        <is>
          <t>телефильм</t>
        </is>
      </c>
      <c r="G247" s="2" t="n"/>
      <c r="H247" s="2" t="n">
        <v>231</v>
      </c>
      <c r="I247" s="2" t="inlineStr">
        <is>
          <t>да</t>
        </is>
      </c>
      <c r="J247" s="2" t="inlineStr"/>
      <c r="K247" s="3" t="inlineStr">
        <is>
          <t>Телефильм. В конце XIX века в живописную жямайтийскую деревню пришли Вилимас и Улис, искатели воды. Обоим понравилась единственная дочь вдовы Григене - Циля. Под влиянием матери  Циля выбирает не Вилимаса, а более богатого Улиса...</t>
        </is>
      </c>
      <c r="L247" s="2" t="inlineStr">
        <is>
          <t>Кино_СССР сводный каталог.xlsx: список телефильмов</t>
        </is>
      </c>
      <c r="M247" s="2">
        <f>HYPERLINK("https://ru.wikipedia.org/w/index.php?search=%D0%91%D1%83%D0%B1%D0%B5%D0%BD%D1%87%D0%B8%D0%BA%201974%20%D1%84%D0%B8%D0%BB%D1%8C%D0%BC","искать")</f>
        <v/>
      </c>
      <c r="N247" s="3" t="n"/>
      <c r="O247" s="2" t="n"/>
    </row>
    <row r="248">
      <c r="A248" s="2" t="n">
        <v>247</v>
      </c>
      <c r="B248" s="2" t="inlineStr">
        <is>
          <t>обрыв</t>
        </is>
      </c>
      <c r="C248" s="2" t="n">
        <v>7487</v>
      </c>
      <c r="D248" s="3" t="inlineStr">
        <is>
          <t>Двойники</t>
        </is>
      </c>
      <c r="E248" s="2" t="n">
        <v>1982</v>
      </c>
      <c r="F248" s="2" t="inlineStr">
        <is>
          <t>телефильм</t>
        </is>
      </c>
      <c r="G248" s="2" t="n"/>
      <c r="H248" s="2" t="n">
        <v>232</v>
      </c>
      <c r="I248" s="2" t="inlineStr">
        <is>
          <t>да</t>
        </is>
      </c>
      <c r="J248" s="2" t="inlineStr"/>
      <c r="K248" s="3" t="inlineStr">
        <is>
          <t>Молодая журналистка увидела простого парня, похожего на звезду эстрады, и написала статью в газету о том, что известный певец одновременно работает в автомастерской. Но оказалось, что это были просто очень похожие люди - двойники...</t>
        </is>
      </c>
      <c r="L248" s="2" t="inlineStr">
        <is>
          <t>Кино_СССР сводный каталог.xlsx: список телефильмов</t>
        </is>
      </c>
      <c r="M248" s="2">
        <f>HYPERLINK("https://ru.wikipedia.org/w/index.php?search=%D0%94%D0%B2%D0%BE%D0%B9%D0%BD%D0%B8%D0%BA%D0%B8%201982%20%D1%84%D0%B8%D0%BB%D1%8C%D0%BC","искать")</f>
        <v/>
      </c>
      <c r="N248" s="3" t="n"/>
      <c r="O248" s="2" t="n"/>
    </row>
    <row r="249">
      <c r="A249" s="2" t="n">
        <v>248</v>
      </c>
      <c r="B249" s="2" t="inlineStr">
        <is>
          <t>обрыв</t>
        </is>
      </c>
      <c r="C249" s="2" t="n">
        <v>8943</v>
      </c>
      <c r="D249" s="3" t="inlineStr">
        <is>
          <t>Подвал</t>
        </is>
      </c>
      <c r="E249" s="2" t="n">
        <v>1990</v>
      </c>
      <c r="F249" s="2" t="inlineStr">
        <is>
          <t>кинофильм</t>
        </is>
      </c>
      <c r="G249" s="2" t="n"/>
      <c r="H249" s="2" t="n">
        <v>232</v>
      </c>
      <c r="I249" s="2" t="inlineStr">
        <is>
          <t>да</t>
        </is>
      </c>
      <c r="J249" s="2" t="inlineStr"/>
      <c r="K249" s="3" t="inlineStr">
        <is>
          <t>После долгих лет старания и терпения ей так и не удалось сохранить семью. Она с болью смотрела на то, как муж, архитектор по образованию, губит свою жизнь бездельем и тоской. Не выдержав скуки совместной жизни, она уходит из дома...</t>
        </is>
      </c>
      <c r="L249" s="2" t="inlineStr">
        <is>
          <t>Кино_СССР сводный каталог.xlsx: список фильмов (доп.)</t>
        </is>
      </c>
      <c r="M249" s="2">
        <f>HYPERLINK("https://ru.wikipedia.org/w/index.php?search=%D0%9F%D0%BE%D0%B4%D0%B2%D0%B0%D0%BB%201990%20%D1%84%D0%B8%D0%BB%D1%8C%D0%BC","искать")</f>
        <v/>
      </c>
      <c r="N249" s="3" t="n"/>
      <c r="O249" s="2" t="n"/>
    </row>
    <row r="250">
      <c r="A250" s="2" t="n">
        <v>249</v>
      </c>
      <c r="B250" s="2" t="inlineStr">
        <is>
          <t>обрыв</t>
        </is>
      </c>
      <c r="C250" s="2" t="n">
        <v>8628</v>
      </c>
      <c r="D250" s="3" t="inlineStr">
        <is>
          <t>Ах, как сладка эта нежная печаль расставания</t>
        </is>
      </c>
      <c r="E250" s="2" t="n">
        <v>1991</v>
      </c>
      <c r="F250" s="2" t="inlineStr">
        <is>
          <t>кинофильм</t>
        </is>
      </c>
      <c r="G250" s="2" t="n"/>
      <c r="H250" s="2" t="n">
        <v>233</v>
      </c>
      <c r="I250" s="2" t="inlineStr">
        <is>
          <t>да</t>
        </is>
      </c>
      <c r="J250" s="2" t="inlineStr">
        <is>
          <t>да</t>
        </is>
      </c>
      <c r="K250" s="3" t="inlineStr">
        <is>
          <t>По мотивам пьесы Жана Ануйя "Эвридика". Современная интерпретация мифа об Орфее и Эвридике, о жизни и смерти. Действие фильма происходит на железнодорожной платформе, которая является символом ожидания, расставания, символом жизни...</t>
        </is>
      </c>
      <c r="L250" s="2" t="inlineStr">
        <is>
          <t>Кино_СССР сводный каталог.xlsx: список фильмов (доп.)</t>
        </is>
      </c>
      <c r="M250" s="2">
        <f>HYPERLINK("https://ru.wikipedia.org/w/index.php?search=%D0%90%D1%85%2C%20%D0%BA%D0%B0%D0%BA%20%D1%81%D0%BB%D0%B0%D0%B4%D0%BA%D0%B0%20%D1%8D%D1%82%D0%B0%20%D0%BD%D0%B5%D0%B6%D0%BD%D0%B0%D1%8F%20%D0%BF%D0%B5%D1%87%D0%B0%D0%BB%D1%8C%20%D1%80%D0%B0%D1%81%D1%81%D1%82%D0%B0%D0%B2%D0%B0%D0%BD%D0%B8%D1%8F%201991%20%D1%84%D0%B8%D0%BB%D1%8C%D0%BC","искать")</f>
        <v/>
      </c>
      <c r="N250" s="3" t="n"/>
      <c r="O250" s="2" t="n"/>
    </row>
    <row r="251">
      <c r="A251" s="2" t="n">
        <v>250</v>
      </c>
      <c r="B251" s="2" t="inlineStr">
        <is>
          <t>обрыв</t>
        </is>
      </c>
      <c r="C251" s="2" t="n">
        <v>8779</v>
      </c>
      <c r="D251" s="3" t="inlineStr">
        <is>
          <t>Крик о помощи</t>
        </is>
      </c>
      <c r="E251" s="2" t="n">
        <v>1988</v>
      </c>
      <c r="F251" s="2" t="inlineStr">
        <is>
          <t>кинофильм</t>
        </is>
      </c>
      <c r="G251" s="2" t="n"/>
      <c r="H251" s="2" t="n">
        <v>233</v>
      </c>
      <c r="I251" s="2" t="inlineStr">
        <is>
          <t>да</t>
        </is>
      </c>
      <c r="J251" s="2" t="inlineStr"/>
      <c r="K251" s="3" t="inlineStr">
        <is>
          <t>Учащийся ПТУ Антон Коломийцев, взявший на себя за крупную сумму денег вину другого, - попадает в труднейшую ситуацию. Никто из "приятелей" и не пытается прийти к нему на помощь. Коломийцев находит для себя лишь один выход - гибель...</t>
        </is>
      </c>
      <c r="L251" s="2" t="inlineStr">
        <is>
          <t>Кино_СССР сводный каталог.xlsx: список фильмов (доп.)</t>
        </is>
      </c>
      <c r="M251" s="2">
        <f>HYPERLINK("https://ru.wikipedia.org/w/index.php?search=%D0%9A%D1%80%D0%B8%D0%BA%20%D0%BE%20%D0%BF%D0%BE%D0%BC%D0%BE%D1%89%D0%B8%201988%20%D1%84%D0%B8%D0%BB%D1%8C%D0%BC","искать")</f>
        <v/>
      </c>
      <c r="N251" s="3" t="n"/>
      <c r="O251" s="2" t="n"/>
    </row>
    <row r="252">
      <c r="A252" s="2" t="n">
        <v>251</v>
      </c>
      <c r="B252" s="2" t="inlineStr">
        <is>
          <t>обрыв</t>
        </is>
      </c>
      <c r="C252" s="2" t="n">
        <v>8923</v>
      </c>
      <c r="D252" s="3" t="inlineStr">
        <is>
          <t>Первые пассажиры</t>
        </is>
      </c>
      <c r="E252" s="2" t="n">
        <v>1975</v>
      </c>
      <c r="F252" s="2" t="inlineStr">
        <is>
          <t>кинофильм</t>
        </is>
      </c>
      <c r="G252" s="2" t="n"/>
      <c r="H252" s="2" t="n">
        <v>233</v>
      </c>
      <c r="I252" s="2" t="inlineStr">
        <is>
          <t>да</t>
        </is>
      </c>
      <c r="J252" s="2" t="inlineStr"/>
      <c r="K252" s="3" t="inlineStr">
        <is>
          <t>Экранизация по мотивам повести П.Кадырова "Вольность". Герой фильма - один из руководителей строительства первого в Средней Азии Ташкентского метрополитена, проявивший себя не только хорошим специалистом, но и умелым организатором...</t>
        </is>
      </c>
      <c r="L252" s="2" t="inlineStr">
        <is>
          <t>Кино_СССР сводный каталог.xlsx: список фильмов (доп.)</t>
        </is>
      </c>
      <c r="M252" s="2">
        <f>HYPERLINK("https://ru.wikipedia.org/w/index.php?search=%D0%9F%D0%B5%D1%80%D0%B2%D1%8B%D0%B5%20%D0%BF%D0%B0%D1%81%D1%81%D0%B0%D0%B6%D0%B8%D1%80%D1%8B%201975%20%D1%84%D0%B8%D0%BB%D1%8C%D0%BC","искать")</f>
        <v/>
      </c>
      <c r="N252" s="3" t="n"/>
      <c r="O252" s="2" t="n"/>
    </row>
    <row r="253">
      <c r="A253" s="2" t="n">
        <v>252</v>
      </c>
      <c r="B253" s="2" t="inlineStr">
        <is>
          <t>обрыв</t>
        </is>
      </c>
      <c r="C253" s="2" t="n">
        <v>9767</v>
      </c>
      <c r="D253" s="3" t="inlineStr">
        <is>
          <t>Шкура</t>
        </is>
      </c>
      <c r="E253" s="2" t="n">
        <v>1991</v>
      </c>
      <c r="F253" s="2" t="inlineStr">
        <is>
          <t>кинофильм</t>
        </is>
      </c>
      <c r="G253" s="2" t="n"/>
      <c r="H253" s="2" t="n">
        <v>233</v>
      </c>
      <c r="I253" s="2" t="inlineStr">
        <is>
          <t>да</t>
        </is>
      </c>
      <c r="J253" s="2" t="inlineStr"/>
      <c r="K253" s="3" t="inlineStr">
        <is>
          <t>В зоопарке умерла обезьяна редкой породы. И именно накануне приезда её бывшей владелицы - миссис Паркинс. Дирекция зоопарка не находит ничего лучшего, как переодеть уборщика Храпункова в шкуру покойной обезьяны и посадить в клетку...</t>
        </is>
      </c>
      <c r="L253" s="2" t="inlineStr">
        <is>
          <t>Кино_СССР сводный каталог.xlsx: список фильмов (доп.)</t>
        </is>
      </c>
      <c r="M253" s="2">
        <f>HYPERLINK("https://ru.wikipedia.org/w/index.php?search=%D0%A8%D0%BA%D1%83%D1%80%D0%B0%201991%20%D1%84%D0%B8%D0%BB%D1%8C%D0%BC","искать")</f>
        <v/>
      </c>
      <c r="N253" s="3" t="n"/>
      <c r="O253" s="2" t="n"/>
    </row>
    <row r="254">
      <c r="A254" s="2" t="n">
        <v>253</v>
      </c>
      <c r="B254" s="2" t="inlineStr">
        <is>
          <t>обрыв</t>
        </is>
      </c>
      <c r="C254" s="2" t="n">
        <v>10931</v>
      </c>
      <c r="D254" s="3" t="inlineStr">
        <is>
          <t>Блондинка</t>
        </is>
      </c>
      <c r="E254" s="2" t="n">
        <v>1982</v>
      </c>
      <c r="F254" s="2" t="inlineStr">
        <is>
          <t>фильм-спектакль</t>
        </is>
      </c>
      <c r="G254" s="2" t="inlineStr">
        <is>
          <t>Литовское телевидение</t>
        </is>
      </c>
      <c r="H254" s="2" t="n">
        <v>233</v>
      </c>
      <c r="I254" s="2" t="inlineStr">
        <is>
          <t>да</t>
        </is>
      </c>
      <c r="J254" s="2" t="inlineStr">
        <is>
          <t>да</t>
        </is>
      </c>
      <c r="K254" s="3" t="inlineStr">
        <is>
          <t>В ТВ спектакле, как и в пьесе А.Володина, проблемы молодой девушки, ищущей свой жизненный путь, взаимоотношения с людьми, отрицание обыденной жизни, поиски идеала, необыкновенного человека и необыкновенной жизни, и - разочарование...</t>
        </is>
      </c>
      <c r="L254" s="2" t="inlineStr">
        <is>
          <t>https://www.kino-teatr.ru/teatr/movie/107733/annot/</t>
        </is>
      </c>
      <c r="M254" s="2">
        <f>HYPERLINK("https://ru.wikipedia.org/w/index.php?search=%D0%91%D0%BB%D0%BE%D0%BD%D0%B4%D0%B8%D0%BD%D0%BA%D0%B0%201982%20%D1%84%D0%B8%D0%BB%D1%8C%D0%BC","искать")</f>
        <v/>
      </c>
      <c r="N254" s="3" t="n"/>
      <c r="O254" s="2" t="n"/>
    </row>
    <row r="255">
      <c r="A255" s="2" t="n">
        <v>254</v>
      </c>
      <c r="B255" s="2" t="inlineStr">
        <is>
          <t>обрыв</t>
        </is>
      </c>
      <c r="C255" s="2" t="n">
        <v>7963</v>
      </c>
      <c r="D255" s="3" t="inlineStr">
        <is>
          <t>Не отдавай королеву</t>
        </is>
      </c>
      <c r="E255" s="2" t="n">
        <v>1975</v>
      </c>
      <c r="F255" s="2" t="inlineStr">
        <is>
          <t>телефильм</t>
        </is>
      </c>
      <c r="G255" s="2" t="n"/>
      <c r="H255" s="2" t="n">
        <v>234</v>
      </c>
      <c r="I255" s="2" t="inlineStr">
        <is>
          <t>да</t>
        </is>
      </c>
      <c r="J255" s="2" t="inlineStr"/>
      <c r="K255" s="3" t="inlineStr">
        <is>
          <t>Телефильм по мотивам "Барбинских повестей" Сергея Сартакова. Костя Барбин и Илья Шахворостов - матросы теплохода, курсирующего по Енисею. Они дружили с детских лет, но выросли разными по своим взглядам на жизнь, нравственным устоям...</t>
        </is>
      </c>
      <c r="L255" s="2" t="inlineStr">
        <is>
          <t>Кино_СССР сводный каталог.xlsx: список телефильмов</t>
        </is>
      </c>
      <c r="M255" s="2">
        <f>HYPERLINK("https://ru.wikipedia.org/w/index.php?search=%D0%9D%D0%B5%20%D0%BE%D1%82%D0%B4%D0%B0%D0%B2%D0%B0%D0%B9%20%D0%BA%D0%BE%D1%80%D0%BE%D0%BB%D0%B5%D0%B2%D1%83%201975%20%D1%84%D0%B8%D0%BB%D1%8C%D0%BC","искать")</f>
        <v/>
      </c>
      <c r="N255" s="3" t="n"/>
      <c r="O255" s="2" t="n"/>
    </row>
    <row r="256">
      <c r="A256" s="2" t="n">
        <v>255</v>
      </c>
      <c r="B256" s="2" t="inlineStr">
        <is>
          <t>обрыв</t>
        </is>
      </c>
      <c r="C256" s="2" t="n">
        <v>10491</v>
      </c>
      <c r="D256" s="3" t="inlineStr">
        <is>
          <t>Волки и овцы</t>
        </is>
      </c>
      <c r="E256" s="2" t="n">
        <v>1973</v>
      </c>
      <c r="F256" s="2" t="inlineStr">
        <is>
          <t>фильм-спектакль</t>
        </is>
      </c>
      <c r="G256" s="2" t="n"/>
      <c r="H256" s="2" t="n">
        <v>234</v>
      </c>
      <c r="I256" s="2" t="inlineStr">
        <is>
          <t>да</t>
        </is>
      </c>
      <c r="J256" s="2" t="inlineStr"/>
      <c r="K256" s="3" t="inlineStr">
        <is>
          <t>Островский и Малый театр рассказывают нам старую, как мир, историю о том, что одним людям суждено быть простодушными и кроткими, как овечки, а другим — хищными и опасными, как волки. Порою, однако, и матерый хищник попадает впросак...</t>
        </is>
      </c>
      <c r="L256" s="2" t="inlineStr">
        <is>
          <t>https://www.kino-teatr.ru/teatr/movie/79995/annot/</t>
        </is>
      </c>
      <c r="M256" s="2">
        <f>HYPERLINK("https://ru.wikipedia.org/w/index.php?search=%D0%92%D0%BE%D0%BB%D0%BA%D0%B8%20%D0%B8%20%D0%BE%D0%B2%D1%86%D1%8B%201973%20%D1%84%D0%B8%D0%BB%D1%8C%D0%BC","искать")</f>
        <v/>
      </c>
      <c r="N256" s="3" t="n"/>
      <c r="O256" s="2" t="n"/>
    </row>
    <row r="257">
      <c r="A257" s="2" t="n">
        <v>256</v>
      </c>
      <c r="B257" s="2" t="inlineStr">
        <is>
          <t>обрыв</t>
        </is>
      </c>
      <c r="C257" s="2" t="n">
        <v>7490</v>
      </c>
      <c r="D257" s="3" t="inlineStr">
        <is>
          <t>Девять кругов падения</t>
        </is>
      </c>
      <c r="E257" s="2" t="n">
        <v>1984</v>
      </c>
      <c r="F257" s="2" t="inlineStr">
        <is>
          <t>телефильм</t>
        </is>
      </c>
      <c r="G257" s="2" t="n"/>
      <c r="H257" s="2" t="n">
        <v>235</v>
      </c>
      <c r="I257" s="2" t="inlineStr">
        <is>
          <t>да</t>
        </is>
      </c>
      <c r="J257" s="2" t="inlineStr">
        <is>
          <t>да</t>
        </is>
      </c>
      <c r="K257" s="3" t="inlineStr">
        <is>
          <t>Фильм основан на действительных фактах. Картина об известном священнике, политическом деятеле Константинасе Олшаускасе и его любовной связи со Станиславой Устьянаускене, убийство которой осенью 1928 года до сих пор остаётся загадкой...</t>
        </is>
      </c>
      <c r="L257" s="2" t="inlineStr">
        <is>
          <t>Кино_СССР сводный каталог.xlsx: список телефильмов</t>
        </is>
      </c>
      <c r="M257" s="2">
        <f>HYPERLINK("https://ru.wikipedia.org/w/index.php?search=%D0%94%D0%B5%D0%B2%D1%8F%D1%82%D1%8C%20%D0%BA%D1%80%D1%83%D0%B3%D0%BE%D0%B2%20%D0%BF%D0%B0%D0%B4%D0%B5%D0%BD%D0%B8%D1%8F%201984%20%D1%84%D0%B8%D0%BB%D1%8C%D0%BC","искать")</f>
        <v/>
      </c>
      <c r="N257" s="3" t="n"/>
      <c r="O257" s="2" t="n"/>
    </row>
    <row r="258">
      <c r="A258" s="2" t="n">
        <v>257</v>
      </c>
      <c r="B258" s="2" t="inlineStr">
        <is>
          <t>обрыв</t>
        </is>
      </c>
      <c r="C258" s="2" t="n">
        <v>8110</v>
      </c>
      <c r="D258" s="3" t="inlineStr">
        <is>
          <t>Печальный горн</t>
        </is>
      </c>
      <c r="E258" s="2" t="n">
        <v>1982</v>
      </c>
      <c r="F258" s="2" t="inlineStr">
        <is>
          <t>телефильм</t>
        </is>
      </c>
      <c r="G258" s="2" t="n"/>
      <c r="H258" s="2" t="n">
        <v>235</v>
      </c>
      <c r="I258" s="2" t="inlineStr">
        <is>
          <t>да</t>
        </is>
      </c>
      <c r="J258" s="2" t="inlineStr"/>
      <c r="K258" s="3" t="inlineStr">
        <is>
          <t>Мальчики Лука и Бачо живут и учатся в интернате. У обоих нет родителей. Лука прекрасно рисует. Но, когда профессиональный художник Гоги Карсанидзе усыновляет его, мальчик возвращается в интернат, так как не может жить без друга Бачо...</t>
        </is>
      </c>
      <c r="L258" s="2" t="inlineStr">
        <is>
          <t>Кино_СССР сводный каталог.xlsx: список телефильмов</t>
        </is>
      </c>
      <c r="M258" s="2">
        <f>HYPERLINK("https://ru.wikipedia.org/w/index.php?search=%D0%9F%D0%B5%D1%87%D0%B0%D0%BB%D1%8C%D0%BD%D1%8B%D0%B9%20%D0%B3%D0%BE%D1%80%D0%BD%201982%20%D1%84%D0%B8%D0%BB%D1%8C%D0%BC","искать")</f>
        <v/>
      </c>
      <c r="N258" s="3" t="n"/>
      <c r="O258" s="2" t="n"/>
    </row>
    <row r="259">
      <c r="A259" s="2" t="n">
        <v>258</v>
      </c>
      <c r="B259" s="2" t="inlineStr">
        <is>
          <t>обрыв</t>
        </is>
      </c>
      <c r="C259" s="2" t="n">
        <v>8922</v>
      </c>
      <c r="D259" s="3" t="inlineStr">
        <is>
          <t>Пейзаж глазами спринтера</t>
        </is>
      </c>
      <c r="E259" s="2" t="n">
        <v>1988</v>
      </c>
      <c r="F259" s="2" t="inlineStr">
        <is>
          <t>кинофильм</t>
        </is>
      </c>
      <c r="G259" s="2" t="n"/>
      <c r="H259" s="2" t="n">
        <v>235</v>
      </c>
      <c r="I259" s="2" t="inlineStr">
        <is>
          <t>да</t>
        </is>
      </c>
      <c r="J259" s="2" t="inlineStr"/>
      <c r="K259" s="3" t="inlineStr">
        <is>
          <t>Аспирант Тимур Камбаров живет по принципу - цель оправдывает средства. Для достижения личного благополучия в ход идет всё: деньги, знакомства, "дружеские" услуги нужным людям. И как ни странно, Камбаров ни от кого не получает отпора...</t>
        </is>
      </c>
      <c r="L259" s="2" t="inlineStr">
        <is>
          <t>Кино_СССР сводный каталог.xlsx: список фильмов (доп.)</t>
        </is>
      </c>
      <c r="M259" s="2">
        <f>HYPERLINK("https://ru.wikipedia.org/w/index.php?search=%D0%9F%D0%B5%D0%B9%D0%B7%D0%B0%D0%B6%20%D0%B3%D0%BB%D0%B0%D0%B7%D0%B0%D0%BC%D0%B8%20%D1%81%D0%BF%D1%80%D0%B8%D0%BD%D1%82%D0%B5%D1%80%D0%B0%201988%20%D1%84%D0%B8%D0%BB%D1%8C%D0%BC","искать")</f>
        <v/>
      </c>
      <c r="N259" s="3" t="n"/>
      <c r="O259" s="2" t="n"/>
    </row>
    <row r="260">
      <c r="A260" s="2" t="n">
        <v>259</v>
      </c>
      <c r="B260" s="2" t="inlineStr">
        <is>
          <t>обрыв</t>
        </is>
      </c>
      <c r="C260" s="2" t="n">
        <v>11281</v>
      </c>
      <c r="D260" s="3" t="inlineStr">
        <is>
          <t>Село Степанчиково и его обитатели</t>
        </is>
      </c>
      <c r="E260" s="2" t="n">
        <v>1989</v>
      </c>
      <c r="F260" s="2" t="inlineStr">
        <is>
          <t>фильм-спектакль</t>
        </is>
      </c>
      <c r="G260" s="2" t="inlineStr">
        <is>
          <t>Лентелефильм</t>
        </is>
      </c>
      <c r="H260" s="2" t="n">
        <v>235</v>
      </c>
      <c r="I260" s="2" t="inlineStr">
        <is>
          <t>да</t>
        </is>
      </c>
      <c r="J260" s="2" t="inlineStr"/>
      <c r="K260" s="3" t="inlineStr">
        <is>
          <t>Фильм-спектакль по повести Федора Михайловича Достоевского. Запись 1989 года.
Печальная история о том, как приживал в доме полковника Ростанева, демагог и бездельник Фома Опискин, завладел душами и умами образованных, неглупых людей...</t>
        </is>
      </c>
      <c r="L260" s="2" t="inlineStr">
        <is>
          <t>https://www.kino-teatr.ru/teatr/movie/6329/annot/</t>
        </is>
      </c>
      <c r="M260" s="2">
        <f>HYPERLINK("https://ru.wikipedia.org/w/index.php?search=%D0%A1%D0%B5%D0%BB%D0%BE%20%D0%A1%D1%82%D0%B5%D0%BF%D0%B0%D0%BD%D1%87%D0%B8%D0%BA%D0%BE%D0%B2%D0%BE%20%D0%B8%20%D0%B5%D0%B3%D0%BE%20%D0%BE%D0%B1%D0%B8%D1%82%D0%B0%D1%82%D0%B5%D0%BB%D0%B8%201989%20%D1%84%D0%B8%D0%BB%D1%8C%D0%BC","искать")</f>
        <v/>
      </c>
      <c r="N260" s="3" t="n"/>
      <c r="O260" s="2" t="n"/>
    </row>
    <row r="261">
      <c r="A261" s="2" t="n">
        <v>260</v>
      </c>
      <c r="B261" s="2" t="inlineStr">
        <is>
          <t>обрыв</t>
        </is>
      </c>
      <c r="C261" s="2" t="n">
        <v>7192</v>
      </c>
      <c r="D261" s="3" t="inlineStr">
        <is>
          <t>Адвокат</t>
        </is>
      </c>
      <c r="E261" s="2" t="n">
        <v>1990</v>
      </c>
      <c r="F261" s="2" t="inlineStr">
        <is>
          <t>телефильм</t>
        </is>
      </c>
      <c r="G261" s="2" t="n"/>
      <c r="H261" s="2" t="n">
        <v>236</v>
      </c>
      <c r="I261" s="2" t="inlineStr">
        <is>
          <t>да</t>
        </is>
      </c>
      <c r="J261" s="2" t="inlineStr"/>
      <c r="K261" s="3" t="inlineStr">
        <is>
          <t>В Подмосковье около пруда найден труп мужчины. Опергруппа обнаруживает мотоциклистов и девушку, случайно оказавшихся неподалеку от места преступления. Испугавшись, молодые люди разбегаются - и, тем самым, навлекают на себя подозрение...</t>
        </is>
      </c>
      <c r="L261" s="2" t="inlineStr">
        <is>
          <t>Кино_СССР сводный каталог.xlsx: список телефильмов</t>
        </is>
      </c>
      <c r="M261" s="2">
        <f>HYPERLINK("https://ru.wikipedia.org/w/index.php?search=%D0%90%D0%B4%D0%B2%D0%BE%D0%BA%D0%B0%D1%82%201990%20%D1%84%D0%B8%D0%BB%D1%8C%D0%BC","искать")</f>
        <v/>
      </c>
      <c r="N261" s="3" t="n"/>
      <c r="O261" s="2" t="n"/>
    </row>
    <row r="262">
      <c r="A262" s="2" t="n">
        <v>261</v>
      </c>
      <c r="B262" s="2" t="inlineStr">
        <is>
          <t>обрыв</t>
        </is>
      </c>
      <c r="C262" s="2" t="n">
        <v>7971</v>
      </c>
      <c r="D262" s="3" t="inlineStr">
        <is>
          <t>Невеста для брата</t>
        </is>
      </c>
      <c r="E262" s="2" t="n">
        <v>1979</v>
      </c>
      <c r="F262" s="2" t="inlineStr">
        <is>
          <t>телефильм</t>
        </is>
      </c>
      <c r="G262" s="2" t="n"/>
      <c r="H262" s="2" t="n">
        <v>236</v>
      </c>
      <c r="I262" s="2" t="inlineStr">
        <is>
          <t>да</t>
        </is>
      </c>
      <c r="J262" s="2" t="inlineStr"/>
      <c r="K262" s="3" t="inlineStr">
        <is>
          <t>Телефильм. Батырбек, провалившись на вступительных экзаменах в институт, возвращается домой, в родной аул. Его младший брат, Аян, решает помочь Батырбеку начать самостоятельную жизнь - построить новый дом и подыскать подходящую невесту…</t>
        </is>
      </c>
      <c r="L262" s="2" t="inlineStr">
        <is>
          <t>Кино_СССР сводный каталог.xlsx: список телефильмов</t>
        </is>
      </c>
      <c r="M262" s="2">
        <f>HYPERLINK("https://ru.wikipedia.org/w/index.php?search=%D0%9D%D0%B5%D0%B2%D0%B5%D1%81%D1%82%D0%B0%20%D0%B4%D0%BB%D1%8F%20%D0%B1%D1%80%D0%B0%D1%82%D0%B0%201979%20%D1%84%D0%B8%D0%BB%D1%8C%D0%BC","искать")</f>
        <v/>
      </c>
      <c r="N262" s="3" t="n"/>
      <c r="O262" s="2" t="n"/>
    </row>
    <row r="263">
      <c r="A263" s="2" t="n">
        <v>262</v>
      </c>
      <c r="B263" s="2" t="inlineStr">
        <is>
          <t>обрыв</t>
        </is>
      </c>
      <c r="C263" s="2" t="n">
        <v>8087</v>
      </c>
      <c r="D263" s="3" t="inlineStr">
        <is>
          <t>Первое лето</t>
        </is>
      </c>
      <c r="E263" s="2" t="n">
        <v>1974</v>
      </c>
      <c r="F263" s="2" t="inlineStr">
        <is>
          <t>телефильм</t>
        </is>
      </c>
      <c r="G263" s="2" t="n"/>
      <c r="H263" s="2" t="n">
        <v>236</v>
      </c>
      <c r="I263" s="2" t="inlineStr">
        <is>
          <t>да</t>
        </is>
      </c>
      <c r="J263" s="2" t="inlineStr"/>
      <c r="K263" s="3" t="inlineStr">
        <is>
          <t>По мотивам рассказа Эгонса Ливса "Прелюдия". Семнадцатилетний Гайтис еще найдет свою песню. А все, что с ним случилось в Интупе, куда он приехал на стройку после окончания школы, было только прелюдией, прекрасной прелюдией его юности...</t>
        </is>
      </c>
      <c r="L263" s="2" t="inlineStr">
        <is>
          <t>Кино_СССР сводный каталог.xlsx: список телефильмов</t>
        </is>
      </c>
      <c r="M263" s="2">
        <f>HYPERLINK("https://ru.wikipedia.org/w/index.php?search=%D0%9F%D0%B5%D1%80%D0%B2%D0%BE%D0%B5%20%D0%BB%D0%B5%D1%82%D0%BE%201974%20%D1%84%D0%B8%D0%BB%D1%8C%D0%BC","искать")</f>
        <v/>
      </c>
      <c r="N263" s="3" t="n"/>
      <c r="O263" s="2" t="n"/>
    </row>
    <row r="264">
      <c r="A264" s="2" t="n">
        <v>263</v>
      </c>
      <c r="B264" s="2" t="inlineStr">
        <is>
          <t>обрыв</t>
        </is>
      </c>
      <c r="C264" s="2" t="n">
        <v>8867</v>
      </c>
      <c r="D264" s="3" t="inlineStr">
        <is>
          <t>Не стреляйте в меня, пожалуйста</t>
        </is>
      </c>
      <c r="E264" s="2" t="n">
        <v>1991</v>
      </c>
      <c r="F264" s="2" t="inlineStr">
        <is>
          <t>кинофильм</t>
        </is>
      </c>
      <c r="G264" s="2" t="n"/>
      <c r="H264" s="2" t="n">
        <v>236</v>
      </c>
      <c r="I264" s="2" t="inlineStr">
        <is>
          <t>да</t>
        </is>
      </c>
      <c r="J264" s="2" t="inlineStr"/>
      <c r="K264" s="3" t="inlineStr">
        <is>
          <t>Героиня и двое ее мужчин: муж - делец и мафиози, и телеоператор, которому женщина в настоящий период дарит свою симпатию. Муж, до какого-то момента не придававший увлечениям жены особого значения, теперь готов к решительным действиям...</t>
        </is>
      </c>
      <c r="L264" s="2" t="inlineStr">
        <is>
          <t>Кино_СССР сводный каталог.xlsx: список фильмов (доп.)</t>
        </is>
      </c>
      <c r="M264" s="2">
        <f>HYPERLINK("https://ru.wikipedia.org/w/index.php?search=%D0%9D%D0%B5%20%D1%81%D1%82%D1%80%D0%B5%D0%BB%D1%8F%D0%B9%D1%82%D0%B5%20%D0%B2%20%D0%BC%D0%B5%D0%BD%D1%8F%2C%20%D0%BF%D0%BE%D0%B6%D0%B0%D0%BB%D1%83%D0%B9%D1%81%D1%82%D0%B0%201991%20%D1%84%D0%B8%D0%BB%D1%8C%D0%BC","искать")</f>
        <v/>
      </c>
      <c r="N264" s="3" t="n"/>
      <c r="O264" s="2" t="n"/>
    </row>
    <row r="265">
      <c r="A265" s="2" t="n">
        <v>264</v>
      </c>
      <c r="B265" s="2" t="inlineStr">
        <is>
          <t>обрыв</t>
        </is>
      </c>
      <c r="C265" s="2" t="n">
        <v>9690</v>
      </c>
      <c r="D265" s="3" t="inlineStr">
        <is>
          <t>Тени забытых предков</t>
        </is>
      </c>
      <c r="E265" s="2" t="n">
        <v>1964</v>
      </c>
      <c r="F265" s="2" t="inlineStr">
        <is>
          <t>кинофильм</t>
        </is>
      </c>
      <c r="G265" s="2" t="n"/>
      <c r="H265" s="2" t="n">
        <v>236</v>
      </c>
      <c r="I265" s="2" t="inlineStr">
        <is>
          <t>да</t>
        </is>
      </c>
      <c r="J265" s="2" t="inlineStr"/>
      <c r="K265" s="3" t="inlineStr">
        <is>
          <t>Экранизация одноимённой повести украинского классика XIX века Михаила Коцюбинского. Десятки лет враждовали два гуцульских рода - Палийчуки и Гутенюки. Но случилось так, что полюбил Иван Палийчук красавицу из вражеского рода - Маричку...</t>
        </is>
      </c>
      <c r="L265" s="2" t="inlineStr">
        <is>
          <t>Кино_СССР сводный каталог.xlsx: список фильмов (доп.)</t>
        </is>
      </c>
      <c r="M265" s="2">
        <f>HYPERLINK("https://ru.wikipedia.org/w/index.php?search=%D0%A2%D0%B5%D0%BD%D0%B8%20%D0%B7%D0%B0%D0%B1%D1%8B%D1%82%D1%8B%D1%85%20%D0%BF%D1%80%D0%B5%D0%B4%D0%BA%D0%BE%D0%B2%201964%20%D1%84%D0%B8%D0%BB%D1%8C%D0%BC","искать")</f>
        <v/>
      </c>
      <c r="N265" s="3" t="n"/>
      <c r="O265" s="2" t="n"/>
    </row>
    <row r="266">
      <c r="A266" s="2" t="n">
        <v>265</v>
      </c>
      <c r="B266" s="2" t="inlineStr">
        <is>
          <t>обрыв</t>
        </is>
      </c>
      <c r="C266" s="2" t="n">
        <v>7471</v>
      </c>
      <c r="D266" s="3" t="inlineStr">
        <is>
          <t>Далеко-далече</t>
        </is>
      </c>
      <c r="E266" s="2" t="n">
        <v>1990</v>
      </c>
      <c r="F266" s="2" t="inlineStr">
        <is>
          <t>телефильм</t>
        </is>
      </c>
      <c r="G266" s="2" t="n"/>
      <c r="H266" s="2" t="n">
        <v>237</v>
      </c>
      <c r="I266" s="2" t="inlineStr">
        <is>
          <t>да</t>
        </is>
      </c>
      <c r="J266" s="2" t="inlineStr"/>
      <c r="K266" s="3" t="inlineStr">
        <is>
          <t>По мотивам повести Ю.Грибова "Сороковой бор". Из города к старому леснику приезжает Сергей с сыном. Их связывает давнее знакомство. Между дочерью лесника Ксенией и Сергеем завязывается роман, но неожиданно появляется бывший муж Ксении...</t>
        </is>
      </c>
      <c r="L266" s="2" t="inlineStr">
        <is>
          <t>Кино_СССР сводный каталог.xlsx: список телефильмов</t>
        </is>
      </c>
      <c r="M266" s="2">
        <f>HYPERLINK("https://ru.wikipedia.org/w/index.php?search=%D0%94%D0%B0%D0%BB%D0%B5%D0%BA%D0%BE-%D0%B4%D0%B0%D0%BB%D0%B5%D1%87%D0%B5%201990%20%D1%84%D0%B8%D0%BB%D1%8C%D0%BC","искать")</f>
        <v/>
      </c>
      <c r="N266" s="3" t="n"/>
      <c r="O266" s="2" t="n"/>
    </row>
    <row r="267">
      <c r="A267" s="2" t="n">
        <v>266</v>
      </c>
      <c r="B267" s="2" t="inlineStr">
        <is>
          <t>обрыв</t>
        </is>
      </c>
      <c r="C267" s="2" t="n">
        <v>7481</v>
      </c>
      <c r="D267" s="3" t="inlineStr">
        <is>
          <t>Двенадцать месяцев</t>
        </is>
      </c>
      <c r="E267" s="2" t="n">
        <v>1972</v>
      </c>
      <c r="F267" s="2" t="inlineStr">
        <is>
          <t>телефильм</t>
        </is>
      </c>
      <c r="G267" s="2" t="n"/>
      <c r="H267" s="2" t="n">
        <v>237</v>
      </c>
      <c r="I267" s="2" t="inlineStr">
        <is>
          <t>да</t>
        </is>
      </c>
      <c r="J267" s="2" t="inlineStr"/>
      <c r="K267" s="3" t="inlineStr">
        <is>
          <t>Телефильм-сказка по одноименной пьесе С. Я. Маршака. Снежной холодной зимой, под вечер, в канун Нового года, когда люди сидят в домах, прислушиваясь к треску поленьев в печи, злая мачеха отправила свою падчерицу в лес за подснежниками...</t>
        </is>
      </c>
      <c r="L267" s="2" t="inlineStr">
        <is>
          <t>Кино_СССР сводный каталог.xlsx: список телефильмов</t>
        </is>
      </c>
      <c r="M267" s="2">
        <f>HYPERLINK("https://ru.wikipedia.org/w/index.php?search=%D0%94%D0%B2%D0%B5%D0%BD%D0%B0%D0%B4%D1%86%D0%B0%D1%82%D1%8C%20%D0%BC%D0%B5%D1%81%D1%8F%D1%86%D0%B5%D0%B2%201972%20%D1%84%D0%B8%D0%BB%D1%8C%D0%BC","искать")</f>
        <v/>
      </c>
      <c r="N267" s="3" t="n"/>
      <c r="O267" s="2" t="n"/>
    </row>
    <row r="268">
      <c r="A268" s="2" t="n">
        <v>267</v>
      </c>
      <c r="B268" s="2" t="inlineStr">
        <is>
          <t>обрыв</t>
        </is>
      </c>
      <c r="C268" s="2" t="n">
        <v>8465</v>
      </c>
      <c r="D268" s="3" t="inlineStr">
        <is>
          <t>Точка возврата</t>
        </is>
      </c>
      <c r="E268" s="2" t="n">
        <v>1986</v>
      </c>
      <c r="F268" s="2" t="inlineStr">
        <is>
          <t>телефильм</t>
        </is>
      </c>
      <c r="G268" s="2" t="n"/>
      <c r="H268" s="2" t="n">
        <v>237</v>
      </c>
      <c r="I268" s="2" t="inlineStr">
        <is>
          <t>да</t>
        </is>
      </c>
      <c r="J268" s="2" t="inlineStr"/>
      <c r="K268" s="3" t="inlineStr">
        <is>
          <t>По одноименной повести Владимира Санина. Самолёт совершает вынужденную посадку на одном из островов Арктики. Экипаж и пассажиры самолёта, оказавшись в исключительно сложной обстановке, выходят победителями в поединке с суровой стихией...</t>
        </is>
      </c>
      <c r="L268" s="2" t="inlineStr">
        <is>
          <t>Кино_СССР сводный каталог.xlsx: список телефильмов</t>
        </is>
      </c>
      <c r="M268" s="2">
        <f>HYPERLINK("https://ru.wikipedia.org/w/index.php?search=%D0%A2%D0%BE%D1%87%D0%BA%D0%B0%20%D0%B2%D0%BE%D0%B7%D0%B2%D1%80%D0%B0%D1%82%D0%B0%201986%20%D1%84%D0%B8%D0%BB%D1%8C%D0%BC","искать")</f>
        <v/>
      </c>
      <c r="N268" s="3" t="n"/>
      <c r="O268" s="2" t="n"/>
    </row>
    <row r="269">
      <c r="A269" s="2" t="n">
        <v>268</v>
      </c>
      <c r="B269" s="2" t="inlineStr">
        <is>
          <t>обрыв</t>
        </is>
      </c>
      <c r="C269" s="2" t="n">
        <v>7560</v>
      </c>
      <c r="D269" s="3" t="inlineStr">
        <is>
          <t>Друг Тыманчи</t>
        </is>
      </c>
      <c r="E269" s="2" t="n">
        <v>1970</v>
      </c>
      <c r="F269" s="2" t="inlineStr">
        <is>
          <t>телефильм</t>
        </is>
      </c>
      <c r="G269" s="2" t="n"/>
      <c r="H269" s="2" t="n">
        <v>238</v>
      </c>
      <c r="I269" s="2" t="inlineStr">
        <is>
          <t>да</t>
        </is>
      </c>
      <c r="J269" s="2" t="inlineStr"/>
      <c r="K269" s="3" t="inlineStr">
        <is>
          <t>Отец мальчика-подростка Тыманчи (переводится на русский язык как родившийся рано утром в тайге, или светящийся) привозит ему из леса сироту-волчонка, милого малыша, мать которого он вынужден был застрелить. Щенок стал любимцем мальчика...</t>
        </is>
      </c>
      <c r="L269" s="2" t="inlineStr">
        <is>
          <t>Кино_СССР сводный каталог.xlsx: список телефильмов</t>
        </is>
      </c>
      <c r="M269" s="2">
        <f>HYPERLINK("https://ru.wikipedia.org/w/index.php?search=%D0%94%D1%80%D1%83%D0%B3%20%D0%A2%D1%8B%D0%BC%D0%B0%D0%BD%D1%87%D0%B8%201970%20%D1%84%D0%B8%D0%BB%D1%8C%D0%BC","искать")</f>
        <v/>
      </c>
      <c r="N269" s="3" t="n"/>
      <c r="O269" s="2" t="n"/>
    </row>
    <row r="270">
      <c r="A270" s="2" t="n">
        <v>269</v>
      </c>
      <c r="B270" s="2" t="inlineStr">
        <is>
          <t>обрыв</t>
        </is>
      </c>
      <c r="C270" s="2" t="n">
        <v>8182</v>
      </c>
      <c r="D270" s="3" t="inlineStr">
        <is>
          <t>Право на выбор</t>
        </is>
      </c>
      <c r="E270" s="2" t="n">
        <v>1984</v>
      </c>
      <c r="F270" s="2" t="inlineStr">
        <is>
          <t>телефильм</t>
        </is>
      </c>
      <c r="G270" s="2" t="n"/>
      <c r="H270" s="2" t="n">
        <v>238</v>
      </c>
      <c r="I270" s="2" t="inlineStr">
        <is>
          <t>да</t>
        </is>
      </c>
      <c r="J270" s="2" t="inlineStr"/>
      <c r="K270" s="3" t="inlineStr">
        <is>
          <t>Шахов назначен главным инженером автокомбината. Он перестраивает работу комбината - находит новых инициативных бригадиров, беспощадно борется с лодырями и пьяницами. Немало трудностей возникает у него и во взаимоотношениях с директором...</t>
        </is>
      </c>
      <c r="L270" s="2" t="inlineStr">
        <is>
          <t>Кино_СССР сводный каталог.xlsx: список телефильмов</t>
        </is>
      </c>
      <c r="M270" s="2">
        <f>HYPERLINK("https://ru.wikipedia.org/w/index.php?search=%D0%9F%D1%80%D0%B0%D0%B2%D0%BE%20%D0%BD%D0%B0%20%D0%B2%D1%8B%D0%B1%D0%BE%D1%80%201984%20%D1%84%D0%B8%D0%BB%D1%8C%D0%BC","искать")</f>
        <v/>
      </c>
      <c r="N270" s="3" t="n"/>
      <c r="O270" s="2" t="n"/>
    </row>
    <row r="271">
      <c r="A271" s="2" t="n">
        <v>270</v>
      </c>
      <c r="B271" s="2" t="inlineStr">
        <is>
          <t>обрыв</t>
        </is>
      </c>
      <c r="C271" s="2" t="n">
        <v>8549</v>
      </c>
      <c r="D271" s="3" t="inlineStr">
        <is>
          <t>Человек на полустанке</t>
        </is>
      </c>
      <c r="E271" s="2" t="n">
        <v>1983</v>
      </c>
      <c r="F271" s="2" t="inlineStr">
        <is>
          <t>телефильм</t>
        </is>
      </c>
      <c r="G271" s="2" t="n"/>
      <c r="H271" s="2" t="n">
        <v>238</v>
      </c>
      <c r="I271" s="2" t="inlineStr">
        <is>
          <t>да</t>
        </is>
      </c>
      <c r="J271" s="2" t="inlineStr"/>
      <c r="K271" s="3" t="inlineStr">
        <is>
          <t>В центре телефильма образ ветерана Великой Отечественной войны старого путевого обходчика Прохора Тимофеевича. Случайная встреча с маленьким мальчиком Прошей вносит радость в жизнь главного героя, потерявшего жену и дочь в военные годы...</t>
        </is>
      </c>
      <c r="L271" s="2" t="inlineStr">
        <is>
          <t>Кино_СССР сводный каталог.xlsx: список телефильмов</t>
        </is>
      </c>
      <c r="M271" s="2">
        <f>HYPERLINK("https://ru.wikipedia.org/w/index.php?search=%D0%A7%D0%B5%D0%BB%D0%BE%D0%B2%D0%B5%D0%BA%20%D0%BD%D0%B0%20%D0%BF%D0%BE%D0%BB%D1%83%D1%81%D1%82%D0%B0%D0%BD%D0%BA%D0%B5%201983%20%D1%84%D0%B8%D0%BB%D1%8C%D0%BC","искать")</f>
        <v/>
      </c>
      <c r="N271" s="3" t="n"/>
      <c r="O271" s="2" t="n"/>
    </row>
    <row r="272">
      <c r="A272" s="2" t="n">
        <v>271</v>
      </c>
      <c r="B272" s="2" t="inlineStr">
        <is>
          <t>обрыв</t>
        </is>
      </c>
      <c r="C272" s="2" t="n">
        <v>8858</v>
      </c>
      <c r="D272" s="3" t="inlineStr">
        <is>
          <t>На железной дороге</t>
        </is>
      </c>
      <c r="E272" s="2" t="n">
        <v>1988</v>
      </c>
      <c r="F272" s="2" t="inlineStr">
        <is>
          <t>кинофильм</t>
        </is>
      </c>
      <c r="G272" s="2" t="n"/>
      <c r="H272" s="2" t="n">
        <v>238</v>
      </c>
      <c r="I272" s="2" t="inlineStr">
        <is>
          <t>да</t>
        </is>
      </c>
      <c r="J272" s="2" t="inlineStr"/>
      <c r="K272" s="3" t="inlineStr">
        <is>
          <t>Среди голода, разрухи, тифа и полного хаоса едут в разбитом вагоне-теплушке молодой, искалеченный гражданской войной солдат Евмен и девушка Мария. Так на страшной дороге жизни у двух одиноких людей зарождаются глубокие и чистые чувства...</t>
        </is>
      </c>
      <c r="L272" s="2" t="inlineStr">
        <is>
          <t>Кино_СССР сводный каталог.xlsx: список фильмов (доп.)</t>
        </is>
      </c>
      <c r="M272" s="2">
        <f>HYPERLINK("https://ru.wikipedia.org/w/index.php?search=%D0%9D%D0%B0%20%D0%B6%D0%B5%D0%BB%D0%B5%D0%B7%D0%BD%D0%BE%D0%B9%20%D0%B4%D0%BE%D1%80%D0%BE%D0%B3%D0%B5%201988%20%D1%84%D0%B8%D0%BB%D1%8C%D0%BC","искать")</f>
        <v/>
      </c>
      <c r="N272" s="3" t="n"/>
      <c r="O272" s="2" t="n"/>
    </row>
    <row r="273">
      <c r="A273" s="2" t="n">
        <v>272</v>
      </c>
      <c r="B273" s="2" t="inlineStr">
        <is>
          <t>обрыв</t>
        </is>
      </c>
      <c r="C273" s="2" t="n">
        <v>9362</v>
      </c>
      <c r="D273" s="3" t="inlineStr">
        <is>
          <t>Житие Александра Невского</t>
        </is>
      </c>
      <c r="E273" s="2" t="n">
        <v>1991</v>
      </c>
      <c r="F273" s="2" t="inlineStr">
        <is>
          <t>кинофильм</t>
        </is>
      </c>
      <c r="G273" s="2" t="n"/>
      <c r="H273" s="2" t="n">
        <v>238</v>
      </c>
      <c r="I273" s="2" t="inlineStr">
        <is>
          <t>да</t>
        </is>
      </c>
      <c r="J273" s="2" t="inlineStr"/>
      <c r="K273" s="3" t="inlineStr">
        <is>
          <t>Иллюстрация к текстам «Житий» русских святых. Последние дни жизни князя Александра, который возвращается из Орды во Владимир, свою вотчину. В пути князю становится плохо. Временами к нему возвращается сознание — и прошлое не дает покоя...</t>
        </is>
      </c>
      <c r="L273" s="2" t="inlineStr">
        <is>
          <t>Кино_СССР сводный каталог.xlsx: список фильмов (доп.)</t>
        </is>
      </c>
      <c r="M273" s="2">
        <f>HYPERLINK("https://ru.wikipedia.org/w/index.php?search=%D0%96%D0%B8%D1%82%D0%B8%D0%B5%20%D0%90%D0%BB%D0%B5%D0%BA%D1%81%D0%B0%D0%BD%D0%B4%D1%80%D0%B0%20%D0%9D%D0%B5%D0%B2%D1%81%D0%BA%D0%BE%D0%B3%D0%BE%201991%20%D1%84%D0%B8%D0%BB%D1%8C%D0%BC","искать")</f>
        <v/>
      </c>
      <c r="N273" s="3" t="n"/>
      <c r="O273" s="2" t="n"/>
    </row>
    <row r="274">
      <c r="A274" s="2" t="n">
        <v>273</v>
      </c>
      <c r="B274" s="2" t="inlineStr">
        <is>
          <t>обрыв</t>
        </is>
      </c>
      <c r="C274" s="2" t="n">
        <v>10144</v>
      </c>
      <c r="D274" s="3" t="inlineStr">
        <is>
          <t>Корабли в Лиссе</t>
        </is>
      </c>
      <c r="E274" s="2" t="n">
        <v>1965</v>
      </c>
      <c r="F274" s="2" t="inlineStr">
        <is>
          <t>фильм-спектакль</t>
        </is>
      </c>
      <c r="G274" s="2" t="inlineStr">
        <is>
          <t>Ленинградское телевидение</t>
        </is>
      </c>
      <c r="H274" s="2" t="n">
        <v>238</v>
      </c>
      <c r="I274" s="2" t="inlineStr">
        <is>
          <t>да</t>
        </is>
      </c>
      <c r="J274" s="2" t="inlineStr"/>
      <c r="K274" s="3" t="inlineStr">
        <is>
          <t>Телеспектакль по рассказам Александра Грина.
Пять парусников блокированы в порту Лисса неприятельским капером. Капитаны четырёх из этих парусников собрались за столом гостиницы, размышляя, как выйти в море, обманув бдительность корсара...</t>
        </is>
      </c>
      <c r="L274" s="2" t="inlineStr">
        <is>
          <t>https://www.kino-teatr.ru/teatr/movie/123956/annot/</t>
        </is>
      </c>
      <c r="M274" s="2">
        <f>HYPERLINK("https://ru.wikipedia.org/w/index.php?search=%D0%9A%D0%BE%D1%80%D0%B0%D0%B1%D0%BB%D0%B8%20%D0%B2%20%D0%9B%D0%B8%D1%81%D1%81%D0%B5%201965%20%D1%84%D0%B8%D0%BB%D1%8C%D0%BC","искать")</f>
        <v/>
      </c>
      <c r="N274" s="3" t="n"/>
      <c r="O274" s="2" t="n"/>
    </row>
    <row r="275">
      <c r="A275" s="2" t="n">
        <v>274</v>
      </c>
      <c r="B275" s="2" t="inlineStr">
        <is>
          <t>обрыв</t>
        </is>
      </c>
      <c r="C275" s="2" t="n">
        <v>8992</v>
      </c>
      <c r="D275" s="3" t="inlineStr">
        <is>
          <t>Прямая трансляция</t>
        </is>
      </c>
      <c r="E275" s="2" t="n">
        <v>1989</v>
      </c>
      <c r="F275" s="2" t="inlineStr">
        <is>
          <t>кинофильм</t>
        </is>
      </c>
      <c r="G275" s="2" t="n"/>
      <c r="H275" s="2" t="n">
        <v>239</v>
      </c>
      <c r="I275" s="2" t="inlineStr">
        <is>
          <t>да</t>
        </is>
      </c>
      <c r="J275" s="2" t="inlineStr"/>
      <c r="K275" s="3" t="inlineStr">
        <is>
          <t>Москва. Похороны очередного генсека К.У.Черненко. Работник редакции Сергей Еремин решает, наконец, опубликовать повесть своего друга, которого он когда-то предал. Но рукопись исчезла - и Сергей решается на откровенный разговор с автором...</t>
        </is>
      </c>
      <c r="L275" s="2" t="inlineStr">
        <is>
          <t>Кино_СССР сводный каталог.xlsx: список фильмов (доп.)</t>
        </is>
      </c>
      <c r="M275" s="2">
        <f>HYPERLINK("https://ru.wikipedia.org/w/index.php?search=%D0%9F%D1%80%D1%8F%D0%BC%D0%B0%D1%8F%20%D1%82%D1%80%D0%B0%D0%BD%D1%81%D0%BB%D1%8F%D1%86%D0%B8%D1%8F%201989%20%D1%84%D0%B8%D0%BB%D1%8C%D0%BC","искать")</f>
        <v/>
      </c>
      <c r="N275" s="3" t="n"/>
      <c r="O275" s="2" t="n"/>
    </row>
    <row r="276">
      <c r="A276" s="2" t="n">
        <v>275</v>
      </c>
      <c r="B276" s="2" t="inlineStr">
        <is>
          <t>обрыв</t>
        </is>
      </c>
      <c r="C276" s="2" t="n">
        <v>7652</v>
      </c>
      <c r="D276" s="3" t="inlineStr">
        <is>
          <t>Золотая свадьба</t>
        </is>
      </c>
      <c r="E276" s="2" t="n">
        <v>1987</v>
      </c>
      <c r="F276" s="2" t="inlineStr">
        <is>
          <t>телефильм</t>
        </is>
      </c>
      <c r="G276" s="2" t="n"/>
      <c r="H276" s="2" t="n">
        <v>240</v>
      </c>
      <c r="I276" s="2" t="inlineStr">
        <is>
          <t>да</t>
        </is>
      </c>
      <c r="J276" s="2" t="inlineStr"/>
      <c r="K276" s="3" t="inlineStr">
        <is>
          <t>Действие фильма происходит в день золотой свадьбы семьи Клима и Анастасии Даник. Счастливую жизнь прожили супруги, вырастили троих детей, теперь воспитывают внуков. Но так же, как и в далекой молодости, их волнует всё происходящее вокруг...</t>
        </is>
      </c>
      <c r="L276" s="2" t="inlineStr">
        <is>
          <t>Кино_СССР сводный каталог.xlsx: список телефильмов</t>
        </is>
      </c>
      <c r="M276" s="2">
        <f>HYPERLINK("https://ru.wikipedia.org/w/index.php?search=%D0%97%D0%BE%D0%BB%D0%BE%D1%82%D0%B0%D1%8F%20%D1%81%D0%B2%D0%B0%D0%B4%D1%8C%D0%B1%D0%B0%201987%20%D1%84%D0%B8%D0%BB%D1%8C%D0%BC","искать")</f>
        <v/>
      </c>
      <c r="N276" s="3" t="n"/>
      <c r="O276" s="2" t="n"/>
    </row>
    <row r="277">
      <c r="A277" s="2" t="n">
        <v>276</v>
      </c>
      <c r="B277" s="2" t="inlineStr">
        <is>
          <t>обрыв</t>
        </is>
      </c>
      <c r="C277" s="2" t="n">
        <v>8128</v>
      </c>
      <c r="D277" s="3" t="inlineStr">
        <is>
          <t>Повод</t>
        </is>
      </c>
      <c r="E277" s="2" t="n">
        <v>1986</v>
      </c>
      <c r="F277" s="2" t="inlineStr">
        <is>
          <t>телефильм</t>
        </is>
      </c>
      <c r="G277" s="2" t="n"/>
      <c r="H277" s="2" t="n">
        <v>240</v>
      </c>
      <c r="I277" s="2" t="inlineStr">
        <is>
          <t>да</t>
        </is>
      </c>
      <c r="J277" s="2" t="inlineStr"/>
      <c r="K277" s="3" t="inlineStr">
        <is>
          <t>По мотивам одноименной повести А.Жукова. Идет товарищеский суд. Домашний кот Адам обвиняется в воровстве колбасы из магазина, утят из колхозной птицефермы и многих других прегрешениях, которые списывают на беднягу буквально все жители села…</t>
        </is>
      </c>
      <c r="L277" s="2" t="inlineStr">
        <is>
          <t>Кино_СССР сводный каталог.xlsx: список телефильмов</t>
        </is>
      </c>
      <c r="M277" s="2">
        <f>HYPERLINK("https://ru.wikipedia.org/w/index.php?search=%D0%9F%D0%BE%D0%B2%D0%BE%D0%B4%201986%20%D1%84%D0%B8%D0%BB%D1%8C%D0%BC","искать")</f>
        <v/>
      </c>
      <c r="N277" s="3" t="n"/>
      <c r="O277" s="2" t="n"/>
    </row>
    <row r="278">
      <c r="A278" s="2" t="n">
        <v>277</v>
      </c>
      <c r="B278" s="2" t="inlineStr">
        <is>
          <t>обрыв</t>
        </is>
      </c>
      <c r="C278" s="2" t="n">
        <v>8134</v>
      </c>
      <c r="D278" s="3" t="inlineStr">
        <is>
          <t>Под ступеньками</t>
        </is>
      </c>
      <c r="E278" s="2" t="n">
        <v>1989</v>
      </c>
      <c r="F278" s="2" t="inlineStr">
        <is>
          <t>телефильм</t>
        </is>
      </c>
      <c r="G278" s="2" t="n"/>
      <c r="H278" s="2" t="n">
        <v>240</v>
      </c>
      <c r="I278" s="2" t="inlineStr">
        <is>
          <t>да</t>
        </is>
      </c>
      <c r="J278" s="2" t="inlineStr"/>
      <c r="K278" s="3" t="inlineStr">
        <is>
          <t>Яков Дерябин возвращается из мест заключения, куда он попал по милости своей жены, и мается в поисках работы и жилья. Никто не принимает участия в судьбе доброго и несчастного человека. И пока он спит в подъезде жилого дома под лестницей...</t>
        </is>
      </c>
      <c r="L278" s="2" t="inlineStr">
        <is>
          <t>Кино_СССР сводный каталог.xlsx: список телефильмов</t>
        </is>
      </c>
      <c r="M278" s="2">
        <f>HYPERLINK("https://ru.wikipedia.org/w/index.php?search=%D0%9F%D0%BE%D0%B4%20%D1%81%D1%82%D1%83%D0%BF%D0%B5%D0%BD%D1%8C%D0%BA%D0%B0%D0%BC%D0%B8%201989%20%D1%84%D0%B8%D0%BB%D1%8C%D0%BC","искать")</f>
        <v/>
      </c>
      <c r="N278" s="3" t="n"/>
      <c r="O278" s="2" t="n"/>
    </row>
    <row r="279">
      <c r="A279" s="2" t="n">
        <v>278</v>
      </c>
      <c r="B279" s="2" t="inlineStr">
        <is>
          <t>обрыв</t>
        </is>
      </c>
      <c r="C279" s="2" t="n">
        <v>8311</v>
      </c>
      <c r="D279" s="3" t="inlineStr">
        <is>
          <t>Свет маяка</t>
        </is>
      </c>
      <c r="E279" s="2" t="n">
        <v>1977</v>
      </c>
      <c r="F279" s="2" t="inlineStr">
        <is>
          <t>телефильм</t>
        </is>
      </c>
      <c r="G279" s="2" t="n"/>
      <c r="H279" s="2" t="n">
        <v>240</v>
      </c>
      <c r="I279" s="2" t="inlineStr">
        <is>
          <t>да</t>
        </is>
      </c>
      <c r="J279" s="2" t="inlineStr"/>
      <c r="K279" s="3" t="inlineStr">
        <is>
          <t>Телефильм. На маяке живут старый больной смотритель и девушка Марал. Неизвестно, как долго девушка жила бы отшельницей на маяке, если бы не любовь, которая возникла между ней и капитаном катера Мурадом, привезшим врача к больному старику...</t>
        </is>
      </c>
      <c r="L279" s="2" t="inlineStr">
        <is>
          <t>Кино_СССР сводный каталог.xlsx: список телефильмов</t>
        </is>
      </c>
      <c r="M279" s="2">
        <f>HYPERLINK("https://ru.wikipedia.org/w/index.php?search=%D0%A1%D0%B2%D0%B5%D1%82%20%D0%BC%D0%B0%D1%8F%D0%BA%D0%B0%201977%20%D1%84%D0%B8%D0%BB%D1%8C%D0%BC","искать")</f>
        <v/>
      </c>
      <c r="N279" s="3" t="n"/>
      <c r="O279" s="2" t="n"/>
    </row>
    <row r="280">
      <c r="A280" s="2" t="n">
        <v>279</v>
      </c>
      <c r="B280" s="2" t="inlineStr">
        <is>
          <t>обрыв</t>
        </is>
      </c>
      <c r="C280" s="2" t="n">
        <v>8503</v>
      </c>
      <c r="D280" s="3" t="inlineStr">
        <is>
          <t>Уроки ненависти</t>
        </is>
      </c>
      <c r="E280" s="2" t="n">
        <v>1983</v>
      </c>
      <c r="F280" s="2" t="inlineStr">
        <is>
          <t>телефильм</t>
        </is>
      </c>
      <c r="G280" s="2" t="n"/>
      <c r="H280" s="2" t="n">
        <v>240</v>
      </c>
      <c r="I280" s="2" t="inlineStr">
        <is>
          <t>да</t>
        </is>
      </c>
      <c r="J280" s="2" t="inlineStr"/>
      <c r="K280" s="3" t="inlineStr">
        <is>
          <t>Телефильм. Действие происходит в литовской деревне в годы Великой Отечественной войны. Фашистские оккупанты издевались над жителями деревни, в том числе и над учителем, отцом шестилетнего Томаса. Навсегда запомнил мальчик ужасы этих дней...</t>
        </is>
      </c>
      <c r="L280" s="2" t="inlineStr">
        <is>
          <t>Кино_СССР сводный каталог.xlsx: список телефильмов</t>
        </is>
      </c>
      <c r="M280" s="2">
        <f>HYPERLINK("https://ru.wikipedia.org/w/index.php?search=%D0%A3%D1%80%D0%BE%D0%BA%D0%B8%20%D0%BD%D0%B5%D0%BD%D0%B0%D0%B2%D0%B8%D1%81%D1%82%D0%B8%201983%20%D1%84%D0%B8%D0%BB%D1%8C%D0%BC","искать")</f>
        <v/>
      </c>
      <c r="N280" s="3" t="n"/>
      <c r="O280" s="2" t="n"/>
    </row>
    <row r="281">
      <c r="A281" s="2" t="n">
        <v>280</v>
      </c>
      <c r="B281" s="2" t="inlineStr">
        <is>
          <t>обрыв</t>
        </is>
      </c>
      <c r="C281" s="2" t="n">
        <v>9716</v>
      </c>
      <c r="D281" s="3" t="inlineStr">
        <is>
          <t>Утоли моя печали</t>
        </is>
      </c>
      <c r="E281" s="2" t="n">
        <v>1989</v>
      </c>
      <c r="F281" s="2" t="inlineStr">
        <is>
          <t>кинофильм</t>
        </is>
      </c>
      <c r="G281" s="2" t="n"/>
      <c r="H281" s="2" t="n">
        <v>240</v>
      </c>
      <c r="I281" s="2" t="inlineStr">
        <is>
          <t>да</t>
        </is>
      </c>
      <c r="J281" s="2" t="inlineStr"/>
      <c r="K281" s="3" t="inlineStr">
        <is>
          <t>Уставший от беспросветной жизни, герой бросает работу бульдозериста и поступает в институт культуры. Рушится его семейная жизнь. Но не так-то просто отпустить того, кто постоянно жертвовал собой во имя любви. Но развод все-таки состоится...</t>
        </is>
      </c>
      <c r="L281" s="2" t="inlineStr">
        <is>
          <t>Кино_СССР сводный каталог.xlsx: список фильмов (доп.)</t>
        </is>
      </c>
      <c r="M281" s="2">
        <f>HYPERLINK("https://ru.wikipedia.org/w/index.php?search=%D0%A3%D1%82%D0%BE%D0%BB%D0%B8%20%D0%BC%D0%BE%D1%8F%20%D0%BF%D0%B5%D1%87%D0%B0%D0%BB%D0%B8%201989%20%D1%84%D0%B8%D0%BB%D1%8C%D0%BC","искать")</f>
        <v/>
      </c>
      <c r="N281" s="3" t="n"/>
      <c r="O281" s="2" t="n"/>
    </row>
    <row r="282">
      <c r="A282" s="2" t="n">
        <v>281</v>
      </c>
      <c r="B282" s="2" t="inlineStr">
        <is>
          <t>обрыв</t>
        </is>
      </c>
      <c r="C282" s="2" t="n">
        <v>9735</v>
      </c>
      <c r="D282" s="3" t="inlineStr">
        <is>
          <t>Холод</t>
        </is>
      </c>
      <c r="E282" s="2" t="n">
        <v>1991</v>
      </c>
      <c r="F282" s="2" t="inlineStr">
        <is>
          <t>кинофильм</t>
        </is>
      </c>
      <c r="G282" s="2" t="n"/>
      <c r="H282" s="2" t="n">
        <v>240</v>
      </c>
      <c r="I282" s="2" t="inlineStr">
        <is>
          <t>да</t>
        </is>
      </c>
      <c r="J282" s="2" t="inlineStr"/>
      <c r="K282" s="3" t="inlineStr">
        <is>
          <t>В многовековой истории народов Северного Кавказа было много трагических страниц. Фильм основан на реальных событиях и рассказывает об одной из них: о депортации тюркских народов Северного Кавказа в Казахстан, Сибирь и на Урал в 1943 году...</t>
        </is>
      </c>
      <c r="L282" s="2" t="inlineStr">
        <is>
          <t>Кино_СССР сводный каталог.xlsx: список фильмов (доп.)</t>
        </is>
      </c>
      <c r="M282" s="2">
        <f>HYPERLINK("https://ru.wikipedia.org/w/index.php?search=%D0%A5%D0%BE%D0%BB%D0%BE%D0%B4%201991%20%D1%84%D0%B8%D0%BB%D1%8C%D0%BC","искать")</f>
        <v/>
      </c>
      <c r="N282" s="3" t="n"/>
      <c r="O282" s="2" t="n"/>
    </row>
    <row r="283">
      <c r="A283" s="2" t="n">
        <v>282</v>
      </c>
      <c r="B283" s="2" t="inlineStr">
        <is>
          <t>обрыв</t>
        </is>
      </c>
      <c r="C283" s="2" t="n">
        <v>9836</v>
      </c>
      <c r="D283" s="3" t="inlineStr">
        <is>
          <t>Последний бросок</t>
        </is>
      </c>
      <c r="E283" s="2" t="n">
        <v>1966</v>
      </c>
      <c r="F283" s="2" t="inlineStr">
        <is>
          <t>телефильм</t>
        </is>
      </c>
      <c r="G283" s="2" t="inlineStr">
        <is>
          <t>Ереванское ТВ</t>
        </is>
      </c>
      <c r="H283" s="2" t="n">
        <v>240</v>
      </c>
      <c r="I283" s="2" t="inlineStr">
        <is>
          <t>да</t>
        </is>
      </c>
      <c r="J283" s="2" t="inlineStr"/>
      <c r="K283" s="3" t="inlineStr">
        <is>
          <t>Герой фильма во время Второй мировой войны попадает в плен к гитлеровцам и, воспользовавшись капризом эсэсовского офицера, пытается спасти жизнь себе и товарищам, благодаря точным броскам по баскетбольному кольцу. Но фашисты обманули его...</t>
        </is>
      </c>
      <c r="L283" s="2" t="inlineStr">
        <is>
          <t>https://www.kino-teatr.ru/short/movie/sov/14951/annot/</t>
        </is>
      </c>
      <c r="M283" s="2">
        <f>HYPERLINK("https://ru.wikipedia.org/w/index.php?search=%D0%9F%D0%BE%D1%81%D0%BB%D0%B5%D0%B4%D0%BD%D0%B8%D0%B9%20%D0%B1%D1%80%D0%BE%D1%81%D0%BE%D0%BA%201966%20%D1%84%D0%B8%D0%BB%D1%8C%D0%BC","искать")</f>
        <v/>
      </c>
      <c r="N283" s="3" t="n"/>
      <c r="O283" s="2" t="n"/>
    </row>
    <row r="284">
      <c r="A284" s="2" t="n">
        <v>283</v>
      </c>
      <c r="B284" s="2" t="inlineStr">
        <is>
          <t>обрыв</t>
        </is>
      </c>
      <c r="C284" s="2" t="n">
        <v>10825</v>
      </c>
      <c r="D284" s="3" t="inlineStr">
        <is>
          <t>Цезарь и Клеопатра</t>
        </is>
      </c>
      <c r="E284" s="2" t="n">
        <v>1979</v>
      </c>
      <c r="F284" s="2" t="inlineStr">
        <is>
          <t>фильм-спектакль</t>
        </is>
      </c>
      <c r="G284" s="2" t="inlineStr">
        <is>
          <t>Гл. ред. лит-драм программ</t>
        </is>
      </c>
      <c r="H284" s="2" t="n">
        <v>240</v>
      </c>
      <c r="I284" s="2" t="inlineStr">
        <is>
          <t>да</t>
        </is>
      </c>
      <c r="J284" s="2" t="inlineStr">
        <is>
          <t>да</t>
        </is>
      </c>
      <c r="K284" s="3" t="inlineStr">
        <is>
          <t>По одноименной пьесе английского драматурга Б.Шоу из цикла "Три пьесы для пуритан".
В образах Цезаря (Иннокентий Смоктуновский) и Клеопатры (Елена Коренева) даны две нравственные позиции, в столкновении которых выясняется, что есть добро...</t>
        </is>
      </c>
      <c r="L284" s="2" t="inlineStr">
        <is>
          <t>https://www.kino-teatr.ru/teatr/movie/7695/annot/</t>
        </is>
      </c>
      <c r="M284" s="2">
        <f>HYPERLINK("https://ru.wikipedia.org/w/index.php?search=%D0%A6%D0%B5%D0%B7%D0%B0%D1%80%D1%8C%20%D0%B8%20%D0%9A%D0%BB%D0%B5%D0%BE%D0%BF%D0%B0%D1%82%D1%80%D0%B0%201979%20%D1%84%D0%B8%D0%BB%D1%8C%D0%BC","искать")</f>
        <v/>
      </c>
      <c r="N284" s="3" t="n"/>
      <c r="O284" s="2" t="n"/>
    </row>
    <row r="285">
      <c r="A285" s="2" t="n">
        <v>284</v>
      </c>
      <c r="B285" s="2" t="inlineStr">
        <is>
          <t>обрыв</t>
        </is>
      </c>
      <c r="C285" s="2" t="n">
        <v>8044</v>
      </c>
      <c r="D285" s="3" t="inlineStr">
        <is>
          <t>Опасный возраст</t>
        </is>
      </c>
      <c r="E285" s="2" t="n">
        <v>1981</v>
      </c>
      <c r="F285" s="2" t="inlineStr">
        <is>
          <t>телефильм</t>
        </is>
      </c>
      <c r="G285" s="2" t="n"/>
      <c r="H285" s="2" t="n">
        <v>241</v>
      </c>
      <c r="I285" s="2" t="inlineStr">
        <is>
          <t>да</t>
        </is>
      </c>
      <c r="J285" s="2" t="inlineStr"/>
      <c r="K285" s="3" t="inlineStr">
        <is>
          <t>Супруги, прожившие вместе пару десятков лет, вдруг обнаруживают полное взаимонепонимание. Ребенок вырос и отдалился. Казалось бы, можно и развестись. Переживания семейной драмы лишают мужа, эксперта-парфюмера, способности различать запахи...</t>
        </is>
      </c>
      <c r="L285" s="2" t="inlineStr">
        <is>
          <t>Кино_СССР сводный каталог.xlsx: список телефильмов</t>
        </is>
      </c>
      <c r="M285" s="2">
        <f>HYPERLINK("https://ru.wikipedia.org/w/index.php?search=%D0%9E%D0%BF%D0%B0%D1%81%D0%BD%D1%8B%D0%B9%20%D0%B2%D0%BE%D0%B7%D1%80%D0%B0%D1%81%D1%82%201981%20%D1%84%D0%B8%D0%BB%D1%8C%D0%BC","искать")</f>
        <v/>
      </c>
      <c r="N285" s="3" t="n"/>
      <c r="O285" s="2" t="n"/>
    </row>
    <row r="286">
      <c r="A286" s="2" t="n">
        <v>285</v>
      </c>
      <c r="B286" s="2" t="inlineStr">
        <is>
          <t>обрыв</t>
        </is>
      </c>
      <c r="C286" s="2" t="n">
        <v>9444</v>
      </c>
      <c r="D286" s="3" t="inlineStr">
        <is>
          <t>Круиз, или Разводное путешествие</t>
        </is>
      </c>
      <c r="E286" s="2" t="n">
        <v>1991</v>
      </c>
      <c r="F286" s="2" t="inlineStr">
        <is>
          <t>кинофильм</t>
        </is>
      </c>
      <c r="G286" s="2" t="n"/>
      <c r="H286" s="2" t="n">
        <v>241</v>
      </c>
      <c r="I286" s="2" t="inlineStr">
        <is>
          <t>да</t>
        </is>
      </c>
      <c r="J286" s="2" t="inlineStr"/>
      <c r="K286" s="3" t="inlineStr">
        <is>
          <t>Забавная история супругов, решивших развестись. На прощание герои отправляются в зарубежный круиз. Море, музыка... Женщина встречает мужчин, претендующих на место в ее прошлом. Это вызывает пылкую ревность мужа - и уснувшая любовь оживает...</t>
        </is>
      </c>
      <c r="L286" s="2" t="inlineStr">
        <is>
          <t>Кино_СССР сводный каталог.xlsx: список фильмов (доп.)</t>
        </is>
      </c>
      <c r="M286" s="2">
        <f>HYPERLINK("https://ru.wikipedia.org/w/index.php?search=%D0%9A%D1%80%D1%83%D0%B8%D0%B7%2C%20%D0%B8%D0%BB%D0%B8%20%D0%A0%D0%B0%D0%B7%D0%B2%D0%BE%D0%B4%D0%BD%D0%BE%D0%B5%20%D0%BF%D1%83%D1%82%D0%B5%D1%88%D0%B5%D1%81%D1%82%D0%B2%D0%B8%D0%B5%201991%20%D1%84%D0%B8%D0%BB%D1%8C%D0%BC","искать")</f>
        <v/>
      </c>
      <c r="N286" s="3" t="n"/>
      <c r="O286" s="2" t="n"/>
    </row>
    <row r="287">
      <c r="A287" s="2" t="n">
        <v>286</v>
      </c>
      <c r="B287" s="2" t="inlineStr">
        <is>
          <t>обрыв</t>
        </is>
      </c>
      <c r="C287" s="2" t="n">
        <v>9483</v>
      </c>
      <c r="D287" s="3" t="inlineStr">
        <is>
          <t>Мы странно встретились</t>
        </is>
      </c>
      <c r="E287" s="2" t="n">
        <v>1990</v>
      </c>
      <c r="F287" s="2" t="inlineStr">
        <is>
          <t>кинофильм</t>
        </is>
      </c>
      <c r="G287" s="2" t="n"/>
      <c r="H287" s="2" t="n">
        <v>241</v>
      </c>
      <c r="I287" s="2" t="inlineStr">
        <is>
          <t>да</t>
        </is>
      </c>
      <c r="J287" s="2" t="inlineStr"/>
      <c r="K287" s="3" t="inlineStr">
        <is>
          <t>Год назад на этой же скамейке они познакомились, он представился Юрой. Ночью Юра бросил Веру, пообещав, что скоро вернется. Теперь, спустя год, он не узнал ее, сказал, что зовут Николаем, затем Алексеем. Но Вера все еще на что-то надеется...</t>
        </is>
      </c>
      <c r="L287" s="2" t="inlineStr">
        <is>
          <t>Кино_СССР сводный каталог.xlsx: список фильмов (доп.)</t>
        </is>
      </c>
      <c r="M287" s="2">
        <f>HYPERLINK("https://ru.wikipedia.org/w/index.php?search=%D0%9C%D1%8B%20%D1%81%D1%82%D1%80%D0%B0%D0%BD%D0%BD%D0%BE%20%D0%B2%D1%81%D1%82%D1%80%D0%B5%D1%82%D0%B8%D0%BB%D0%B8%D1%81%D1%8C%201990%20%D1%84%D0%B8%D0%BB%D1%8C%D0%BC","искать")</f>
        <v/>
      </c>
      <c r="N287" s="3" t="n"/>
      <c r="O287" s="2" t="n"/>
    </row>
    <row r="288">
      <c r="A288" s="2" t="n">
        <v>287</v>
      </c>
      <c r="B288" s="2" t="inlineStr">
        <is>
          <t>обрыв</t>
        </is>
      </c>
      <c r="C288" s="2" t="n">
        <v>9857</v>
      </c>
      <c r="D288" s="3" t="inlineStr">
        <is>
          <t>Берег принцессы Люськи</t>
        </is>
      </c>
      <c r="E288" s="2" t="n">
        <v>1969</v>
      </c>
      <c r="F288" s="2" t="inlineStr">
        <is>
          <t>телефильм</t>
        </is>
      </c>
      <c r="G288" s="2" t="inlineStr">
        <is>
          <t>Беларусьфильм</t>
        </is>
      </c>
      <c r="H288" s="2" t="n">
        <v>241</v>
      </c>
      <c r="I288" s="2" t="inlineStr">
        <is>
          <t>да</t>
        </is>
      </c>
      <c r="J288" s="2" t="inlineStr"/>
      <c r="K288" s="3" t="inlineStr">
        <is>
          <t>Телефильм по одноименному рассказу О.М.Куваева.
В глухом лесу на берегу озера работает небольшая геологическая партия. Из Москвы к ним прилетает студентка-практикантка Люська и, шутя, объявляет себя королевой, а трех ребят - своими рыцарями…</t>
        </is>
      </c>
      <c r="L288" s="2" t="inlineStr">
        <is>
          <t>https://www.kino-teatr.ru/short/movie/sov/84003/annot/</t>
        </is>
      </c>
      <c r="M288" s="2">
        <f>HYPERLINK("https://ru.wikipedia.org/w/index.php?search=%D0%91%D0%B5%D1%80%D0%B5%D0%B3%20%D0%BF%D1%80%D0%B8%D0%BD%D1%86%D0%B5%D1%81%D1%81%D1%8B%20%D0%9B%D1%8E%D1%81%D1%8C%D0%BA%D0%B8%201969%20%D1%84%D0%B8%D0%BB%D1%8C%D0%BC","искать")</f>
        <v/>
      </c>
      <c r="N288" s="3" t="n"/>
      <c r="O288" s="2" t="n"/>
    </row>
    <row r="289">
      <c r="A289" s="2" t="n">
        <v>288</v>
      </c>
      <c r="B289" s="2" t="inlineStr">
        <is>
          <t>обрыв</t>
        </is>
      </c>
      <c r="C289" s="2" t="n">
        <v>9930</v>
      </c>
      <c r="D289" s="3" t="inlineStr">
        <is>
          <t>Ошибка</t>
        </is>
      </c>
      <c r="E289" s="2" t="n">
        <v>1977</v>
      </c>
      <c r="F289" s="2" t="inlineStr">
        <is>
          <t>телефильм</t>
        </is>
      </c>
      <c r="G289" s="2" t="inlineStr">
        <is>
          <t>"Киргизфильм" по заказу Гостелерадио СССР</t>
        </is>
      </c>
      <c r="H289" s="2" t="n">
        <v>241</v>
      </c>
      <c r="I289" s="2" t="inlineStr">
        <is>
          <t>да</t>
        </is>
      </c>
      <c r="J289" s="2" t="inlineStr"/>
      <c r="K289" s="3" t="inlineStr">
        <is>
          <t>По мотивам одноименного рассказа М.Байджиева.
Асанбек хорошо зарабатывает, обеспечивает свою семью, но он безразличен к жене и к ее повседневным заботам. И только ее внезапная болезнь заставляет Асанбека понять, как эгоистично он вел себя...</t>
        </is>
      </c>
      <c r="L289" s="2" t="inlineStr">
        <is>
          <t>https://www.kino-teatr.ru/short/movie/sov/80889/annot/</t>
        </is>
      </c>
      <c r="M289" s="2">
        <f>HYPERLINK("https://ru.wikipedia.org/w/index.php?search=%D0%9E%D1%88%D0%B8%D0%B1%D0%BA%D0%B0%201977%20%D1%84%D0%B8%D0%BB%D1%8C%D0%BC","искать")</f>
        <v/>
      </c>
      <c r="N289" s="3" t="n"/>
      <c r="O289" s="2" t="n"/>
    </row>
    <row r="290">
      <c r="A290" s="2" t="n">
        <v>289</v>
      </c>
      <c r="B290" s="2" t="inlineStr">
        <is>
          <t>обрыв</t>
        </is>
      </c>
      <c r="C290" s="2" t="n">
        <v>10844</v>
      </c>
      <c r="D290" s="3" t="inlineStr">
        <is>
          <t>Заговор Фиеско в Генуе</t>
        </is>
      </c>
      <c r="E290" s="2" t="n">
        <v>1980</v>
      </c>
      <c r="F290" s="2" t="inlineStr">
        <is>
          <t>фильм-спектакль</t>
        </is>
      </c>
      <c r="G290" s="2" t="n"/>
      <c r="H290" s="2" t="n">
        <v>241</v>
      </c>
      <c r="I290" s="2" t="inlineStr">
        <is>
          <t>да</t>
        </is>
      </c>
      <c r="J290" s="2" t="inlineStr"/>
      <c r="K290" s="3" t="inlineStr">
        <is>
          <t>Малый театр. Ф.Шиллер. Место и время событий автор указывает точно - Генуя, 1547 год. Граф Фиеско ди Лаванья должен возглавить восстание против правителя Генуи графа Дории. Но в хаосе, сопровождающем борьбу за власть, гибнут невинные люди...</t>
        </is>
      </c>
      <c r="L290" s="2" t="inlineStr">
        <is>
          <t>https://www.kino-teatr.ru/teatr/movie/81731/annot/</t>
        </is>
      </c>
      <c r="M290" s="2">
        <f>HYPERLINK("https://ru.wikipedia.org/w/index.php?search=%D0%97%D0%B0%D0%B3%D0%BE%D0%B2%D0%BE%D1%80%20%D0%A4%D0%B8%D0%B5%D1%81%D0%BA%D0%BE%20%D0%B2%20%D0%93%D0%B5%D0%BD%D1%83%D0%B5%201980%20%D1%84%D0%B8%D0%BB%D1%8C%D0%BC","искать")</f>
        <v/>
      </c>
      <c r="N290" s="3" t="n"/>
      <c r="O290" s="2" t="n"/>
    </row>
    <row r="291">
      <c r="A291" s="2" t="n">
        <v>290</v>
      </c>
      <c r="B291" s="2" t="inlineStr">
        <is>
          <t>обрыв</t>
        </is>
      </c>
      <c r="C291" s="2" t="n">
        <v>8769</v>
      </c>
      <c r="D291" s="3" t="inlineStr">
        <is>
          <t>Кодекс молчания</t>
        </is>
      </c>
      <c r="E291" s="2" t="n">
        <v>1989</v>
      </c>
      <c r="F291" s="2" t="inlineStr">
        <is>
          <t>кинофильм</t>
        </is>
      </c>
      <c r="G291" s="2" t="n"/>
      <c r="H291" s="2" t="n">
        <v>242</v>
      </c>
      <c r="I291" s="2" t="inlineStr">
        <is>
          <t>да</t>
        </is>
      </c>
      <c r="J291" s="2" t="inlineStr"/>
      <c r="K291" s="3" t="inlineStr">
        <is>
          <t>Названия телеверсии: "На темной стороне Луны", "Обратная сторона Луны" (в четырех сериях). Работник милиции, убедившись в процессе расследования преступления в том, что его непосредственный шеф - мафиози, решается на самостоятельные действия…</t>
        </is>
      </c>
      <c r="L291" s="2" t="inlineStr">
        <is>
          <t>Кино_СССР сводный каталог.xlsx: список фильмов (доп.)</t>
        </is>
      </c>
      <c r="M291" s="2">
        <f>HYPERLINK("https://ru.wikipedia.org/w/index.php?search=%D0%9A%D0%BE%D0%B4%D0%B5%D0%BA%D1%81%20%D0%BC%D0%BE%D0%BB%D1%87%D0%B0%D0%BD%D0%B8%D1%8F%201989%20%D1%84%D0%B8%D0%BB%D1%8C%D0%BC","искать")</f>
        <v/>
      </c>
      <c r="N291" s="3" t="n"/>
      <c r="O291" s="2" t="n"/>
    </row>
    <row r="292">
      <c r="A292" s="2" t="n">
        <v>291</v>
      </c>
      <c r="B292" s="2" t="inlineStr">
        <is>
          <t>обрыв</t>
        </is>
      </c>
      <c r="C292" s="2" t="n">
        <v>9609</v>
      </c>
      <c r="D292" s="3" t="inlineStr">
        <is>
          <t>Работа над ошибками</t>
        </is>
      </c>
      <c r="E292" s="2" t="n">
        <v>1988</v>
      </c>
      <c r="F292" s="2" t="inlineStr">
        <is>
          <t>кинофильм</t>
        </is>
      </c>
      <c r="G292" s="2" t="n"/>
      <c r="H292" s="2" t="n">
        <v>242</v>
      </c>
      <c r="I292" s="2" t="inlineStr">
        <is>
          <t>да</t>
        </is>
      </c>
      <c r="J292" s="2" t="inlineStr"/>
      <c r="K292" s="3" t="inlineStr">
        <is>
          <t>По мотивам повести Юрия Полякова. Молодой журналист Андрей Петрушов, посвятивший много времени поискам пропавшей рукописи репрессированного в 1937 году писателя Пустырева, временно устраивается преподавать русский язык и литературу в школе...</t>
        </is>
      </c>
      <c r="L292" s="2" t="inlineStr">
        <is>
          <t>Кино_СССР сводный каталог.xlsx: список фильмов (доп.)</t>
        </is>
      </c>
      <c r="M292" s="2">
        <f>HYPERLINK("https://ru.wikipedia.org/w/index.php?search=%D0%A0%D0%B0%D0%B1%D0%BE%D1%82%D0%B0%20%D0%BD%D0%B0%D0%B4%20%D0%BE%D1%88%D0%B8%D0%B1%D0%BA%D0%B0%D0%BC%D0%B8%201988%20%D1%84%D0%B8%D0%BB%D1%8C%D0%BC","искать")</f>
        <v/>
      </c>
      <c r="N292" s="3" t="n"/>
      <c r="O292" s="2" t="n"/>
    </row>
    <row r="293">
      <c r="A293" s="2" t="n">
        <v>292</v>
      </c>
      <c r="B293" s="2" t="inlineStr">
        <is>
          <t>обрыв</t>
        </is>
      </c>
      <c r="C293" s="2" t="n">
        <v>9612</v>
      </c>
      <c r="D293" s="3" t="inlineStr">
        <is>
          <t>Райский сад Евы</t>
        </is>
      </c>
      <c r="E293" s="2" t="n">
        <v>1990</v>
      </c>
      <c r="F293" s="2" t="inlineStr">
        <is>
          <t>кинофильм</t>
        </is>
      </c>
      <c r="G293" s="2" t="n"/>
      <c r="H293" s="2" t="n">
        <v>242</v>
      </c>
      <c r="I293" s="2" t="inlineStr">
        <is>
          <t>да</t>
        </is>
      </c>
      <c r="J293" s="2" t="inlineStr"/>
      <c r="K293" s="3" t="inlineStr">
        <is>
          <t>По роману Арвидиса Григулиса "Люди из сада" Латвия, 1939 год. В роскошном саду, принадлежащем вдовцу доктору Бурсу, разыгрывается романтическая любовная история между фокусником Томом и флейтисткой Евой, в которую тайно влюблен хозяин сада...</t>
        </is>
      </c>
      <c r="L293" s="2" t="inlineStr">
        <is>
          <t>Кино_СССР сводный каталог.xlsx: список фильмов (доп.)</t>
        </is>
      </c>
      <c r="M293" s="2">
        <f>HYPERLINK("https://ru.wikipedia.org/w/index.php?search=%D0%A0%D0%B0%D0%B9%D1%81%D0%BA%D0%B8%D0%B9%20%D1%81%D0%B0%D0%B4%20%D0%95%D0%B2%D1%8B%201990%20%D1%84%D0%B8%D0%BB%D1%8C%D0%BC","искать")</f>
        <v/>
      </c>
      <c r="N293" s="3" t="n"/>
      <c r="O293" s="2" t="n"/>
    </row>
    <row r="294">
      <c r="A294" s="2" t="n">
        <v>293</v>
      </c>
      <c r="B294" s="2" t="inlineStr">
        <is>
          <t>обрыв</t>
        </is>
      </c>
      <c r="C294" s="2" t="n">
        <v>8796</v>
      </c>
      <c r="D294" s="3" t="inlineStr">
        <is>
          <t>Лесорубы</t>
        </is>
      </c>
      <c r="E294" s="2" t="n">
        <v>1982</v>
      </c>
      <c r="F294" s="2" t="inlineStr">
        <is>
          <t>кинофильм</t>
        </is>
      </c>
      <c r="G294" s="2" t="n"/>
      <c r="H294" s="2" t="n">
        <v>243</v>
      </c>
      <c r="I294" s="2" t="inlineStr">
        <is>
          <t>да</t>
        </is>
      </c>
      <c r="J294" s="2" t="inlineStr"/>
      <c r="K294" s="3" t="inlineStr">
        <is>
          <t>Фильм поставлен по произведению литовского писателя В.Римкявичюса и рассказывает о буднях лесорубов, которые ищут утешение в водке, что становится причиной многих бед и несчастий. Но у старых лесорубов своя философия и свой взгляд на жизнь....</t>
        </is>
      </c>
      <c r="L294" s="2" t="inlineStr">
        <is>
          <t>Кино_СССР сводный каталог.xlsx: список фильмов (доп.)</t>
        </is>
      </c>
      <c r="M294" s="2">
        <f>HYPERLINK("https://ru.wikipedia.org/w/index.php?search=%D0%9B%D0%B5%D1%81%D0%BE%D1%80%D1%83%D0%B1%D1%8B%201982%20%D1%84%D0%B8%D0%BB%D1%8C%D0%BC","искать")</f>
        <v/>
      </c>
      <c r="N294" s="3" t="n"/>
      <c r="O294" s="2" t="n"/>
    </row>
    <row r="295">
      <c r="A295" s="2" t="n">
        <v>294</v>
      </c>
      <c r="B295" s="2" t="inlineStr">
        <is>
          <t>обрыв</t>
        </is>
      </c>
      <c r="C295" s="2" t="n">
        <v>9746</v>
      </c>
      <c r="D295" s="3" t="inlineStr">
        <is>
          <t>Чаша терпения</t>
        </is>
      </c>
      <c r="E295" s="2" t="n">
        <v>1989</v>
      </c>
      <c r="F295" s="2" t="inlineStr">
        <is>
          <t>кинофильм</t>
        </is>
      </c>
      <c r="G295" s="2" t="n"/>
      <c r="H295" s="2" t="n">
        <v>243</v>
      </c>
      <c r="I295" s="2" t="inlineStr">
        <is>
          <t>да</t>
        </is>
      </c>
      <c r="J295" s="2" t="inlineStr"/>
      <c r="K295" s="3" t="inlineStr">
        <is>
          <t>Охотовед Иван Медников знакомится с молодой, но уже хлебнувшей горя Лизой. Несмотря на большую разницу в возрасте они понимают, что не смогут жить друг без друга. Но разгулявшаяся в заповеднике мафия местных "воротил" помешает счастью Ивана...</t>
        </is>
      </c>
      <c r="L295" s="2" t="inlineStr">
        <is>
          <t>Кино_СССР сводный каталог.xlsx: список фильмов (доп.)</t>
        </is>
      </c>
      <c r="M295" s="2">
        <f>HYPERLINK("https://ru.wikipedia.org/w/index.php?search=%D0%A7%D0%B0%D1%88%D0%B0%20%D1%82%D0%B5%D1%80%D0%BF%D0%B5%D0%BD%D0%B8%D1%8F%201989%20%D1%84%D0%B8%D0%BB%D1%8C%D0%BC","искать")</f>
        <v/>
      </c>
      <c r="N295" s="3" t="n"/>
      <c r="O295" s="2" t="n"/>
    </row>
    <row r="296">
      <c r="A296" s="2" t="n">
        <v>295</v>
      </c>
      <c r="B296" s="2" t="inlineStr">
        <is>
          <t>обрыв</t>
        </is>
      </c>
      <c r="C296" s="2" t="n">
        <v>7353</v>
      </c>
      <c r="D296" s="3" t="inlineStr">
        <is>
          <t>Возвращение</t>
        </is>
      </c>
      <c r="E296" s="2" t="n">
        <v>1987</v>
      </c>
      <c r="F296" s="2" t="inlineStr">
        <is>
          <t>телефильм</t>
        </is>
      </c>
      <c r="G296" s="2" t="n"/>
      <c r="H296" s="2" t="n">
        <v>244</v>
      </c>
      <c r="I296" s="2" t="inlineStr">
        <is>
          <t>да</t>
        </is>
      </c>
      <c r="J296" s="2" t="inlineStr"/>
      <c r="K296" s="3" t="inlineStr">
        <is>
          <t>Сергей Михайлович Сорокин, приезжает в родное село продать свой дом. Встретившись с односельчанами, он многое узнает об их жизни. Сергей Михайлович принимает решение остаться работать в родном совхозе, чтобы навсегда вернуться к родной земле...</t>
        </is>
      </c>
      <c r="L296" s="2" t="inlineStr">
        <is>
          <t>Кино_СССР сводный каталог.xlsx: список телефильмов</t>
        </is>
      </c>
      <c r="M296" s="2">
        <f>HYPERLINK("https://ru.wikipedia.org/w/index.php?search=%D0%92%D0%BE%D0%B7%D0%B2%D1%80%D0%B0%D1%89%D0%B5%D0%BD%D0%B8%D0%B5%201987%20%D1%84%D0%B8%D0%BB%D1%8C%D0%BC","искать")</f>
        <v/>
      </c>
      <c r="N296" s="3" t="n"/>
      <c r="O296" s="2" t="n"/>
    </row>
    <row r="297">
      <c r="A297" s="2" t="n">
        <v>296</v>
      </c>
      <c r="B297" s="2" t="inlineStr">
        <is>
          <t>обрыв</t>
        </is>
      </c>
      <c r="C297" s="2" t="n">
        <v>7580</v>
      </c>
      <c r="D297" s="3" t="inlineStr">
        <is>
          <t>Жаворонки</t>
        </is>
      </c>
      <c r="E297" s="2" t="n">
        <v>1980</v>
      </c>
      <c r="F297" s="2" t="inlineStr">
        <is>
          <t>телефильм</t>
        </is>
      </c>
      <c r="G297" s="2" t="n"/>
      <c r="H297" s="2" t="n">
        <v>244</v>
      </c>
      <c r="I297" s="2" t="inlineStr">
        <is>
          <t>да</t>
        </is>
      </c>
      <c r="J297" s="2" t="inlineStr"/>
      <c r="K297" s="3" t="inlineStr">
        <is>
          <t>Телефильм. Социальная драма по мотивам пьесы Х.Гулбиса. Старая Зельма, одиноко живущая на хуторе, наконец-то решается переехать к сыну в город. Чтобы проститься с родными Жаворонками, в доме последний раз собираются ее дети со своими семьями...</t>
        </is>
      </c>
      <c r="L297" s="2" t="inlineStr">
        <is>
          <t>Кино_СССР сводный каталог.xlsx: список телефильмов</t>
        </is>
      </c>
      <c r="M297" s="2">
        <f>HYPERLINK("https://ru.wikipedia.org/w/index.php?search=%D0%96%D0%B0%D0%B2%D0%BE%D1%80%D0%BE%D0%BD%D0%BA%D0%B8%201980%20%D1%84%D0%B8%D0%BB%D1%8C%D0%BC","искать")</f>
        <v/>
      </c>
      <c r="N297" s="3" t="n"/>
      <c r="O297" s="2" t="n"/>
    </row>
    <row r="298">
      <c r="A298" s="2" t="n">
        <v>297</v>
      </c>
      <c r="B298" s="2" t="inlineStr">
        <is>
          <t>обрыв</t>
        </is>
      </c>
      <c r="C298" s="2" t="n">
        <v>7758</v>
      </c>
      <c r="D298" s="3" t="inlineStr">
        <is>
          <t>Кортик</t>
        </is>
      </c>
      <c r="E298" s="2" t="n">
        <v>1973</v>
      </c>
      <c r="F298" s="2" t="inlineStr">
        <is>
          <t>телефильм</t>
        </is>
      </c>
      <c r="G298" s="2" t="n"/>
      <c r="H298" s="2" t="n">
        <v>244</v>
      </c>
      <c r="I298" s="2" t="inlineStr">
        <is>
          <t>да</t>
        </is>
      </c>
      <c r="J298" s="2" t="inlineStr"/>
      <c r="K298" s="3" t="inlineStr">
        <is>
          <t>Детский приключенческий телефильм по одноименному роману Анатолия Рыбакова. 1921 год. Пионеры пытаются раскрыть тайну морского кортика, хранящего шифрованное послание. Но при этом им приходится то и дело вступать в противостояние с бандитами...</t>
        </is>
      </c>
      <c r="L298" s="2" t="inlineStr">
        <is>
          <t>Кино_СССР сводный каталог.xlsx: список телефильмов</t>
        </is>
      </c>
      <c r="M298" s="2">
        <f>HYPERLINK("https://ru.wikipedia.org/w/index.php?search=%D0%9A%D0%BE%D1%80%D1%82%D0%B8%D0%BA%201973%20%D1%84%D0%B8%D0%BB%D1%8C%D0%BC","искать")</f>
        <v/>
      </c>
      <c r="N298" s="3" t="n"/>
      <c r="O298" s="2" t="n"/>
    </row>
    <row r="299">
      <c r="A299" s="2" t="n">
        <v>298</v>
      </c>
      <c r="B299" s="2" t="inlineStr">
        <is>
          <t>обрыв</t>
        </is>
      </c>
      <c r="C299" s="2" t="n">
        <v>8536</v>
      </c>
      <c r="D299" s="3" t="inlineStr">
        <is>
          <t>Цирк приехал</t>
        </is>
      </c>
      <c r="E299" s="2" t="n">
        <v>1987</v>
      </c>
      <c r="F299" s="2" t="inlineStr">
        <is>
          <t>телефильм</t>
        </is>
      </c>
      <c r="G299" s="2" t="n"/>
      <c r="H299" s="2" t="n">
        <v>244</v>
      </c>
      <c r="I299" s="2" t="inlineStr">
        <is>
          <t>да</t>
        </is>
      </c>
      <c r="J299" s="2" t="inlineStr"/>
      <c r="K299" s="3" t="inlineStr">
        <is>
          <t>По одноименной повести Александра Аронова. В 1927 году в провинциальный городок приезжает частный цирк. Спасаясь от побоев отчима, за кулисы цирка случайно попадает сирота Борька. Здесь он знакомится с мальчиком Сандро и силачом дядей Проней...</t>
        </is>
      </c>
      <c r="L299" s="2" t="inlineStr">
        <is>
          <t>Кино_СССР сводный каталог.xlsx: список телефильмов</t>
        </is>
      </c>
      <c r="M299" s="2">
        <f>HYPERLINK("https://ru.wikipedia.org/w/index.php?search=%D0%A6%D0%B8%D1%80%D0%BA%20%D0%BF%D1%80%D0%B8%D0%B5%D1%85%D0%B0%D0%BB%201987%20%D1%84%D0%B8%D0%BB%D1%8C%D0%BC","искать")</f>
        <v/>
      </c>
      <c r="N299" s="3" t="n"/>
      <c r="O299" s="2" t="n"/>
    </row>
    <row r="300">
      <c r="A300" s="2" t="n">
        <v>299</v>
      </c>
      <c r="B300" s="2" t="inlineStr">
        <is>
          <t>обрыв</t>
        </is>
      </c>
      <c r="C300" s="2" t="n">
        <v>10595</v>
      </c>
      <c r="D300" s="3" t="inlineStr">
        <is>
          <t>Хозяин</t>
        </is>
      </c>
      <c r="E300" s="2" t="n">
        <v>1974</v>
      </c>
      <c r="F300" s="2" t="inlineStr">
        <is>
          <t>фильм-спектакль</t>
        </is>
      </c>
      <c r="G300" s="2" t="inlineStr">
        <is>
          <t>Гл. ред. лит-драм программ</t>
        </is>
      </c>
      <c r="H300" s="2" t="n">
        <v>244</v>
      </c>
      <c r="I300" s="2" t="inlineStr">
        <is>
          <t>да</t>
        </is>
      </c>
      <c r="J300" s="2" t="inlineStr">
        <is>
          <t>да</t>
        </is>
      </c>
      <c r="K300" s="3" t="inlineStr">
        <is>
          <t>По мотивам одноименной повести М.Горького. Непомерно тяжел труд рабочих в пекарне у Василия Семенова, который сам в прошлом был хлебопеком, да выбился в хозяева. И деньги у него есть, и квартальный кланяется, а счастья как не было, так и нет...</t>
        </is>
      </c>
      <c r="L300" s="2" t="inlineStr">
        <is>
          <t>https://www.kino-teatr.ru/teatr/movie/17234/annot/</t>
        </is>
      </c>
      <c r="M300" s="2">
        <f>HYPERLINK("https://ru.wikipedia.org/w/index.php?search=%D0%A5%D0%BE%D0%B7%D1%8F%D0%B8%D0%BD%201974%20%D1%84%D0%B8%D0%BB%D1%8C%D0%BC","искать")</f>
        <v/>
      </c>
      <c r="N300" s="3" t="n"/>
      <c r="O300" s="2" t="n"/>
    </row>
    <row r="301">
      <c r="A301" s="2" t="n">
        <v>300</v>
      </c>
      <c r="B301" s="2" t="inlineStr">
        <is>
          <t>обрыв</t>
        </is>
      </c>
      <c r="C301" s="2" t="n">
        <v>8569</v>
      </c>
      <c r="D301" s="3" t="inlineStr">
        <is>
          <t>Чужая сторона</t>
        </is>
      </c>
      <c r="E301" s="2" t="n">
        <v>1991</v>
      </c>
      <c r="F301" s="2" t="inlineStr">
        <is>
          <t>телефильм</t>
        </is>
      </c>
      <c r="G301" s="2" t="n"/>
      <c r="H301" s="2" t="n">
        <v>245</v>
      </c>
      <c r="I301" s="2" t="inlineStr">
        <is>
          <t>да</t>
        </is>
      </c>
      <c r="J301" s="2" t="inlineStr"/>
      <c r="K301" s="3" t="inlineStr">
        <is>
          <t>Действие фильма разворачивается в ноябре 1982 года, в день кончины Л.И.Брежнева. Иван Чашкин, рабочий из сибирского поселка, спешит на похороны своей матери в Подмосковье. Похороны вождя создают многочисленные препятствия на пути героя фильма...</t>
        </is>
      </c>
      <c r="L301" s="2" t="inlineStr">
        <is>
          <t>Кино_СССР сводный каталог.xlsx: список телефильмов</t>
        </is>
      </c>
      <c r="M301" s="2">
        <f>HYPERLINK("https://ru.wikipedia.org/w/index.php?search=%D0%A7%D1%83%D0%B6%D0%B0%D1%8F%20%D1%81%D1%82%D0%BE%D1%80%D0%BE%D0%BD%D0%B0%201991%20%D1%84%D0%B8%D0%BB%D1%8C%D0%BC","искать")</f>
        <v/>
      </c>
      <c r="N301" s="3" t="n"/>
      <c r="O301" s="2" t="n"/>
    </row>
    <row r="302">
      <c r="A302" s="2" t="n">
        <v>301</v>
      </c>
      <c r="B302" s="2" t="inlineStr">
        <is>
          <t>обрыв</t>
        </is>
      </c>
      <c r="C302" s="2" t="n">
        <v>10839</v>
      </c>
      <c r="D302" s="3" t="inlineStr">
        <is>
          <t>Все кончено</t>
        </is>
      </c>
      <c r="E302" s="2" t="n">
        <v>1980</v>
      </c>
      <c r="F302" s="2" t="inlineStr">
        <is>
          <t>фильм-спектакль</t>
        </is>
      </c>
      <c r="G302" s="2" t="inlineStr">
        <is>
          <t>МХАТ им. Горького и творческое объединение «Экран»</t>
        </is>
      </c>
      <c r="H302" s="2" t="n">
        <v>245</v>
      </c>
      <c r="I302" s="2" t="inlineStr">
        <is>
          <t>да</t>
        </is>
      </c>
      <c r="J302" s="2" t="inlineStr"/>
      <c r="K302" s="3" t="inlineStr">
        <is>
          <t>По пьесе Э.Олби в постановке Московского Художественного академического театра. У постели умирающего миллионера собираются близкие люди. Обычная светская беседа сменяется в эту ночь откровенным разговором. Постепенно выясняется подлинная суть...</t>
        </is>
      </c>
      <c r="L302" s="2" t="inlineStr">
        <is>
          <t>https://www.kino-teatr.ru/teatr/movie/10678/annot/</t>
        </is>
      </c>
      <c r="M302" s="2">
        <f>HYPERLINK("https://ru.wikipedia.org/w/index.php?search=%D0%92%D1%81%D0%B5%20%D0%BA%D0%BE%D0%BD%D1%87%D0%B5%D0%BD%D0%BE%201980%20%D1%84%D0%B8%D0%BB%D1%8C%D0%BC","искать")</f>
        <v/>
      </c>
      <c r="N302" s="3" t="n"/>
      <c r="O302" s="2" t="n"/>
    </row>
    <row r="303">
      <c r="A303" s="2" t="n">
        <v>302</v>
      </c>
      <c r="B303" s="2" t="inlineStr">
        <is>
          <t>обрыв</t>
        </is>
      </c>
      <c r="C303" s="2" t="n">
        <v>9712</v>
      </c>
      <c r="D303" s="3" t="inlineStr">
        <is>
          <t>Умирать не страшно</t>
        </is>
      </c>
      <c r="E303" s="2" t="n">
        <v>1991</v>
      </c>
      <c r="F303" s="2" t="inlineStr">
        <is>
          <t>кинофильм</t>
        </is>
      </c>
      <c r="G303" s="2" t="n"/>
      <c r="H303" s="2" t="n">
        <v>246</v>
      </c>
      <c r="I303" s="2" t="inlineStr">
        <is>
          <t>да</t>
        </is>
      </c>
      <c r="J303" s="2" t="inlineStr"/>
      <c r="K303" s="3" t="inlineStr">
        <is>
          <t>Трагическая история семьи русских интеллигентов, репрессированной в 1935 году. Ксению, мать малолетних детей, принуждают стать осведомителем. Несмотря на угрозы и откровенные издевательства, она отказывается и, тем самым, выносит себе приговор...</t>
        </is>
      </c>
      <c r="L303" s="2" t="inlineStr">
        <is>
          <t>Кино_СССР сводный каталог.xlsx: список фильмов (доп.)</t>
        </is>
      </c>
      <c r="M303" s="2">
        <f>HYPERLINK("https://ru.wikipedia.org/w/index.php?search=%D0%A3%D0%BC%D0%B8%D1%80%D0%B0%D1%82%D1%8C%20%D0%BD%D0%B5%20%D1%81%D1%82%D1%80%D0%B0%D1%88%D0%BD%D0%BE%201991%20%D1%84%D0%B8%D0%BB%D1%8C%D0%BC","искать")</f>
        <v/>
      </c>
      <c r="N303" s="3" t="n"/>
      <c r="O303" s="2" t="n"/>
    </row>
    <row r="304">
      <c r="A304" s="2" t="n">
        <v>303</v>
      </c>
      <c r="B304" s="2" t="inlineStr">
        <is>
          <t>обрыв</t>
        </is>
      </c>
      <c r="C304" s="2" t="n">
        <v>9757</v>
      </c>
      <c r="D304" s="3" t="inlineStr">
        <is>
          <t>Чокнутые</t>
        </is>
      </c>
      <c r="E304" s="2" t="n">
        <v>1991</v>
      </c>
      <c r="F304" s="2" t="inlineStr">
        <is>
          <t>кинофильм</t>
        </is>
      </c>
      <c r="G304" s="2" t="n"/>
      <c r="H304" s="2" t="n">
        <v>246</v>
      </c>
      <c r="I304" s="2" t="inlineStr">
        <is>
          <t>да</t>
        </is>
      </c>
      <c r="J304" s="2" t="inlineStr"/>
      <c r="K304" s="3" t="inlineStr">
        <is>
          <t>Впервые Петербург и Царское Село соединит железная дорога. Трудно представить, что когда-то этого могло не быть! Инициатор строительства - австрийский инженер Отто фон Герстнер, приехав в Россию, наталкивается на массу сложностей и препятствий...</t>
        </is>
      </c>
      <c r="L304" s="2" t="inlineStr">
        <is>
          <t>Кино_СССР сводный каталог.xlsx: список фильмов (доп.)</t>
        </is>
      </c>
      <c r="M304" s="2">
        <f>HYPERLINK("https://ru.wikipedia.org/w/index.php?search=%D0%A7%D0%BE%D0%BA%D0%BD%D1%83%D1%82%D1%8B%D0%B5%201991%20%D1%84%D0%B8%D0%BB%D1%8C%D0%BC","искать")</f>
        <v/>
      </c>
      <c r="N304" s="3" t="n"/>
      <c r="O304" s="2" t="n"/>
    </row>
    <row r="305">
      <c r="A305" s="2" t="n">
        <v>304</v>
      </c>
      <c r="B305" s="2" t="inlineStr">
        <is>
          <t>обрыв</t>
        </is>
      </c>
      <c r="C305" s="2" t="n">
        <v>9205</v>
      </c>
      <c r="D305" s="3" t="inlineStr">
        <is>
          <t>Арифметика убийства</t>
        </is>
      </c>
      <c r="E305" s="2" t="n">
        <v>1991</v>
      </c>
      <c r="F305" s="2" t="inlineStr">
        <is>
          <t>кинофильм</t>
        </is>
      </c>
      <c r="G305" s="2" t="n"/>
      <c r="H305" s="2" t="n">
        <v>247</v>
      </c>
      <c r="I305" s="2" t="inlineStr">
        <is>
          <t>да</t>
        </is>
      </c>
      <c r="J305" s="2" t="inlineStr"/>
      <c r="K305" s="3" t="inlineStr">
        <is>
          <t>В мрачной питерской коммунальной квартире убит человек - местный хулиган и алкоголик. Каждый из жильцов его ненавидел по-своему, и у каждого был свой мотив для преступления. Но у всех железное алиби. Помогать следователю берется местный инвалид...</t>
        </is>
      </c>
      <c r="L305" s="2" t="inlineStr">
        <is>
          <t>Кино_СССР сводный каталог.xlsx: список фильмов (доп.)</t>
        </is>
      </c>
      <c r="M305" s="2">
        <f>HYPERLINK("https://ru.wikipedia.org/w/index.php?search=%D0%90%D1%80%D0%B8%D1%84%D0%BC%D0%B5%D1%82%D0%B8%D0%BA%D0%B0%20%D1%83%D0%B1%D0%B8%D0%B9%D1%81%D1%82%D0%B2%D0%B0%201991%20%D1%84%D0%B8%D0%BB%D1%8C%D0%BC","искать")</f>
        <v/>
      </c>
      <c r="N305" s="3" t="n"/>
      <c r="O305" s="2" t="n"/>
    </row>
    <row r="306">
      <c r="A306" s="2" t="n">
        <v>305</v>
      </c>
      <c r="B306" s="2" t="inlineStr">
        <is>
          <t>обрыв</t>
        </is>
      </c>
      <c r="C306" s="2" t="n">
        <v>7361</v>
      </c>
      <c r="D306" s="3" t="inlineStr">
        <is>
          <t>Война на западном направлении</t>
        </is>
      </c>
      <c r="E306" s="2" t="n">
        <v>1990</v>
      </c>
      <c r="F306" s="2" t="inlineStr">
        <is>
          <t>телефильм</t>
        </is>
      </c>
      <c r="G306" s="2" t="inlineStr">
        <is>
          <t>Киностудия имени А. Довженко, Творческое объединение «Луч»</t>
        </is>
      </c>
      <c r="H306" s="2" t="n">
        <v>248</v>
      </c>
      <c r="I306" s="2" t="inlineStr">
        <is>
          <t>да</t>
        </is>
      </c>
      <c r="J306" s="2" t="inlineStr"/>
      <c r="K306" s="3" t="inlineStr">
        <is>
          <t>Телесериал по мотивам одноимённого романа Ивана Стаднюка. Летом 1941 года генерал-майор Фёдор Чумаков был назначен командующим гарнизона на западной границе СССР. Но начинается война, после недолгих боёв гарнизон Чумакова оказывается в окружении...</t>
        </is>
      </c>
      <c r="L306" s="2" t="inlineStr">
        <is>
          <t>Кино_СССР сводный каталог.xlsx: список телефильмов</t>
        </is>
      </c>
      <c r="M306" s="2">
        <f>HYPERLINK("https://ru.wikipedia.org/w/index.php?search=%D0%92%D0%BE%D0%B9%D0%BD%D0%B0%20%D0%BD%D0%B0%20%D0%B7%D0%B0%D0%BF%D0%B0%D0%B4%D0%BD%D0%BE%D0%BC%20%D0%BD%D0%B0%D0%BF%D1%80%D0%B0%D0%B2%D0%BB%D0%B5%D0%BD%D0%B8%D0%B8%201990%20%D1%84%D0%B8%D0%BB%D1%8C%D0%BC","искать")</f>
        <v/>
      </c>
      <c r="N306" s="3" t="n"/>
      <c r="O306" s="2" t="n"/>
    </row>
    <row r="307">
      <c r="A307" s="2" t="n">
        <v>306</v>
      </c>
      <c r="B307" s="2" t="inlineStr">
        <is>
          <t>обрыв</t>
        </is>
      </c>
      <c r="C307" s="2" t="n">
        <v>7853</v>
      </c>
      <c r="D307" s="3" t="inlineStr">
        <is>
          <t>Марюс</t>
        </is>
      </c>
      <c r="E307" s="2" t="n">
        <v>1990</v>
      </c>
      <c r="F307" s="2" t="inlineStr">
        <is>
          <t>телефильм</t>
        </is>
      </c>
      <c r="G307" s="2" t="n"/>
      <c r="H307" s="2" t="n">
        <v>248</v>
      </c>
      <c r="I307" s="2" t="inlineStr">
        <is>
          <t>да</t>
        </is>
      </c>
      <c r="J307" s="2" t="inlineStr"/>
      <c r="K307" s="3" t="inlineStr">
        <is>
          <t>По мотивам исторического романа Казиса Альменаса "Сенокос". Литва, первая половина XVIII века. Молодого героя — незаконнорожденного, отвергнутого своим родом и вынужденного самостоятельно пробивать дорогу в жизни — ждут захватывающие приключения...</t>
        </is>
      </c>
      <c r="L307" s="2" t="inlineStr">
        <is>
          <t>Кино_СССР сводный каталог.xlsx: список телефильмов</t>
        </is>
      </c>
      <c r="M307" s="2">
        <f>HYPERLINK("https://ru.wikipedia.org/w/index.php?search=%D0%9C%D0%B0%D1%80%D1%8E%D1%81%201990%20%D1%84%D0%B8%D0%BB%D1%8C%D0%BC","искать")</f>
        <v/>
      </c>
      <c r="N307" s="3" t="n"/>
      <c r="O307" s="2" t="n"/>
    </row>
    <row r="308">
      <c r="A308" s="2" t="n">
        <v>307</v>
      </c>
      <c r="B308" s="2" t="inlineStr">
        <is>
          <t>обрыв</t>
        </is>
      </c>
      <c r="C308" s="2" t="n">
        <v>8530</v>
      </c>
      <c r="D308" s="3" t="inlineStr">
        <is>
          <t>Хроника одного лета</t>
        </is>
      </c>
      <c r="E308" s="2" t="n">
        <v>1984</v>
      </c>
      <c r="F308" s="2" t="inlineStr">
        <is>
          <t>телефильм</t>
        </is>
      </c>
      <c r="G308" s="2" t="inlineStr">
        <is>
          <t>ТО «Экран»</t>
        </is>
      </c>
      <c r="H308" s="2" t="n">
        <v>248</v>
      </c>
      <c r="I308" s="2" t="inlineStr">
        <is>
          <t>да</t>
        </is>
      </c>
      <c r="J308" s="2" t="inlineStr"/>
      <c r="K308" s="3" t="inlineStr">
        <is>
          <t>Председатель райисполкома Владимир Иванович Колесников по-хозяйски, принципиально решает важные вопросы. Среди них - целесообразность строительства в районе крупного молочного комбината, решительная борьба со злоупотреблениями в системе торговли...</t>
        </is>
      </c>
      <c r="L308" s="2" t="inlineStr">
        <is>
          <t>Кино_СССР сводный каталог.xlsx: список телефильмов</t>
        </is>
      </c>
      <c r="M308" s="2">
        <f>HYPERLINK("https://ru.wikipedia.org/w/index.php?search=%D0%A5%D1%80%D0%BE%D0%BD%D0%B8%D0%BA%D0%B0%20%D0%BE%D0%B4%D0%BD%D0%BE%D0%B3%D0%BE%20%D0%BB%D0%B5%D1%82%D0%B0%201984%20%D1%84%D0%B8%D0%BB%D1%8C%D0%BC","искать")</f>
        <v/>
      </c>
      <c r="N308" s="3" t="n"/>
      <c r="O308" s="2" t="n"/>
    </row>
    <row r="309">
      <c r="A309" s="2" t="n">
        <v>308</v>
      </c>
      <c r="B309" s="2" t="inlineStr">
        <is>
          <t>обрыв</t>
        </is>
      </c>
      <c r="C309" s="2" t="n">
        <v>8701</v>
      </c>
      <c r="D309" s="3" t="inlineStr">
        <is>
          <t>Дина</t>
        </is>
      </c>
      <c r="E309" s="2" t="n">
        <v>1991</v>
      </c>
      <c r="F309" s="2" t="inlineStr">
        <is>
          <t>кинофильм</t>
        </is>
      </c>
      <c r="G309" s="2" t="n"/>
      <c r="H309" s="2" t="n">
        <v>248</v>
      </c>
      <c r="I309" s="2" t="inlineStr">
        <is>
          <t>да</t>
        </is>
      </c>
      <c r="J309" s="2" t="inlineStr"/>
      <c r="K309" s="3" t="inlineStr">
        <is>
          <t>Современная девушка одержима видениями из эпохи гражданской войны. После загадочного исчезновения ее отца, уездного врача, Дину по ночам посещает призрак и предсказывает несчастье односельчанам. Героиня пытается предостеречь беду, но ей не верят...</t>
        </is>
      </c>
      <c r="L309" s="2" t="inlineStr">
        <is>
          <t>Кино_СССР сводный каталог.xlsx: список фильмов (доп.)</t>
        </is>
      </c>
      <c r="M309" s="2">
        <f>HYPERLINK("https://ru.wikipedia.org/w/index.php?search=%D0%94%D0%B8%D0%BD%D0%B0%201991%20%D1%84%D0%B8%D0%BB%D1%8C%D0%BC","искать")</f>
        <v/>
      </c>
      <c r="N309" s="3" t="n"/>
      <c r="O309" s="2" t="n"/>
    </row>
    <row r="310">
      <c r="A310" s="2" t="n">
        <v>309</v>
      </c>
      <c r="B310" s="2" t="inlineStr">
        <is>
          <t>обрыв</t>
        </is>
      </c>
      <c r="C310" s="2" t="n">
        <v>8739</v>
      </c>
      <c r="D310" s="3" t="inlineStr">
        <is>
          <t>Зохре и Тахир</t>
        </is>
      </c>
      <c r="E310" s="2" t="n">
        <v>1991</v>
      </c>
      <c r="F310" s="2" t="inlineStr">
        <is>
          <t>кинофильм</t>
        </is>
      </c>
      <c r="G310" s="2" t="n"/>
      <c r="H310" s="2" t="n">
        <v>248</v>
      </c>
      <c r="I310" s="2" t="inlineStr">
        <is>
          <t>да</t>
        </is>
      </c>
      <c r="J310" s="2" t="inlineStr"/>
      <c r="K310" s="3" t="inlineStr">
        <is>
          <t>По мотивам восточных легенд. История трагической любви молодых людей, которым нет места в жестоком мире. Дочь шаха Зохре и сын визиря Тахир не смогли соединить свои судьбы, они погибли в неравной схватке с циничными, корыстолюбивыми царедворцами...</t>
        </is>
      </c>
      <c r="L310" s="2" t="inlineStr">
        <is>
          <t>Кино_СССР сводный каталог.xlsx: список фильмов (доп.)</t>
        </is>
      </c>
      <c r="M310" s="2">
        <f>HYPERLINK("https://ru.wikipedia.org/w/index.php?search=%D0%97%D0%BE%D1%85%D1%80%D0%B5%20%D0%B8%20%D0%A2%D0%B0%D1%85%D0%B8%D1%80%201991%20%D1%84%D0%B8%D0%BB%D1%8C%D0%BC","искать")</f>
        <v/>
      </c>
      <c r="N310" s="3" t="n"/>
      <c r="O310" s="2" t="n"/>
    </row>
    <row r="311">
      <c r="A311" s="2" t="n">
        <v>310</v>
      </c>
      <c r="B311" s="2" t="inlineStr">
        <is>
          <t>обрыв</t>
        </is>
      </c>
      <c r="C311" s="2" t="n">
        <v>7418</v>
      </c>
      <c r="D311" s="3" t="inlineStr">
        <is>
          <t>Выбор</t>
        </is>
      </c>
      <c r="E311" s="2" t="n">
        <v>1975</v>
      </c>
      <c r="F311" s="2" t="inlineStr">
        <is>
          <t>телефильм</t>
        </is>
      </c>
      <c r="G311" s="2" t="inlineStr">
        <is>
          <t>Казахфильм</t>
        </is>
      </c>
      <c r="H311" s="2" t="n">
        <v>249</v>
      </c>
      <c r="I311" s="2" t="inlineStr">
        <is>
          <t>да</t>
        </is>
      </c>
      <c r="J311" s="2" t="inlineStr"/>
      <c r="K311" s="3" t="inlineStr">
        <is>
          <t>Телефильм. Егерь Макен, принципиальный и неподкупный, выслеживает браконьеров. Преступникам ясно, что ни на какой компромисс с советью егерь не пойдет, и, не подозревая о том, что сюда уже спешит доблестная милиция, решают избавиться от свидетеля...</t>
        </is>
      </c>
      <c r="L311" s="2" t="inlineStr">
        <is>
          <t>Кино_СССР сводный каталог.xlsx: список телефильмов</t>
        </is>
      </c>
      <c r="M311" s="2">
        <f>HYPERLINK("https://ru.wikipedia.org/w/index.php?search=%D0%92%D1%8B%D0%B1%D0%BE%D1%80%201975%20%D1%84%D0%B8%D0%BB%D1%8C%D0%BC","искать")</f>
        <v/>
      </c>
      <c r="N311" s="3" t="n"/>
      <c r="O311" s="2" t="n"/>
    </row>
    <row r="312">
      <c r="A312" s="2" t="n">
        <v>311</v>
      </c>
      <c r="B312" s="2" t="inlineStr">
        <is>
          <t>обрыв</t>
        </is>
      </c>
      <c r="C312" s="2" t="n">
        <v>8016</v>
      </c>
      <c r="D312" s="3" t="inlineStr">
        <is>
          <t>О бедном гусаре замолвите слово</t>
        </is>
      </c>
      <c r="E312" s="2" t="n">
        <v>1980</v>
      </c>
      <c r="F312" s="2" t="inlineStr">
        <is>
          <t>телефильм</t>
        </is>
      </c>
      <c r="G312" s="2" t="inlineStr">
        <is>
          <t>Мосфильм</t>
        </is>
      </c>
      <c r="H312" s="2" t="n">
        <v>249</v>
      </c>
      <c r="I312" s="2" t="inlineStr">
        <is>
          <t>да</t>
        </is>
      </c>
      <c r="J312" s="2" t="inlineStr"/>
      <c r="K312" s="3" t="inlineStr">
        <is>
          <t>Телефильм. Вступление гусарского полка в небольшой городок всколыхнуло его жизнь. Любовь корнета Плетнёва к юной актрисе Настеньке неожиданно переплетается с интригой петербургского чиновника Мерзляева, приехавшего проверить благонадёжность гусар...</t>
        </is>
      </c>
      <c r="L312" s="2" t="inlineStr">
        <is>
          <t>Кино_СССР сводный каталог.xlsx: список телефильмов</t>
        </is>
      </c>
      <c r="M312" s="2">
        <f>HYPERLINK("https://ru.wikipedia.org/w/index.php?search=%D0%9E%20%D0%B1%D0%B5%D0%B4%D0%BD%D0%BE%D0%BC%20%D0%B3%D1%83%D1%81%D0%B0%D1%80%D0%B5%20%D0%B7%D0%B0%D0%BC%D0%BE%D0%BB%D0%B2%D0%B8%D1%82%D0%B5%20%D1%81%D0%BB%D0%BE%D0%B2%D0%BE%201980%20%D1%84%D0%B8%D0%BB%D1%8C%D0%BC","искать")</f>
        <v/>
      </c>
      <c r="N312" s="3" t="n"/>
      <c r="O312" s="2" t="n"/>
    </row>
    <row r="313">
      <c r="A313" s="2" t="n">
        <v>312</v>
      </c>
      <c r="B313" s="2" t="inlineStr">
        <is>
          <t>обрыв</t>
        </is>
      </c>
      <c r="C313" s="2" t="n">
        <v>8074</v>
      </c>
      <c r="D313" s="3" t="inlineStr">
        <is>
          <t>Очень скучная история</t>
        </is>
      </c>
      <c r="E313" s="2" t="n">
        <v>1988</v>
      </c>
      <c r="F313" s="2" t="inlineStr">
        <is>
          <t>телефильм</t>
        </is>
      </c>
      <c r="G313" s="2" t="inlineStr">
        <is>
          <t>Азербайджанфильм</t>
        </is>
      </c>
      <c r="H313" s="2" t="n">
        <v>249</v>
      </c>
      <c r="I313" s="2" t="inlineStr">
        <is>
          <t>да</t>
        </is>
      </c>
      <c r="J313" s="2" t="inlineStr"/>
      <c r="K313" s="3" t="inlineStr">
        <is>
          <t>Телефильм. Сыновья уехали в город и за повседневными делами совсем забыли о своих стареющих родителях, оставшихся в селе. Лишь известие о болезни отца заставляет их собраться в родном доме и почувствовать, насколько они близки и дороги друг другу...</t>
        </is>
      </c>
      <c r="L313" s="2" t="inlineStr">
        <is>
          <t>Кино_СССР сводный каталог.xlsx: список телефильмов</t>
        </is>
      </c>
      <c r="M313" s="2">
        <f>HYPERLINK("https://ru.wikipedia.org/w/index.php?search=%D0%9E%D1%87%D0%B5%D0%BD%D1%8C%20%D1%81%D0%BA%D1%83%D1%87%D0%BD%D0%B0%D1%8F%20%D0%B8%D1%81%D1%82%D0%BE%D1%80%D0%B8%D1%8F%201988%20%D1%84%D0%B8%D0%BB%D1%8C%D0%BC","искать")</f>
        <v/>
      </c>
      <c r="N313" s="3" t="n"/>
      <c r="O313" s="2" t="n"/>
    </row>
    <row r="314">
      <c r="A314" s="2" t="n">
        <v>313</v>
      </c>
      <c r="B314" s="2" t="inlineStr">
        <is>
          <t>обрыв</t>
        </is>
      </c>
      <c r="C314" s="2" t="n">
        <v>9190</v>
      </c>
      <c r="D314" s="3" t="inlineStr">
        <is>
          <t>Я объявляю вам войну</t>
        </is>
      </c>
      <c r="E314" s="2" t="n">
        <v>1990</v>
      </c>
      <c r="F314" s="2" t="inlineStr">
        <is>
          <t>кинофильм</t>
        </is>
      </c>
      <c r="G314" s="2" t="n"/>
      <c r="H314" s="2" t="n">
        <v>249</v>
      </c>
      <c r="I314" s="2" t="inlineStr">
        <is>
          <t>да</t>
        </is>
      </c>
      <c r="J314" s="2" t="inlineStr"/>
      <c r="K314" s="3" t="inlineStr">
        <is>
          <t>Отслужив в Афганистане, офицер Ерохин возвращается в родной город и надеется на спокойную жизнь. Однако профессиональный опыт подсказывает ему, что и здесь все погрязло в коррупции. Получив поддержку друзей, Ерохин вступает в борьбу с преступниками…</t>
        </is>
      </c>
      <c r="L314" s="2" t="inlineStr">
        <is>
          <t>Кино_СССР сводный каталог.xlsx: список фильмов (доп.)</t>
        </is>
      </c>
      <c r="M314" s="2">
        <f>HYPERLINK("https://ru.wikipedia.org/w/index.php?search=%D0%AF%20%D0%BE%D0%B1%D1%8A%D1%8F%D0%B2%D0%BB%D1%8F%D1%8E%20%D0%B2%D0%B0%D0%BC%20%D0%B2%D0%BE%D0%B9%D0%BD%D1%83%201990%20%D1%84%D0%B8%D0%BB%D1%8C%D0%BC","искать")</f>
        <v/>
      </c>
      <c r="N314" s="3" t="n"/>
      <c r="O314" s="2" t="n"/>
    </row>
    <row r="315">
      <c r="A315" s="2" t="n">
        <v>314</v>
      </c>
      <c r="B315" s="2" t="inlineStr">
        <is>
          <t>обрыв</t>
        </is>
      </c>
      <c r="C315" s="2" t="n">
        <v>9489</v>
      </c>
      <c r="D315" s="3" t="inlineStr">
        <is>
          <t>Наваждение</t>
        </is>
      </c>
      <c r="E315" s="2" t="n">
        <v>1989</v>
      </c>
      <c r="F315" s="2" t="inlineStr">
        <is>
          <t>кинофильм</t>
        </is>
      </c>
      <c r="G315" s="2" t="n"/>
      <c r="H315" s="2" t="n">
        <v>249</v>
      </c>
      <c r="I315" s="2" t="inlineStr">
        <is>
          <t>да</t>
        </is>
      </c>
      <c r="J315" s="2" t="inlineStr"/>
      <c r="K315" s="3" t="inlineStr">
        <is>
          <t>Боксер Геннадий Стахов приходит к своей невесте - десятикласснице Майе, чтобы познакомиться с ее родителями. Но там встречает Лиду, старшую сестру Майи, с которой у него когда-то был роман. И теперь успехи и неудачи боксера во власти старой любви...</t>
        </is>
      </c>
      <c r="L315" s="2" t="inlineStr">
        <is>
          <t>Кино_СССР сводный каталог.xlsx: список фильмов (доп.)</t>
        </is>
      </c>
      <c r="M315" s="2">
        <f>HYPERLINK("https://ru.wikipedia.org/w/index.php?search=%D0%9D%D0%B0%D0%B2%D0%B0%D0%B6%D0%B4%D0%B5%D0%BD%D0%B8%D0%B5%201989%20%D1%84%D0%B8%D0%BB%D1%8C%D0%BC","искать")</f>
        <v/>
      </c>
      <c r="N315" s="3" t="n"/>
      <c r="O315" s="2" t="n"/>
    </row>
    <row r="316">
      <c r="A316" s="2" t="n">
        <v>315</v>
      </c>
      <c r="B316" s="2" t="inlineStr">
        <is>
          <t>обрыв</t>
        </is>
      </c>
      <c r="C316" s="2" t="n">
        <v>7254</v>
      </c>
      <c r="D316" s="3" t="inlineStr">
        <is>
          <t>Беспокойное лето</t>
        </is>
      </c>
      <c r="E316" s="2" t="n">
        <v>1981</v>
      </c>
      <c r="F316" s="2" t="inlineStr">
        <is>
          <t>телефильм</t>
        </is>
      </c>
      <c r="G316" s="2" t="n"/>
      <c r="H316" s="2" t="n">
        <v>252</v>
      </c>
      <c r="I316" s="2" t="inlineStr">
        <is>
          <t>да</t>
        </is>
      </c>
      <c r="J316" s="2" t="inlineStr"/>
      <c r="K316" s="3" t="inlineStr">
        <is>
          <t>Телефильм по мотивам повести Евгения Шатько "Эти жаркие заволжские дни". Двенадцатилетний Коля узнает, что мама выходит замуж. Мальчик не может примириться с мыслью, что дядя, который ему совсем не нравится, будет его отцом. Коля решает уйти из дома...</t>
        </is>
      </c>
      <c r="L316" s="2" t="inlineStr">
        <is>
          <t>Кино_СССР сводный каталог.xlsx: список телефильмов</t>
        </is>
      </c>
      <c r="M316" s="2">
        <f>HYPERLINK("https://ru.wikipedia.org/w/index.php?search=%D0%91%D0%B5%D1%81%D0%BF%D0%BE%D0%BA%D0%BE%D0%B9%D0%BD%D0%BE%D0%B5%20%D0%BB%D0%B5%D1%82%D0%BE%201981%20%D1%84%D0%B8%D0%BB%D1%8C%D0%BC","искать")</f>
        <v/>
      </c>
      <c r="N316" s="3" t="n"/>
      <c r="O316" s="2" t="n"/>
    </row>
    <row r="317">
      <c r="A317" s="2" t="n">
        <v>316</v>
      </c>
      <c r="B317" s="2" t="inlineStr">
        <is>
          <t>обрыв</t>
        </is>
      </c>
      <c r="C317" s="2" t="n">
        <v>7724</v>
      </c>
      <c r="D317" s="3" t="inlineStr">
        <is>
          <t>Качели</t>
        </is>
      </c>
      <c r="E317" s="2" t="n">
        <v>1970</v>
      </c>
      <c r="F317" s="2" t="inlineStr">
        <is>
          <t>телефильм</t>
        </is>
      </c>
      <c r="G317" s="2" t="n"/>
      <c r="H317" s="2" t="n">
        <v>252</v>
      </c>
      <c r="I317" s="2" t="inlineStr">
        <is>
          <t>да</t>
        </is>
      </c>
      <c r="J317" s="2" t="inlineStr"/>
      <c r="K317" s="3" t="inlineStr">
        <is>
          <t>Мать с двумя дочерьми приезжает к сестре умершего мужа на Рижское взморье. Здесь она встречает мужчину своей мечты. Но ситуация осложняется тем, что старшая дочь, испытав горькое разочарование в любимом человеке, противится сближению матери и Иманта...</t>
        </is>
      </c>
      <c r="L317" s="2" t="inlineStr">
        <is>
          <t>Кино_СССР сводный каталог.xlsx: список телефильмов</t>
        </is>
      </c>
      <c r="M317" s="2">
        <f>HYPERLINK("https://ru.wikipedia.org/w/index.php?search=%D0%9A%D0%B0%D1%87%D0%B5%D0%BB%D0%B8%201970%20%D1%84%D0%B8%D0%BB%D1%8C%D0%BC","искать")</f>
        <v/>
      </c>
      <c r="N317" s="3" t="n"/>
      <c r="O317" s="2" t="n"/>
    </row>
    <row r="318">
      <c r="A318" s="2" t="n">
        <v>317</v>
      </c>
      <c r="B318" s="2" t="inlineStr">
        <is>
          <t>обрыв</t>
        </is>
      </c>
      <c r="C318" s="2" t="n">
        <v>11176</v>
      </c>
      <c r="D318" s="3" t="inlineStr">
        <is>
          <t>Он приехал в день поминовения</t>
        </is>
      </c>
      <c r="E318" s="2" t="n">
        <v>1987</v>
      </c>
      <c r="F318" s="2" t="inlineStr">
        <is>
          <t>фильм-спектакль</t>
        </is>
      </c>
      <c r="G318" s="2" t="inlineStr">
        <is>
          <t>Ленинградское ТВ</t>
        </is>
      </c>
      <c r="H318" s="2" t="n">
        <v>252</v>
      </c>
      <c r="I318" s="2" t="inlineStr">
        <is>
          <t>да</t>
        </is>
      </c>
      <c r="J318" s="2" t="inlineStr"/>
      <c r="K318" s="3" t="inlineStr">
        <is>
          <t>По одноименному роману Жоржа Сименона (перевод Ю. Корнеева).
Девятнадцатилетний Жиль Мовуазен, сын известных артистов мюзик-холла, внезапно становится сиротой. Чтобы сохранить внутренюю свободу, наследник отказывается от соблазнов обеспеченной жизни...</t>
        </is>
      </c>
      <c r="L318" s="2" t="inlineStr">
        <is>
          <t>https://www.kino-teatr.ru/teatr/movie/15888/annot/</t>
        </is>
      </c>
      <c r="M318" s="2">
        <f>HYPERLINK("https://ru.wikipedia.org/w/index.php?search=%D0%9E%D0%BD%20%D0%BF%D1%80%D0%B8%D0%B5%D1%85%D0%B0%D0%BB%20%D0%B2%20%D0%B4%D0%B5%D0%BD%D1%8C%20%D0%BF%D0%BE%D0%BC%D0%B8%D0%BD%D0%BE%D0%B2%D0%B5%D0%BD%D0%B8%D1%8F%201987%20%D1%84%D0%B8%D0%BB%D1%8C%D0%BC","искать")</f>
        <v/>
      </c>
      <c r="N318" s="3" t="n"/>
      <c r="O318" s="2" t="n"/>
    </row>
    <row r="319">
      <c r="A319" s="2" t="n">
        <v>318</v>
      </c>
      <c r="B319" s="2" t="inlineStr">
        <is>
          <t>обрыв</t>
        </is>
      </c>
      <c r="C319" s="2" t="n">
        <v>8177</v>
      </c>
      <c r="D319" s="3" t="inlineStr">
        <is>
          <t>Похищение</t>
        </is>
      </c>
      <c r="E319" s="2" t="n">
        <v>1969</v>
      </c>
      <c r="F319" s="2" t="inlineStr">
        <is>
          <t>телефильм</t>
        </is>
      </c>
      <c r="G319" s="2" t="inlineStr">
        <is>
          <t>Творческое объединение «Экран»; Центральное телевидение</t>
        </is>
      </c>
      <c r="H319" s="2" t="n">
        <v>253</v>
      </c>
      <c r="I319" s="2" t="inlineStr">
        <is>
          <t>да</t>
        </is>
      </c>
      <c r="J319" s="2" t="inlineStr"/>
      <c r="K319" s="3" t="inlineStr">
        <is>
          <t>В пожарной части готовятся к встрече Нового года. Трое активистов xудожественной самодеятельности решают поxитить для новогоднего концерта профессиональныx артистов. Капитан милиции расследует поxищение и выслушивает жалобы от "непоxищенныx" артистов...</t>
        </is>
      </c>
      <c r="L319" s="2" t="inlineStr">
        <is>
          <t>Кино_СССР сводный каталог.xlsx: список телефильмов</t>
        </is>
      </c>
      <c r="M319" s="2">
        <f>HYPERLINK("https://ru.wikipedia.org/w/index.php?search=%D0%9F%D0%BE%D1%85%D0%B8%D1%89%D0%B5%D0%BD%D0%B8%D0%B5%201969%20%D1%84%D0%B8%D0%BB%D1%8C%D0%BC","искать")</f>
        <v/>
      </c>
      <c r="N319" s="3" t="n"/>
      <c r="O319" s="2" t="n"/>
    </row>
    <row r="320">
      <c r="A320" s="2" t="n">
        <v>319</v>
      </c>
      <c r="B320" s="2" t="inlineStr">
        <is>
          <t>обрыв</t>
        </is>
      </c>
      <c r="C320" s="2" t="n">
        <v>9420</v>
      </c>
      <c r="D320" s="3" t="inlineStr">
        <is>
          <t>Когда опаздывают в ЗАГС</t>
        </is>
      </c>
      <c r="E320" s="2" t="n">
        <v>1991</v>
      </c>
      <c r="F320" s="2" t="inlineStr">
        <is>
          <t>кинофильм</t>
        </is>
      </c>
      <c r="G320" s="2" t="n"/>
      <c r="H320" s="2" t="n">
        <v>253</v>
      </c>
      <c r="I320" s="2" t="inlineStr">
        <is>
          <t>да</t>
        </is>
      </c>
      <c r="J320" s="2" t="inlineStr"/>
      <c r="K320" s="3" t="inlineStr">
        <is>
          <t>Студенты Света и Тёма решили пожениться втайне от родителей. Но в назначенный день Света не пришла в ЗАГС, а Тёма обиделся и ушёл из квартиры, где они должны были временно жить. В квартиру вернулся её хозяин Костя с девушкой. И тут нагрянули родители...</t>
        </is>
      </c>
      <c r="L320" s="2" t="inlineStr">
        <is>
          <t>Кино_СССР сводный каталог.xlsx: список фильмов (доп.)</t>
        </is>
      </c>
      <c r="M320" s="2">
        <f>HYPERLINK("https://ru.wikipedia.org/w/index.php?search=%D0%9A%D0%BE%D0%B3%D0%B4%D0%B0%20%D0%BE%D0%BF%D0%B0%D0%B7%D0%B4%D1%8B%D0%B2%D0%B0%D1%8E%D1%82%20%D0%B2%20%D0%97%D0%90%D0%93%D0%A1%201991%20%D1%84%D0%B8%D0%BB%D1%8C%D0%BC","искать")</f>
        <v/>
      </c>
      <c r="N320" s="3" t="n"/>
      <c r="O320" s="2" t="n"/>
    </row>
    <row r="321">
      <c r="A321" s="2" t="n">
        <v>320</v>
      </c>
      <c r="B321" s="2" t="inlineStr">
        <is>
          <t>обрыв</t>
        </is>
      </c>
      <c r="C321" s="2" t="n">
        <v>9563</v>
      </c>
      <c r="D321" s="3" t="inlineStr">
        <is>
          <t>Подземелье ведьм</t>
        </is>
      </c>
      <c r="E321" s="2" t="n">
        <v>1990</v>
      </c>
      <c r="F321" s="2" t="inlineStr">
        <is>
          <t>кинофильм</t>
        </is>
      </c>
      <c r="G321" s="2" t="n"/>
      <c r="H321" s="2" t="n">
        <v>253</v>
      </c>
      <c r="I321" s="2" t="inlineStr">
        <is>
          <t>да</t>
        </is>
      </c>
      <c r="J321" s="2" t="inlineStr"/>
      <c r="K321" s="3" t="inlineStr">
        <is>
          <t>Группа землян-астронавтов исследует таинственную, затерянную в глубинах космоса планету Эвур, где идет жестокая борьба различных племен за власть. Эти племена агрессивны, безжалостны и коварны. Волею судеб в конфликт оказались вовлечены и двое землян...</t>
        </is>
      </c>
      <c r="L321" s="2" t="inlineStr">
        <is>
          <t>Кино_СССР сводный каталог.xlsx: список фильмов (доп.)</t>
        </is>
      </c>
      <c r="M321" s="2">
        <f>HYPERLINK("https://ru.wikipedia.org/w/index.php?search=%D0%9F%D0%BE%D0%B4%D0%B7%D0%B5%D0%BC%D0%B5%D0%BB%D1%8C%D0%B5%20%D0%B2%D0%B5%D0%B4%D1%8C%D0%BC%201990%20%D1%84%D0%B8%D0%BB%D1%8C%D0%BC","искать")</f>
        <v/>
      </c>
      <c r="N321" s="3" t="n"/>
      <c r="O321" s="2" t="n"/>
    </row>
    <row r="322">
      <c r="A322" s="2" t="n">
        <v>321</v>
      </c>
      <c r="B322" s="2" t="inlineStr">
        <is>
          <t>обрыв</t>
        </is>
      </c>
      <c r="C322" s="2" t="n">
        <v>7726</v>
      </c>
      <c r="D322" s="3" t="inlineStr">
        <is>
          <t>Квартет Гварнери</t>
        </is>
      </c>
      <c r="E322" s="2" t="n">
        <v>1978</v>
      </c>
      <c r="F322" s="2" t="inlineStr">
        <is>
          <t>телефильм</t>
        </is>
      </c>
      <c r="G322" s="2" t="n"/>
      <c r="H322" s="2" t="n">
        <v>254</v>
      </c>
      <c r="I322" s="2" t="inlineStr">
        <is>
          <t>да</t>
        </is>
      </c>
      <c r="J322" s="2" t="inlineStr"/>
      <c r="K322" s="3" t="inlineStr">
        <is>
          <t>Действие фильма происходит в 1920-е годы. Чекист Возницын и четверо музыкантов вступают в противоборство с группой иностранцев, которые, используя право дипломатической неприкосновенности, пытаются вывезти коллекцию раритетных музыкальных инструментов...</t>
        </is>
      </c>
      <c r="L322" s="2" t="inlineStr">
        <is>
          <t>Кино_СССР сводный каталог.xlsx: список телефильмов</t>
        </is>
      </c>
      <c r="M322" s="2">
        <f>HYPERLINK("https://ru.wikipedia.org/w/index.php?search=%D0%9A%D0%B2%D0%B0%D1%80%D1%82%D0%B5%D1%82%20%D0%93%D0%B2%D0%B0%D1%80%D0%BD%D0%B5%D1%80%D0%B8%201978%20%D1%84%D0%B8%D0%BB%D1%8C%D0%BC","искать")</f>
        <v/>
      </c>
      <c r="N322" s="3" t="n"/>
      <c r="O322" s="2" t="n"/>
    </row>
    <row r="323">
      <c r="A323" s="2" t="n">
        <v>322</v>
      </c>
      <c r="B323" s="2" t="inlineStr">
        <is>
          <t>обрыв</t>
        </is>
      </c>
      <c r="C323" s="2" t="n">
        <v>9425</v>
      </c>
      <c r="D323" s="3" t="inlineStr">
        <is>
          <t>Кома</t>
        </is>
      </c>
      <c r="E323" s="2" t="n">
        <v>1989</v>
      </c>
      <c r="F323" s="2" t="inlineStr">
        <is>
          <t>кинофильм</t>
        </is>
      </c>
      <c r="G323" s="2" t="n"/>
      <c r="H323" s="2" t="n">
        <v>254</v>
      </c>
      <c r="I323" s="2" t="inlineStr">
        <is>
          <t>да</t>
        </is>
      </c>
      <c r="J323" s="2" t="inlineStr"/>
      <c r="K323" s="3" t="inlineStr">
        <is>
          <t>Марию арестовали после студенческой вечеринки, где она с упоением прочитала цветаевскую "Повесть о Сонечке". Драматичность событий достигает накала, когда ради того, чтобы спасти ребенка, родившегося в лагере, она вынуждена подписать донос на его отца...</t>
        </is>
      </c>
      <c r="L323" s="2" t="inlineStr">
        <is>
          <t>Кино_СССР сводный каталог.xlsx: список фильмов (доп.)</t>
        </is>
      </c>
      <c r="M323" s="2">
        <f>HYPERLINK("https://ru.wikipedia.org/w/index.php?search=%D0%9A%D0%BE%D0%BC%D0%B0%201989%20%D1%84%D0%B8%D0%BB%D1%8C%D0%BC","искать")</f>
        <v/>
      </c>
      <c r="N323" s="3" t="n"/>
      <c r="O323" s="2" t="n"/>
    </row>
    <row r="324">
      <c r="A324" s="2" t="n">
        <v>323</v>
      </c>
      <c r="B324" s="2" t="inlineStr">
        <is>
          <t>обрыв</t>
        </is>
      </c>
      <c r="C324" s="2" t="n">
        <v>9433</v>
      </c>
      <c r="D324" s="3" t="inlineStr">
        <is>
          <t>Коррупция</t>
        </is>
      </c>
      <c r="E324" s="2" t="n">
        <v>1989</v>
      </c>
      <c r="F324" s="2" t="inlineStr">
        <is>
          <t>кинофильм</t>
        </is>
      </c>
      <c r="G324" s="2" t="n"/>
      <c r="H324" s="2" t="n">
        <v>254</v>
      </c>
      <c r="I324" s="2" t="inlineStr">
        <is>
          <t>да</t>
        </is>
      </c>
      <c r="J324" s="2" t="inlineStr"/>
      <c r="K324" s="3" t="inlineStr">
        <is>
          <t>В квартире обнаружен труп молодой красивой женщины, хозяйки хорошо обставленного жилища. Инспектор Гуров отвергает версию ограбления: в квартире ничего не тронуто. Подозреваются четверо: муж убитой, ее приятель, сосед по лестничной площадке и лифтерша...</t>
        </is>
      </c>
      <c r="L324" s="2" t="inlineStr">
        <is>
          <t>Кино_СССР сводный каталог.xlsx: список фильмов (доп.)</t>
        </is>
      </c>
      <c r="M324" s="2">
        <f>HYPERLINK("https://ru.wikipedia.org/w/index.php?search=%D0%9A%D0%BE%D1%80%D1%80%D1%83%D0%BF%D1%86%D0%B8%D1%8F%201989%20%D1%84%D0%B8%D0%BB%D1%8C%D0%BC","искать")</f>
        <v/>
      </c>
      <c r="N324" s="3" t="n"/>
      <c r="O324" s="2" t="n"/>
    </row>
    <row r="325">
      <c r="A325" s="2" t="n">
        <v>324</v>
      </c>
      <c r="B325" s="2" t="inlineStr">
        <is>
          <t>обрыв</t>
        </is>
      </c>
      <c r="C325" s="2" t="n">
        <v>10137</v>
      </c>
      <c r="D325" s="3" t="inlineStr">
        <is>
          <t>Большая кошачья сказка</t>
        </is>
      </c>
      <c r="E325" s="2" t="n">
        <v>1965</v>
      </c>
      <c r="F325" s="2" t="inlineStr">
        <is>
          <t>фильм-спектакль</t>
        </is>
      </c>
      <c r="G325" s="2" t="inlineStr">
        <is>
          <t>Ленинградское Телевидение</t>
        </is>
      </c>
      <c r="H325" s="2" t="n">
        <v>254</v>
      </c>
      <c r="I325" s="2" t="inlineStr">
        <is>
          <t>да</t>
        </is>
      </c>
      <c r="J325" s="2" t="inlineStr"/>
      <c r="K325" s="3" t="inlineStr">
        <is>
          <t>По мотивам одноименной сказки К.Чапека. В гротескной форме рассказывается о плачущей принцессе, которую развеселили “неведомой зверушкой” - котенком. Он убегает, и на поиски волшебника, будто бы похитившего котенка, отправляются самые известные сыщики...</t>
        </is>
      </c>
      <c r="L325" s="2" t="inlineStr">
        <is>
          <t>https://www.kino-teatr.ru/teatr/movie/17361/annot/</t>
        </is>
      </c>
      <c r="M325" s="2">
        <f>HYPERLINK("https://ru.wikipedia.org/w/index.php?search=%D0%91%D0%BE%D0%BB%D1%8C%D1%88%D0%B0%D1%8F%20%D0%BA%D0%BE%D1%88%D0%B0%D1%87%D1%8C%D1%8F%20%D1%81%D0%BA%D0%B0%D0%B7%D0%BA%D0%B0%201965%20%D1%84%D0%B8%D0%BB%D1%8C%D0%BC","искать")</f>
        <v/>
      </c>
      <c r="N325" s="3" t="n"/>
      <c r="O325" s="2" t="n"/>
    </row>
    <row r="326">
      <c r="A326" s="2" t="n">
        <v>325</v>
      </c>
      <c r="B326" s="2" t="inlineStr">
        <is>
          <t>обрыв</t>
        </is>
      </c>
      <c r="C326" s="2" t="n">
        <v>10840</v>
      </c>
      <c r="D326" s="3" t="inlineStr">
        <is>
          <t>Выход из случая</t>
        </is>
      </c>
      <c r="E326" s="2" t="n">
        <v>1980</v>
      </c>
      <c r="F326" s="2" t="inlineStr">
        <is>
          <t>фильм-спектакль</t>
        </is>
      </c>
      <c r="G326" s="2" t="inlineStr">
        <is>
          <t>Ленинградское телевидение</t>
        </is>
      </c>
      <c r="H326" s="2" t="n">
        <v>254</v>
      </c>
      <c r="I326" s="2" t="inlineStr">
        <is>
          <t>да</t>
        </is>
      </c>
      <c r="J326" s="2" t="inlineStr"/>
      <c r="K326" s="3" t="inlineStr">
        <is>
          <t>4-серийный спектакль по повести ленинградской писательницы Зои Журавлевой о буднях метрополитена.
В центре фильма — одна семья: отец — машинист метрополитена, сын сдаёт экзамены на звание машиниста, мать — поездной диспетчер, дочь — начальник станции....</t>
        </is>
      </c>
      <c r="L326" s="2" t="inlineStr">
        <is>
          <t>https://www.kino-teatr.ru/teatr/movie/137641/annot/</t>
        </is>
      </c>
      <c r="M326" s="2">
        <f>HYPERLINK("https://ru.wikipedia.org/w/index.php?search=%D0%92%D1%8B%D1%85%D0%BE%D0%B4%20%D0%B8%D0%B7%20%D1%81%D0%BB%D1%83%D1%87%D0%B0%D1%8F%201980%20%D1%84%D0%B8%D0%BB%D1%8C%D0%BC","искать")</f>
        <v/>
      </c>
      <c r="N326" s="3" t="n"/>
      <c r="O326" s="2" t="n"/>
    </row>
    <row r="327">
      <c r="A327" s="2" t="n">
        <v>326</v>
      </c>
      <c r="B327" s="2" t="inlineStr">
        <is>
          <t>обрыв</t>
        </is>
      </c>
      <c r="C327" s="2" t="n">
        <v>7340</v>
      </c>
      <c r="D327" s="3" t="inlineStr">
        <is>
          <t>Вижу цель!</t>
        </is>
      </c>
      <c r="E327" s="2" t="n">
        <v>1978</v>
      </c>
      <c r="F327" s="2" t="inlineStr">
        <is>
          <t>телефильм</t>
        </is>
      </c>
      <c r="G327" s="2" t="n"/>
      <c r="H327" s="2" t="n">
        <v>255</v>
      </c>
      <c r="I327" s="2" t="inlineStr">
        <is>
          <t>да</t>
        </is>
      </c>
      <c r="J327" s="2" t="inlineStr"/>
      <c r="K327" s="3" t="inlineStr">
        <is>
          <t>Подполковник Клоков, командир подразделения ПВО, руководит строительством стратегически важного объекта. В ходе работ обнаруживаются следы древнего поселения. Клоков берет на себя ответственность и переносит месторасположение строительства в другое место…</t>
        </is>
      </c>
      <c r="L327" s="2" t="inlineStr">
        <is>
          <t>Кино_СССР сводный каталог.xlsx: список телефильмов</t>
        </is>
      </c>
      <c r="M327" s="2">
        <f>HYPERLINK("https://ru.wikipedia.org/w/index.php?search=%D0%92%D0%B8%D0%B6%D1%83%20%D1%86%D0%B5%D0%BB%D1%8C%21%201978%20%D1%84%D0%B8%D0%BB%D1%8C%D0%BC","искать")</f>
        <v/>
      </c>
      <c r="N327" s="3" t="n"/>
      <c r="O327" s="2" t="n"/>
    </row>
    <row r="328">
      <c r="A328" s="2" t="n">
        <v>327</v>
      </c>
      <c r="B328" s="2" t="inlineStr">
        <is>
          <t>обрыв</t>
        </is>
      </c>
      <c r="C328" s="2" t="n">
        <v>8223</v>
      </c>
      <c r="D328" s="3" t="inlineStr">
        <is>
          <t>Проводы</t>
        </is>
      </c>
      <c r="E328" s="2" t="n">
        <v>1978</v>
      </c>
      <c r="F328" s="2" t="inlineStr">
        <is>
          <t>телефильм</t>
        </is>
      </c>
      <c r="G328" s="2" t="n"/>
      <c r="H328" s="2" t="n">
        <v>255</v>
      </c>
      <c r="I328" s="2" t="inlineStr">
        <is>
          <t>да</t>
        </is>
      </c>
      <c r="J328" s="2" t="inlineStr"/>
      <c r="K328" s="3" t="inlineStr">
        <is>
          <t>По пьесе Игнатия Дворецкого. В связи с переводом в Москву начальнику Управления Старосельскому приходится расставаться с любимым делом и с людьми, работавшими с ним долгое время. Его проводы помогают до конца выяснить сложившиеся в коллективе отношения...</t>
        </is>
      </c>
      <c r="L328" s="2" t="inlineStr">
        <is>
          <t>Кино_СССР сводный каталог.xlsx: список телефильмов</t>
        </is>
      </c>
      <c r="M328" s="2">
        <f>HYPERLINK("https://ru.wikipedia.org/w/index.php?search=%D0%9F%D1%80%D0%BE%D0%B2%D0%BE%D0%B4%D1%8B%201978%20%D1%84%D0%B8%D0%BB%D1%8C%D0%BC","искать")</f>
        <v/>
      </c>
      <c r="N328" s="3" t="n"/>
      <c r="O328" s="2" t="n"/>
    </row>
    <row r="329">
      <c r="A329" s="2" t="n">
        <v>328</v>
      </c>
      <c r="B329" s="2" t="inlineStr">
        <is>
          <t>обрыв</t>
        </is>
      </c>
      <c r="C329" s="2" t="n">
        <v>9214</v>
      </c>
      <c r="D329" s="3" t="inlineStr">
        <is>
          <t>Бабник</t>
        </is>
      </c>
      <c r="E329" s="2" t="n">
        <v>1990</v>
      </c>
      <c r="F329" s="2" t="inlineStr">
        <is>
          <t>кинофильм</t>
        </is>
      </c>
      <c r="G329" s="2" t="n"/>
      <c r="H329" s="2" t="n">
        <v>255</v>
      </c>
      <c r="I329" s="2" t="inlineStr">
        <is>
          <t>да</t>
        </is>
      </c>
      <c r="J329" s="2" t="inlineStr"/>
      <c r="K329" s="3" t="inlineStr">
        <is>
          <t>Суть натуры главного героя лаконично определена заглавием фильма. Старый холостяк, он никак не угомонится. У женщин он по - прежнему пользуется успехом. И вдруг все рушится: приезжает сын от первого брака... Смешные муки отца, забавные метаморфозы сына...</t>
        </is>
      </c>
      <c r="L329" s="2" t="inlineStr">
        <is>
          <t>Кино_СССР сводный каталог.xlsx: список фильмов (доп.)</t>
        </is>
      </c>
      <c r="M329" s="2">
        <f>HYPERLINK("https://ru.wikipedia.org/w/index.php?search=%D0%91%D0%B0%D0%B1%D0%BD%D0%B8%D0%BA%201990%20%D1%84%D0%B8%D0%BB%D1%8C%D0%BC","искать")</f>
        <v/>
      </c>
      <c r="N329" s="3" t="n"/>
      <c r="O329" s="2" t="n"/>
    </row>
    <row r="330">
      <c r="A330" s="2" t="n">
        <v>329</v>
      </c>
      <c r="B330" s="2" t="inlineStr">
        <is>
          <t>обрыв</t>
        </is>
      </c>
      <c r="C330" s="2" t="n">
        <v>10055</v>
      </c>
      <c r="D330" s="3" t="inlineStr">
        <is>
          <t>Наваждение</t>
        </is>
      </c>
      <c r="E330" s="2" t="n">
        <v>1991</v>
      </c>
      <c r="F330" s="2" t="inlineStr">
        <is>
          <t>кинофильм</t>
        </is>
      </c>
      <c r="G330" s="2" t="inlineStr">
        <is>
          <t>"Дебют" (к/с им. Довженко)</t>
        </is>
      </c>
      <c r="H330" s="2" t="n">
        <v>255</v>
      </c>
      <c r="I330" s="2" t="inlineStr">
        <is>
          <t>да</t>
        </is>
      </c>
      <c r="J330" s="2" t="inlineStr"/>
      <c r="K330" s="3" t="inlineStr">
        <is>
          <t>По мотивам повести Юрия Домбровского «Ручка, ножка, огуречик…».
Реабилитированного писателя кто-то преследует. Мафия, КГБ — он точно не знает, но смело идет навстречу развивающихся событий, в эпицентре которых — собственный страх и абсолютное одиночество…</t>
        </is>
      </c>
      <c r="L330" s="2" t="inlineStr">
        <is>
          <t>https://www.kino-teatr.ru/short/movie/sov/4213/annot/</t>
        </is>
      </c>
      <c r="M330" s="2">
        <f>HYPERLINK("https://ru.wikipedia.org/w/index.php?search=%D0%9D%D0%B0%D0%B2%D0%B0%D0%B6%D0%B4%D0%B5%D0%BD%D0%B8%D0%B5%201991%20%D1%84%D0%B8%D0%BB%D1%8C%D0%BC","искать")</f>
        <v/>
      </c>
      <c r="N330" s="3" t="n"/>
      <c r="O330" s="2" t="n"/>
    </row>
    <row r="331">
      <c r="A331" s="2" t="n">
        <v>330</v>
      </c>
      <c r="B331" s="2" t="inlineStr">
        <is>
          <t>обрыв</t>
        </is>
      </c>
      <c r="C331" s="2" t="n">
        <v>11258</v>
      </c>
      <c r="D331" s="3" t="inlineStr">
        <is>
          <t>Звезды на утреннем небе</t>
        </is>
      </c>
      <c r="E331" s="2" t="n">
        <v>1989</v>
      </c>
      <c r="F331" s="2" t="inlineStr">
        <is>
          <t>фильм-спектакль</t>
        </is>
      </c>
      <c r="G331" s="2" t="inlineStr">
        <is>
          <t>Союзтеатр, Синтез, Ленинградский государственный Малый драматический театр</t>
        </is>
      </c>
      <c r="H331" s="2" t="n">
        <v>255</v>
      </c>
      <c r="I331" s="2" t="inlineStr">
        <is>
          <t>да</t>
        </is>
      </c>
      <c r="J331" s="2" t="inlineStr">
        <is>
          <t>да</t>
        </is>
      </c>
      <c r="K331" s="3" t="inlineStr">
        <is>
          <t>Драма в двух действиях по мотивам одноименной пьесы А. Галина возвращает нас в дни Московской олимпиады, когда блестел парадный фасад Москвы, все радовались празднику, а на 101 километре от Москвы жили и страдали те, кого выселили на время из праздника...</t>
        </is>
      </c>
      <c r="L331" s="2" t="inlineStr">
        <is>
          <t>https://www.kino-teatr.ru/teatr/movie/112232/annot/</t>
        </is>
      </c>
      <c r="M331" s="2">
        <f>HYPERLINK("https://ru.wikipedia.org/w/index.php?search=%D0%97%D0%B2%D0%B5%D0%B7%D0%B4%D1%8B%20%D0%BD%D0%B0%20%D1%83%D1%82%D1%80%D0%B5%D0%BD%D0%BD%D0%B5%D0%BC%20%D0%BD%D0%B5%D0%B1%D0%B5%201989%20%D1%84%D0%B8%D0%BB%D1%8C%D0%BC","искать")</f>
        <v/>
      </c>
      <c r="N331" s="3" t="n"/>
      <c r="O331" s="2" t="n"/>
    </row>
    <row r="332">
      <c r="A332" s="2" t="n">
        <v>331</v>
      </c>
      <c r="B332" s="2" t="inlineStr">
        <is>
          <t>обрыв</t>
        </is>
      </c>
      <c r="C332" s="2" t="n">
        <v>10911</v>
      </c>
      <c r="D332" s="3" t="inlineStr">
        <is>
          <t>Свадьба</t>
        </is>
      </c>
      <c r="E332" s="2" t="n">
        <v>1981</v>
      </c>
      <c r="F332" s="2" t="inlineStr">
        <is>
          <t>фильм-спектакль</t>
        </is>
      </c>
      <c r="G332" s="2" t="inlineStr">
        <is>
          <t>Литовское телевидение</t>
        </is>
      </c>
      <c r="H332" s="2" t="n">
        <v>256</v>
      </c>
      <c r="I332" s="2" t="inlineStr">
        <is>
          <t>да</t>
        </is>
      </c>
      <c r="J332" s="2" t="inlineStr"/>
      <c r="K332" s="3" t="inlineStr">
        <is>
          <t>По одноименному водевилю А. П. Чехова. Мещане Жигаловы, у которых на выданье дочь Даша, к ужасу своему узнают, что чиновник Апломбов, все лето ухаживавший за Дашей, ежедневно обедавший у них и зарекомендовавший себя женихом, жениться вовсе не собирается...</t>
        </is>
      </c>
      <c r="L332" s="2" t="inlineStr">
        <is>
          <t>https://www.kino-teatr.ru/teatr/movie/105360/annot/</t>
        </is>
      </c>
      <c r="M332" s="2">
        <f>HYPERLINK("https://ru.wikipedia.org/w/index.php?search=%D0%A1%D0%B2%D0%B0%D0%B4%D1%8C%D0%B1%D0%B0%201981%20%D1%84%D0%B8%D0%BB%D1%8C%D0%BC","искать")</f>
        <v/>
      </c>
      <c r="N332" s="3" t="n"/>
      <c r="O332" s="2" t="n"/>
    </row>
    <row r="333">
      <c r="A333" s="2" t="n">
        <v>332</v>
      </c>
      <c r="B333" s="2" t="inlineStr">
        <is>
          <t>обрыв</t>
        </is>
      </c>
      <c r="C333" s="2" t="n">
        <v>8960</v>
      </c>
      <c r="D333" s="3" t="inlineStr">
        <is>
          <t>Последний бункер</t>
        </is>
      </c>
      <c r="E333" s="2" t="n">
        <v>1991</v>
      </c>
      <c r="F333" s="2" t="inlineStr">
        <is>
          <t>кинофильм</t>
        </is>
      </c>
      <c r="G333" s="2" t="n"/>
      <c r="H333" s="2" t="n">
        <v>257</v>
      </c>
      <c r="I333" s="2" t="inlineStr">
        <is>
          <t>да</t>
        </is>
      </c>
      <c r="J333" s="2" t="inlineStr"/>
      <c r="K333" s="3" t="inlineStr">
        <is>
          <t>По повести Леонида Бородина "Перед судом". Конец 40-х годов. Молодой лейтенант МВД приезжает для прохождения службы в закарпатский городок, где идет жестокая борьба советской милиции со скрывающимися в лесах остатками УПА (Украинской повстанческой армии)...</t>
        </is>
      </c>
      <c r="L333" s="2" t="inlineStr">
        <is>
          <t>Кино_СССР сводный каталог.xlsx: список фильмов (доп.)</t>
        </is>
      </c>
      <c r="M333" s="2">
        <f>HYPERLINK("https://ru.wikipedia.org/w/index.php?search=%D0%9F%D0%BE%D1%81%D0%BB%D0%B5%D0%B4%D0%BD%D0%B8%D0%B9%20%D0%B1%D1%83%D0%BD%D0%BA%D0%B5%D1%80%201991%20%D1%84%D0%B8%D0%BB%D1%8C%D0%BC","искать")</f>
        <v/>
      </c>
      <c r="N333" s="3" t="n"/>
      <c r="O333" s="2" t="n"/>
    </row>
    <row r="334">
      <c r="A334" s="2" t="n">
        <v>333</v>
      </c>
      <c r="B334" s="2" t="inlineStr">
        <is>
          <t>обрыв</t>
        </is>
      </c>
      <c r="C334" s="2" t="n">
        <v>10257</v>
      </c>
      <c r="D334" s="3" t="inlineStr">
        <is>
          <t>Мятеж</t>
        </is>
      </c>
      <c r="E334" s="2" t="n">
        <v>1968</v>
      </c>
      <c r="F334" s="2" t="inlineStr">
        <is>
          <t>фильм-спектакль</t>
        </is>
      </c>
      <c r="G334" s="2" t="n"/>
      <c r="H334" s="2" t="n">
        <v>257</v>
      </c>
      <c r="I334" s="2" t="inlineStr">
        <is>
          <t>да</t>
        </is>
      </c>
      <c r="J334" s="2" t="inlineStr"/>
      <c r="K334" s="3" t="inlineStr">
        <is>
          <t>Телеспектакль по одноименному роману Дмитрия Фурманова.
1920 год. Враг Советской России не сломлен повсюду. В Туркестане бесчинствуют банды басмачей. Группа кулаков при поддержке местных купцов и баев подбивает красноармейцев к контрреволюционному мятежу...</t>
        </is>
      </c>
      <c r="L334" s="2" t="inlineStr">
        <is>
          <t>https://www.kino-teatr.ru/teatr/movie/170194/annot/</t>
        </is>
      </c>
      <c r="M334" s="2">
        <f>HYPERLINK("https://ru.wikipedia.org/w/index.php?search=%D0%9C%D1%8F%D1%82%D0%B5%D0%B6%201968%20%D1%84%D0%B8%D0%BB%D1%8C%D0%BC","искать")</f>
        <v/>
      </c>
      <c r="N334" s="3" t="n"/>
      <c r="O334" s="2" t="n"/>
    </row>
    <row r="335">
      <c r="A335" s="2" t="n">
        <v>334</v>
      </c>
      <c r="B335" s="2" t="inlineStr">
        <is>
          <t>обрыв</t>
        </is>
      </c>
      <c r="C335" s="2" t="n">
        <v>8516</v>
      </c>
      <c r="D335" s="3" t="inlineStr">
        <is>
          <t>Фотографии на стене</t>
        </is>
      </c>
      <c r="E335" s="2" t="n">
        <v>1978</v>
      </c>
      <c r="F335" s="2" t="inlineStr">
        <is>
          <t>телефильм</t>
        </is>
      </c>
      <c r="G335" s="2" t="n"/>
      <c r="H335" s="2" t="n">
        <v>258</v>
      </c>
      <c r="I335" s="2" t="inlineStr">
        <is>
          <t>да</t>
        </is>
      </c>
      <c r="J335" s="2" t="inlineStr"/>
      <c r="K335" s="3" t="inlineStr">
        <is>
          <t>Все благополучно в семье Сережи Емельянова. Но однажды, когда родители находились в командировке, приходит письмо, в котором неизвестная женщина просит отца срочно прийти ей на помощь. Сережа идет и знакомится с Ниной Георгиевной и ее приемным сыном Шурой...</t>
        </is>
      </c>
      <c r="L335" s="2" t="inlineStr">
        <is>
          <t>Кино_СССР сводный каталог.xlsx: список телефильмов</t>
        </is>
      </c>
      <c r="M335" s="2">
        <f>HYPERLINK("https://ru.wikipedia.org/w/index.php?search=%D0%A4%D0%BE%D1%82%D0%BE%D0%B3%D1%80%D0%B0%D1%84%D0%B8%D0%B8%20%D0%BD%D0%B0%20%D1%81%D1%82%D0%B5%D0%BD%D0%B5%201978%20%D1%84%D0%B8%D0%BB%D1%8C%D0%BC","искать")</f>
        <v/>
      </c>
      <c r="N335" s="3" t="n"/>
      <c r="O335" s="2" t="n"/>
    </row>
    <row r="336">
      <c r="A336" s="2" t="n">
        <v>335</v>
      </c>
      <c r="B336" s="2" t="inlineStr">
        <is>
          <t>обрыв</t>
        </is>
      </c>
      <c r="C336" s="2" t="n">
        <v>9727</v>
      </c>
      <c r="D336" s="3" t="inlineStr">
        <is>
          <t>Футболист</t>
        </is>
      </c>
      <c r="E336" s="2" t="n">
        <v>1990</v>
      </c>
      <c r="F336" s="2" t="inlineStr">
        <is>
          <t>кинофильм</t>
        </is>
      </c>
      <c r="G336" s="2" t="n"/>
      <c r="H336" s="2" t="n">
        <v>258</v>
      </c>
      <c r="I336" s="2" t="inlineStr">
        <is>
          <t>да</t>
        </is>
      </c>
      <c r="J336" s="2" t="inlineStr"/>
      <c r="K336" s="3" t="inlineStr">
        <is>
          <t>Тренер футбольной команды Олег Норов, поняв, что матчи проходят по схеме "тайного тотализатора", решает нарушить правила не им установленной игры. Самостоятельное расследование, которое начинает тренер, приводит его к махинатору по кличке "Человек - гора"...</t>
        </is>
      </c>
      <c r="L336" s="2" t="inlineStr">
        <is>
          <t>Кино_СССР сводный каталог.xlsx: список фильмов (доп.)</t>
        </is>
      </c>
      <c r="M336" s="2">
        <f>HYPERLINK("https://ru.wikipedia.org/w/index.php?search=%D0%A4%D1%83%D1%82%D0%B1%D0%BE%D0%BB%D0%B8%D1%81%D1%82%201990%20%D1%84%D0%B8%D0%BB%D1%8C%D0%BC","искать")</f>
        <v/>
      </c>
      <c r="N336" s="3" t="n"/>
      <c r="O336" s="2" t="n"/>
    </row>
    <row r="337">
      <c r="A337" s="2" t="n">
        <v>336</v>
      </c>
      <c r="B337" s="2" t="inlineStr">
        <is>
          <t>обрыв</t>
        </is>
      </c>
      <c r="C337" s="2" t="n">
        <v>8411</v>
      </c>
      <c r="D337" s="3" t="inlineStr">
        <is>
          <t>Страсти по Владимиру</t>
        </is>
      </c>
      <c r="E337" s="2" t="n">
        <v>1990</v>
      </c>
      <c r="F337" s="2" t="inlineStr">
        <is>
          <t>телефильм</t>
        </is>
      </c>
      <c r="G337" s="2" t="n"/>
      <c r="H337" s="2" t="n">
        <v>259</v>
      </c>
      <c r="I337" s="2" t="inlineStr">
        <is>
          <t>да</t>
        </is>
      </c>
      <c r="J337" s="2" t="inlineStr"/>
      <c r="K337" s="3" t="inlineStr">
        <is>
          <t>Действие фильма происходит в кабинете руководителя одного из НИИ. Решается проблема быть или не быть концерту Высоцкого в клубе института. Начальство категорически против, но все сотрудники уже оповещены и с нетерпением ожидают выступления любимого артиста...</t>
        </is>
      </c>
      <c r="L337" s="2" t="inlineStr">
        <is>
          <t>Кино_СССР сводный каталог.xlsx: список телефильмов</t>
        </is>
      </c>
      <c r="M337" s="2">
        <f>HYPERLINK("https://ru.wikipedia.org/w/index.php?search=%D0%A1%D1%82%D1%80%D0%B0%D1%81%D1%82%D0%B8%20%D0%BF%D0%BE%20%D0%92%D0%BB%D0%B0%D0%B4%D0%B8%D0%BC%D0%B8%D1%80%D1%83%201990%20%D1%84%D0%B8%D0%BB%D1%8C%D0%BC","искать")</f>
        <v/>
      </c>
      <c r="N337" s="3" t="n"/>
      <c r="O337" s="2" t="n"/>
    </row>
    <row r="338">
      <c r="A338" s="2" t="n">
        <v>337</v>
      </c>
      <c r="B338" s="2" t="inlineStr">
        <is>
          <t>обрыв</t>
        </is>
      </c>
      <c r="C338" s="2" t="n">
        <v>9408</v>
      </c>
      <c r="D338" s="3" t="inlineStr">
        <is>
          <t>Кара-Бугаз</t>
        </is>
      </c>
      <c r="E338" s="2" t="n">
        <v>1935</v>
      </c>
      <c r="F338" s="2" t="inlineStr">
        <is>
          <t>кинофильм</t>
        </is>
      </c>
      <c r="G338" s="2" t="n"/>
      <c r="H338" s="2" t="n">
        <v>259</v>
      </c>
      <c r="I338" s="2" t="inlineStr">
        <is>
          <t>да</t>
        </is>
      </c>
      <c r="J338" s="2" t="inlineStr"/>
      <c r="K338" s="3" t="inlineStr">
        <is>
          <t>При отступлении из Баку в 1920 году узников белогвардейской контрразведки высаживают на необитаемый остров в Каспийском море, где они должны погибнуть от голода и жажды. Четверым - большевикам Миллеру, Занозе, Нестеровой и ученому Шацкому удается спастись....</t>
        </is>
      </c>
      <c r="L338" s="2" t="inlineStr">
        <is>
          <t>Кино_СССР сводный каталог.xlsx: список фильмов (доп.)</t>
        </is>
      </c>
      <c r="M338" s="2">
        <f>HYPERLINK("https://ru.wikipedia.org/w/index.php?search=%D0%9A%D0%B0%D1%80%D0%B0-%D0%91%D1%83%D0%B3%D0%B0%D0%B7%201935%20%D1%84%D0%B8%D0%BB%D1%8C%D0%BC","искать")</f>
        <v/>
      </c>
      <c r="N338" s="3" t="n"/>
      <c r="O338" s="2" t="n"/>
    </row>
    <row r="339">
      <c r="A339" s="2" t="n">
        <v>338</v>
      </c>
      <c r="B339" s="2" t="inlineStr">
        <is>
          <t>обрыв</t>
        </is>
      </c>
      <c r="C339" s="2" t="n">
        <v>7856</v>
      </c>
      <c r="D339" s="3" t="inlineStr">
        <is>
          <t>Матрос Железняк</t>
        </is>
      </c>
      <c r="E339" s="2" t="n">
        <v>1985</v>
      </c>
      <c r="F339" s="2" t="inlineStr">
        <is>
          <t>телефильм</t>
        </is>
      </c>
      <c r="G339" s="2" t="inlineStr">
        <is>
          <t>Одесская к/с</t>
        </is>
      </c>
      <c r="H339" s="2" t="n">
        <v>260</v>
      </c>
      <c r="I339" s="2" t="inlineStr">
        <is>
          <t>да</t>
        </is>
      </c>
      <c r="J339" s="2" t="inlineStr"/>
      <c r="K339" s="3" t="inlineStr">
        <is>
          <t>Биографический телефильм о герое гражданской войны Анатолии Железнякове. Его фразой: "Караул устал, часовые хотят спать" закончилась старая жизнь. Железняков - матрос-анархист, лирик, романтик - погиб, не узнав к чему пришло то, за что он героически боролся...</t>
        </is>
      </c>
      <c r="L339" s="2" t="inlineStr">
        <is>
          <t>Кино_СССР сводный каталог.xlsx: список телефильмов</t>
        </is>
      </c>
      <c r="M339" s="2">
        <f>HYPERLINK("https://ru.wikipedia.org/w/index.php?search=%D0%9C%D0%B0%D1%82%D1%80%D0%BE%D1%81%20%D0%96%D0%B5%D0%BB%D0%B5%D0%B7%D0%BD%D1%8F%D0%BA%201985%20%D1%84%D0%B8%D0%BB%D1%8C%D0%BC","искать")</f>
        <v/>
      </c>
      <c r="N339" s="3" t="n"/>
      <c r="O339" s="2" t="n"/>
    </row>
    <row r="340">
      <c r="A340" s="2" t="n">
        <v>339</v>
      </c>
      <c r="B340" s="2" t="inlineStr">
        <is>
          <t>обрыв</t>
        </is>
      </c>
      <c r="C340" s="2" t="n">
        <v>7989</v>
      </c>
      <c r="D340" s="3" t="inlineStr">
        <is>
          <t>Непохожая</t>
        </is>
      </c>
      <c r="E340" s="2" t="n">
        <v>1985</v>
      </c>
      <c r="F340" s="2" t="inlineStr">
        <is>
          <t>телефильм</t>
        </is>
      </c>
      <c r="G340" s="2" t="n"/>
      <c r="H340" s="2" t="n">
        <v>260</v>
      </c>
      <c r="I340" s="2" t="inlineStr">
        <is>
          <t>да</t>
        </is>
      </c>
      <c r="J340" s="2" t="inlineStr"/>
      <c r="K340" s="3" t="inlineStr">
        <is>
          <t>По повести Людмилы Сабининой "Родео Лиды Карякиной". Лиде Карякиной 15 лет. В школе у нее постоянные конфликты, не все ладно дома. Девочка решает оставить школу и пойти работать. Поработав в разных местах, Лида понимает, что ее призвание - воспитывать детей...</t>
        </is>
      </c>
      <c r="L340" s="2" t="inlineStr">
        <is>
          <t>Кино_СССР сводный каталог.xlsx: список телефильмов</t>
        </is>
      </c>
      <c r="M340" s="2">
        <f>HYPERLINK("https://ru.wikipedia.org/w/index.php?search=%D0%9D%D0%B5%D0%BF%D0%BE%D1%85%D0%BE%D0%B6%D0%B0%D1%8F%201985%20%D1%84%D0%B8%D0%BB%D1%8C%D0%BC","искать")</f>
        <v/>
      </c>
      <c r="N340" s="3" t="n"/>
      <c r="O340" s="2" t="n"/>
    </row>
    <row r="341">
      <c r="A341" s="2" t="n">
        <v>340</v>
      </c>
      <c r="B341" s="2" t="inlineStr">
        <is>
          <t>обрыв</t>
        </is>
      </c>
      <c r="C341" s="2" t="n">
        <v>9017</v>
      </c>
      <c r="D341" s="3" t="inlineStr">
        <is>
          <t>Родник</t>
        </is>
      </c>
      <c r="E341" s="2" t="n">
        <v>1985</v>
      </c>
      <c r="F341" s="2" t="inlineStr">
        <is>
          <t>кинофильм</t>
        </is>
      </c>
      <c r="G341" s="2" t="n"/>
      <c r="H341" s="2" t="n">
        <v>260</v>
      </c>
      <c r="I341" s="2" t="inlineStr">
        <is>
          <t>да</t>
        </is>
      </c>
      <c r="J341" s="2" t="inlineStr"/>
      <c r="K341" s="3" t="inlineStr">
        <is>
          <t>Герой фильма Лазаре, однажды помог бабушке Варо, приехавшей в город из деревни, заполнить билет спортлото. Спустя несколько дней, молодой человек обнаружил, что именно этот билет и оказался выигрышным. Недолго думая, Лазаре отправился на поиски бабушки Варо...</t>
        </is>
      </c>
      <c r="L341" s="2" t="inlineStr">
        <is>
          <t>Кино_СССР сводный каталог.xlsx: список фильмов (доп.)</t>
        </is>
      </c>
      <c r="M341" s="2">
        <f>HYPERLINK("https://ru.wikipedia.org/w/index.php?search=%D0%A0%D0%BE%D0%B4%D0%BD%D0%B8%D0%BA%201985%20%D1%84%D0%B8%D0%BB%D1%8C%D0%BC","искать")</f>
        <v/>
      </c>
      <c r="N341" s="3" t="n"/>
      <c r="O341" s="2" t="n"/>
    </row>
    <row r="342">
      <c r="A342" s="2" t="n">
        <v>341</v>
      </c>
      <c r="B342" s="2" t="inlineStr">
        <is>
          <t>обрыв</t>
        </is>
      </c>
      <c r="C342" s="2" t="n">
        <v>7222</v>
      </c>
      <c r="D342" s="3" t="inlineStr">
        <is>
          <t>Артистка из Грибова</t>
        </is>
      </c>
      <c r="E342" s="2" t="n">
        <v>1988</v>
      </c>
      <c r="F342" s="2" t="inlineStr">
        <is>
          <t>телефильм</t>
        </is>
      </c>
      <c r="G342" s="2" t="inlineStr">
        <is>
          <t>Мосфильм</t>
        </is>
      </c>
      <c r="H342" s="2" t="n">
        <v>261</v>
      </c>
      <c r="I342" s="2" t="inlineStr">
        <is>
          <t>да</t>
        </is>
      </c>
      <c r="J342" s="2" t="inlineStr"/>
      <c r="K342" s="3" t="inlineStr">
        <is>
          <t>Героиня фильма, актриса за 30, не очень удачлива как на профессиональном, так и на личном фронте. Но природный оптимизм и веселый нрав не позволяют ей поддаваться унынию даже в самых сложных жизненных ситуациях. Она остается актрисой даже играя роль Форточки...</t>
        </is>
      </c>
      <c r="L342" s="2" t="inlineStr">
        <is>
          <t>Кино_СССР сводный каталог.xlsx: список телефильмов</t>
        </is>
      </c>
      <c r="M342" s="2">
        <f>HYPERLINK("https://ru.wikipedia.org/w/index.php?search=%D0%90%D1%80%D1%82%D0%B8%D1%81%D1%82%D0%BA%D0%B0%20%D0%B8%D0%B7%20%D0%93%D1%80%D0%B8%D0%B1%D0%BE%D0%B2%D0%B0%201988%20%D1%84%D0%B8%D0%BB%D1%8C%D0%BC","искать")</f>
        <v/>
      </c>
      <c r="N342" s="3" t="n"/>
      <c r="O342" s="2" t="n"/>
    </row>
    <row r="343">
      <c r="A343" s="2" t="n">
        <v>342</v>
      </c>
      <c r="B343" s="2" t="inlineStr">
        <is>
          <t>обрыв</t>
        </is>
      </c>
      <c r="C343" s="2" t="n">
        <v>8918</v>
      </c>
      <c r="D343" s="3" t="inlineStr">
        <is>
          <t>Партийные бега, или Дребедень на мартовских сугробах</t>
        </is>
      </c>
      <c r="E343" s="2" t="n">
        <v>1991</v>
      </c>
      <c r="F343" s="2" t="inlineStr">
        <is>
          <t>кинофильм</t>
        </is>
      </c>
      <c r="G343" s="2" t="n"/>
      <c r="H343" s="2" t="n">
        <v>261</v>
      </c>
      <c r="I343" s="2" t="inlineStr">
        <is>
          <t>да</t>
        </is>
      </c>
      <c r="J343" s="2" t="inlineStr"/>
      <c r="K343" s="3" t="inlineStr">
        <is>
          <t>В СССР происходит обвальная департизация. Нашлась фирма, готовая финансировать конкурс на замещение вакантных должностей среди бывших партийцев, разумеется, среднего и низшего звена. Состязания бывших партфункционеров получили статус "Первой партакиады СССР"...</t>
        </is>
      </c>
      <c r="L343" s="2" t="inlineStr">
        <is>
          <t>Кино_СССР сводный каталог.xlsx: список фильмов (доп.)</t>
        </is>
      </c>
      <c r="M343" s="2">
        <f>HYPERLINK("https://ru.wikipedia.org/w/index.php?search=%D0%9F%D0%B0%D1%80%D1%82%D0%B8%D0%B9%D0%BD%D1%8B%D0%B5%20%D0%B1%D0%B5%D0%B3%D0%B0%2C%20%D0%B8%D0%BB%D0%B8%20%D0%94%D1%80%D0%B5%D0%B1%D0%B5%D0%B4%D0%B5%D0%BD%D1%8C%20%D0%BD%D0%B0%20%D0%BC%D0%B0%D1%80%D1%82%D0%BE%D0%B2%D1%81%D0%BA%D0%B8%D1%85%20%D1%81%D1%83%D0%B3%D1%80%D0%BE%D0%B1%D0%B0%D1%85%201991%20%D1%84%D0%B8%D0%BB%D1%8C%D0%BC","искать")</f>
        <v/>
      </c>
      <c r="N343" s="3" t="n"/>
      <c r="O343" s="2" t="n"/>
    </row>
    <row r="344">
      <c r="A344" s="2" t="n">
        <v>343</v>
      </c>
      <c r="B344" s="2" t="inlineStr">
        <is>
          <t>обрыв</t>
        </is>
      </c>
      <c r="C344" s="2" t="n">
        <v>9381</v>
      </c>
      <c r="D344" s="3" t="inlineStr">
        <is>
          <t>Золотая шпага</t>
        </is>
      </c>
      <c r="E344" s="2" t="n">
        <v>1990</v>
      </c>
      <c r="F344" s="2" t="inlineStr">
        <is>
          <t>кинофильм</t>
        </is>
      </c>
      <c r="G344" s="2" t="n"/>
      <c r="H344" s="2" t="n">
        <v>261</v>
      </c>
      <c r="I344" s="2" t="inlineStr">
        <is>
          <t>да</t>
        </is>
      </c>
      <c r="J344" s="2" t="inlineStr"/>
      <c r="K344" s="3" t="inlineStr">
        <is>
          <t>Кукольно-игровой фильм. Современная сказка про девятилетнюю Шурочку, которая проводила каникулы на даче, влюбленного в нее малюсенького принца (жителя волшебного королевства), про Ваню, нечестно завладевшего волшебной золотой шпагой, и других обитателей дачи...</t>
        </is>
      </c>
      <c r="L344" s="2" t="inlineStr">
        <is>
          <t>Кино_СССР сводный каталог.xlsx: список фильмов (доп.)</t>
        </is>
      </c>
      <c r="M344" s="2">
        <f>HYPERLINK("https://ru.wikipedia.org/w/index.php?search=%D0%97%D0%BE%D0%BB%D0%BE%D1%82%D0%B0%D1%8F%20%D1%88%D0%BF%D0%B0%D0%B3%D0%B0%201990%20%D1%84%D0%B8%D0%BB%D1%8C%D0%BC","искать")</f>
        <v/>
      </c>
      <c r="N344" s="3" t="n"/>
      <c r="O344" s="2" t="n"/>
    </row>
    <row r="345">
      <c r="A345" s="2" t="n">
        <v>344</v>
      </c>
      <c r="B345" s="2" t="inlineStr">
        <is>
          <t>обрыв</t>
        </is>
      </c>
      <c r="C345" s="2" t="n">
        <v>11252</v>
      </c>
      <c r="D345" s="3" t="inlineStr">
        <is>
          <t>Вдовий пароход</t>
        </is>
      </c>
      <c r="E345" s="2" t="n">
        <v>1989</v>
      </c>
      <c r="F345" s="2" t="inlineStr">
        <is>
          <t>фильм-спектакль</t>
        </is>
      </c>
      <c r="G345" s="2" t="n"/>
      <c r="H345" s="2" t="n">
        <v>261</v>
      </c>
      <c r="I345" s="2" t="inlineStr">
        <is>
          <t>да</t>
        </is>
      </c>
      <c r="J345" s="2" t="inlineStr"/>
      <c r="K345" s="3" t="inlineStr">
        <is>
          <t>По одноименному роману И. Грековой в постановке Театра им. Моссовета. Рассказ о женщинах, живущих в одной коммунальной квартире, которую они сами прозвали "Вдовий пароход". У каждой своя история и свое горе. В 1943-м возвращается сюда с фронта Анфиса Громова...</t>
        </is>
      </c>
      <c r="L345" s="2" t="inlineStr">
        <is>
          <t>https://www.kino-teatr.ru/teatr/movie/81472/annot/</t>
        </is>
      </c>
      <c r="M345" s="2">
        <f>HYPERLINK("https://ru.wikipedia.org/w/index.php?search=%D0%92%D0%B4%D0%BE%D0%B2%D0%B8%D0%B9%20%D0%BF%D0%B0%D1%80%D0%BE%D1%85%D0%BE%D0%B4%201989%20%D1%84%D0%B8%D0%BB%D1%8C%D0%BC","искать")</f>
        <v/>
      </c>
      <c r="N345" s="3" t="n"/>
      <c r="O345" s="2" t="n"/>
    </row>
    <row r="346">
      <c r="A346" s="2" t="n">
        <v>345</v>
      </c>
      <c r="B346" s="2" t="inlineStr">
        <is>
          <t>обрыв</t>
        </is>
      </c>
      <c r="C346" s="2" t="n">
        <v>9279</v>
      </c>
      <c r="D346" s="3" t="inlineStr">
        <is>
          <t>Волчонок среди людей</t>
        </is>
      </c>
      <c r="E346" s="2" t="n">
        <v>1988</v>
      </c>
      <c r="F346" s="2" t="inlineStr">
        <is>
          <t>кинофильм</t>
        </is>
      </c>
      <c r="G346" s="2" t="inlineStr">
        <is>
          <t>Мосфильм</t>
        </is>
      </c>
      <c r="H346" s="2" t="n">
        <v>262</v>
      </c>
      <c r="I346" s="2" t="inlineStr">
        <is>
          <t>да</t>
        </is>
      </c>
      <c r="J346" s="2" t="inlineStr"/>
      <c r="K346" s="3" t="inlineStr">
        <is>
          <t>Мальчик живет в далеком ауле с бабушкой. Однажды он находит в лесу волчонка и прячет его на чердаке. Охотник, убивший мать волчонка и считавший его своей добычей, вскоре обнаруживает пропажу. Почувствовав, что «другу» грозит опасность, Самат спешит на выручку...</t>
        </is>
      </c>
      <c r="L346" s="2" t="inlineStr">
        <is>
          <t>Кино_СССР сводный каталог.xlsx: список фильмов (доп.)</t>
        </is>
      </c>
      <c r="M346" s="2">
        <f>HYPERLINK("https://ru.wikipedia.org/w/index.php?search=%D0%92%D0%BE%D0%BB%D1%87%D0%BE%D0%BD%D0%BE%D0%BA%20%D1%81%D1%80%D0%B5%D0%B4%D0%B8%20%D0%BB%D1%8E%D0%B4%D0%B5%D0%B9%201988%20%D1%84%D0%B8%D0%BB%D1%8C%D0%BC","искать")</f>
        <v/>
      </c>
      <c r="N346" s="3" t="n"/>
      <c r="O346" s="2" t="n"/>
    </row>
    <row r="347">
      <c r="A347" s="2" t="n">
        <v>346</v>
      </c>
      <c r="B347" s="2" t="inlineStr">
        <is>
          <t>обрыв</t>
        </is>
      </c>
      <c r="C347" s="2" t="n">
        <v>9486</v>
      </c>
      <c r="D347" s="3" t="inlineStr">
        <is>
          <t>На окраине, где-то в городе...</t>
        </is>
      </c>
      <c r="E347" s="2" t="n">
        <v>1988</v>
      </c>
      <c r="F347" s="2" t="inlineStr">
        <is>
          <t>кинофильм</t>
        </is>
      </c>
      <c r="G347" s="2" t="n"/>
      <c r="H347" s="2" t="n">
        <v>262</v>
      </c>
      <c r="I347" s="2" t="inlineStr">
        <is>
          <t>да</t>
        </is>
      </c>
      <c r="J347" s="2" t="inlineStr">
        <is>
          <t>да</t>
        </is>
      </c>
      <c r="K347" s="3" t="inlineStr">
        <is>
          <t>О проблемах современной школы. Мать, уставшая и отупевшая от беспросветных двоек сына, отчим, привычно-стращающий профессионально-техническим образованием, учитель, пытающийся достучаться до сердца каждого ученика, ребята, не знающие, куда девать свою энергию...</t>
        </is>
      </c>
      <c r="L347" s="2" t="inlineStr">
        <is>
          <t>Кино_СССР сводный каталог.xlsx: список фильмов (доп.)</t>
        </is>
      </c>
      <c r="M347" s="2">
        <f>HYPERLINK("https://ru.wikipedia.org/w/index.php?search=%D0%9D%D0%B0%20%D0%BE%D0%BA%D1%80%D0%B0%D0%B8%D0%BD%D0%B5%2C%20%D0%B3%D0%B4%D0%B5-%D1%82%D0%BE%20%D0%B2%20%D0%B3%D0%BE%D1%80%D0%BE%D0%B4%D0%B5...%201988%20%D1%84%D0%B8%D0%BB%D1%8C%D0%BC","искать")</f>
        <v/>
      </c>
      <c r="N347" s="3" t="n"/>
      <c r="O347" s="2" t="n"/>
    </row>
    <row r="348">
      <c r="A348" s="2" t="n">
        <v>347</v>
      </c>
      <c r="B348" s="2" t="inlineStr">
        <is>
          <t>обрыв</t>
        </is>
      </c>
      <c r="C348" s="2" t="n">
        <v>9751</v>
      </c>
      <c r="D348" s="3" t="inlineStr">
        <is>
          <t>Чёрная роза – эмблема печали, красная роза – эмблема любви</t>
        </is>
      </c>
      <c r="E348" s="2" t="n">
        <v>1989</v>
      </c>
      <c r="F348" s="2" t="inlineStr">
        <is>
          <t>кинофильм</t>
        </is>
      </c>
      <c r="G348" s="2" t="n"/>
      <c r="H348" s="2" t="n">
        <v>262</v>
      </c>
      <c r="I348" s="2" t="inlineStr">
        <is>
          <t>да</t>
        </is>
      </c>
      <c r="J348" s="2" t="inlineStr"/>
      <c r="K348" s="3" t="inlineStr">
        <is>
          <t>Второй фильм трилогии Сергея Соловьева, начатой фильмом "Асса". Герои фильма - 15-летний миллионер, комсомолец и дворянин, а также арбатская красавица, лимитчик-диссидент и элегантный супермен разыгрывают историю нашей жизни - трагическую, но полную оптимизма...</t>
        </is>
      </c>
      <c r="L348" s="2" t="inlineStr">
        <is>
          <t>Кино_СССР сводный каталог.xlsx: список фильмов (доп.)</t>
        </is>
      </c>
      <c r="M348" s="2">
        <f>HYPERLINK("https://ru.wikipedia.org/w/index.php?search=%D0%A7%D1%91%D1%80%D0%BD%D0%B0%D1%8F%20%D1%80%D0%BE%D0%B7%D0%B0%20%E2%80%93%20%D1%8D%D0%BC%D0%B1%D0%BB%D0%B5%D0%BC%D0%B0%20%D0%BF%D0%B5%D1%87%D0%B0%D0%BB%D0%B8%2C%20%D0%BA%D1%80%D0%B0%D1%81%D0%BD%D0%B0%D1%8F%20%D1%80%D0%BE%D0%B7%D0%B0%20%E2%80%93%20%D1%8D%D0%BC%D0%B1%D0%BB%D0%B5%D0%BC%D0%B0%20%D0%BB%D1%8E%D0%B1%D0%B2%D0%B8%201989%20%D1%84%D0%B8%D0%BB%D1%8C%D0%BC","искать")</f>
        <v/>
      </c>
      <c r="N348" s="3" t="n"/>
      <c r="O348" s="2" t="n"/>
    </row>
    <row r="349">
      <c r="A349" s="2" t="n">
        <v>348</v>
      </c>
      <c r="B349" s="2" t="inlineStr">
        <is>
          <t>обрыв</t>
        </is>
      </c>
      <c r="C349" s="2" t="n">
        <v>7480</v>
      </c>
      <c r="D349" s="3" t="inlineStr">
        <is>
          <t>Две сестры</t>
        </is>
      </c>
      <c r="E349" s="2" t="n">
        <v>1970</v>
      </c>
      <c r="F349" s="2" t="inlineStr">
        <is>
          <t>телефильм</t>
        </is>
      </c>
      <c r="G349" s="2" t="n"/>
      <c r="H349" s="2" t="n">
        <v>263</v>
      </c>
      <c r="I349" s="2" t="inlineStr">
        <is>
          <t>да</t>
        </is>
      </c>
      <c r="J349" s="2" t="inlineStr"/>
      <c r="K349" s="3" t="inlineStr">
        <is>
          <t>По одноименной пьесе Ф.Кнорре. Люся и Сергей дружат с детства. Ирина, старшая сестра Люси, вернувшись из Москвы после неудачной попытки поступить в театральный институт, очаровывает Сергея. Потребовалось время, чтобы он сумел оценить неподдельность чувств Люси...</t>
        </is>
      </c>
      <c r="L349" s="2" t="inlineStr">
        <is>
          <t>Кино_СССР сводный каталог.xlsx: список телефильмов</t>
        </is>
      </c>
      <c r="M349" s="2">
        <f>HYPERLINK("https://ru.wikipedia.org/w/index.php?search=%D0%94%D0%B2%D0%B5%20%D1%81%D0%B5%D1%81%D1%82%D1%80%D1%8B%201970%20%D1%84%D0%B8%D0%BB%D1%8C%D0%BC","искать")</f>
        <v/>
      </c>
      <c r="N349" s="3" t="n"/>
      <c r="O349" s="2" t="n"/>
    </row>
    <row r="350">
      <c r="A350" s="2" t="n">
        <v>349</v>
      </c>
      <c r="B350" s="2" t="inlineStr">
        <is>
          <t>обрыв</t>
        </is>
      </c>
      <c r="C350" s="2" t="n">
        <v>10709</v>
      </c>
      <c r="D350" s="3" t="inlineStr">
        <is>
          <t>Пена</t>
        </is>
      </c>
      <c r="E350" s="2" t="n">
        <v>1977</v>
      </c>
      <c r="F350" s="2" t="inlineStr">
        <is>
          <t>фильм-спектакль</t>
        </is>
      </c>
      <c r="G350" s="2" t="n"/>
      <c r="H350" s="2" t="n">
        <v>263</v>
      </c>
      <c r="I350" s="2" t="inlineStr">
        <is>
          <t>да</t>
        </is>
      </c>
      <c r="J350" s="2" t="inlineStr"/>
      <c r="K350" s="3" t="inlineStr">
        <is>
          <t>Спектакль в постановке Московского академического театра сатиры по мотивам одноименной пьесы С.Михалкова.
Герой спектакля - руководитель одного из научных институтов Махонин, окружив себя подхалимами, становится на бесчестный путь "покупки" готовой диссертации...</t>
        </is>
      </c>
      <c r="L350" s="2" t="inlineStr">
        <is>
          <t>https://www.kino-teatr.ru/teatr/movie/81439/annot/</t>
        </is>
      </c>
      <c r="M350" s="2">
        <f>HYPERLINK("https://ru.wikipedia.org/w/index.php?search=%D0%9F%D0%B5%D0%BD%D0%B0%201977%20%D1%84%D0%B8%D0%BB%D1%8C%D0%BC","искать")</f>
        <v/>
      </c>
      <c r="N350" s="3" t="n"/>
      <c r="O350" s="2" t="n"/>
    </row>
    <row r="351">
      <c r="A351" s="2" t="n">
        <v>350</v>
      </c>
      <c r="B351" s="2" t="inlineStr">
        <is>
          <t>обрыв</t>
        </is>
      </c>
      <c r="C351" s="2" t="n">
        <v>10886</v>
      </c>
      <c r="D351" s="3" t="inlineStr">
        <is>
          <t>Карл и Анна</t>
        </is>
      </c>
      <c r="E351" s="2" t="n">
        <v>1981</v>
      </c>
      <c r="F351" s="2" t="inlineStr">
        <is>
          <t>фильм-спектакль</t>
        </is>
      </c>
      <c r="G351" s="2" t="inlineStr">
        <is>
          <t>Литовское телевидение</t>
        </is>
      </c>
      <c r="H351" s="2" t="n">
        <v>263</v>
      </c>
      <c r="I351" s="2" t="inlineStr">
        <is>
          <t>да</t>
        </is>
      </c>
      <c r="J351" s="2" t="inlineStr"/>
      <c r="K351" s="3" t="inlineStr">
        <is>
          <t>Поставлен по одноименной пьесе немецкого драматурга и писателя Леонгарда Франка (1882-1961).
Это история о любви двух людей в трудное военное время, о любви, которая побеждает все препятствия, возникая неожиданно, ниоткуда, овладевая всеми помыслами влюбленных...</t>
        </is>
      </c>
      <c r="L351" s="2" t="inlineStr">
        <is>
          <t>https://www.kino-teatr.ru/teatr/movie/107439/annot/</t>
        </is>
      </c>
      <c r="M351" s="2">
        <f>HYPERLINK("https://ru.wikipedia.org/w/index.php?search=%D0%9A%D0%B0%D1%80%D0%BB%20%D0%B8%20%D0%90%D0%BD%D0%BD%D0%B0%201981%20%D1%84%D0%B8%D0%BB%D1%8C%D0%BC","искать")</f>
        <v/>
      </c>
      <c r="N351" s="3" t="n"/>
      <c r="O351" s="2" t="n"/>
    </row>
    <row r="352">
      <c r="A352" s="2" t="n">
        <v>351</v>
      </c>
      <c r="B352" s="2" t="inlineStr">
        <is>
          <t>обрыв</t>
        </is>
      </c>
      <c r="C352" s="2" t="n">
        <v>10966</v>
      </c>
      <c r="D352" s="3" t="inlineStr">
        <is>
          <t>Рудин</t>
        </is>
      </c>
      <c r="E352" s="2" t="n">
        <v>1982</v>
      </c>
      <c r="F352" s="2" t="inlineStr">
        <is>
          <t>фильм-спектакль</t>
        </is>
      </c>
      <c r="G352" s="2" t="inlineStr">
        <is>
          <t>Лентелефильм</t>
        </is>
      </c>
      <c r="H352" s="2" t="n">
        <v>263</v>
      </c>
      <c r="I352" s="2" t="inlineStr">
        <is>
          <t>да</t>
        </is>
      </c>
      <c r="J352" s="2" t="inlineStr"/>
      <c r="K352" s="3" t="inlineStr">
        <is>
          <t>Телеспектакль по одноименному роману Ивана Сергеевича Тургенева.
Дмитрий Николаевич Рудин, появляется в поместье богатой барыни Дарьи Михайловны Ласунской. Встреча с ним становится событием, привлекшим самое заинтересованное внимание обитателей и гостей имения...</t>
        </is>
      </c>
      <c r="L352" s="2" t="inlineStr">
        <is>
          <t>https://www.kino-teatr.ru/teatr/movie/123860/annot/</t>
        </is>
      </c>
      <c r="M352" s="2">
        <f>HYPERLINK("https://ru.wikipedia.org/w/index.php?search=%D0%A0%D1%83%D0%B4%D0%B8%D0%BD%201982%20%D1%84%D0%B8%D0%BB%D1%8C%D0%BC","искать")</f>
        <v/>
      </c>
      <c r="N352" s="3" t="n"/>
      <c r="O352" s="2" t="n"/>
    </row>
    <row r="353">
      <c r="A353" s="2" t="n">
        <v>352</v>
      </c>
      <c r="B353" s="2" t="inlineStr">
        <is>
          <t>обрыв</t>
        </is>
      </c>
      <c r="C353" s="2" t="n">
        <v>8349</v>
      </c>
      <c r="D353" s="3" t="inlineStr">
        <is>
          <t>Сказка о Звёздном мальчике</t>
        </is>
      </c>
      <c r="E353" s="2" t="n">
        <v>1983</v>
      </c>
      <c r="F353" s="2" t="inlineStr">
        <is>
          <t>телефильм</t>
        </is>
      </c>
      <c r="G353" s="2" t="inlineStr">
        <is>
          <t>Беларусьфильм</t>
        </is>
      </c>
      <c r="H353" s="2" t="n">
        <v>264</v>
      </c>
      <c r="I353" s="2" t="inlineStr">
        <is>
          <t>да</t>
        </is>
      </c>
      <c r="J353" s="2" t="inlineStr"/>
      <c r="K353" s="3" t="inlineStr">
        <is>
          <t>На Землю упала звезда. Так появился на нашей планете звездный мальчик. Он был ловок и умен, но жесток и холоден. Даже свою мать, которая долгие годы искала его и поэтому явилась в отрепьях нищенки, он оттолкнул и обидел. Но судьба дала ему шанс исправить ошибки...</t>
        </is>
      </c>
      <c r="L353" s="2" t="inlineStr">
        <is>
          <t>Кино_СССР сводный каталог.xlsx: список телефильмов</t>
        </is>
      </c>
      <c r="M353" s="2">
        <f>HYPERLINK("https://ru.wikipedia.org/w/index.php?search=%D0%A1%D0%BA%D0%B0%D0%B7%D0%BA%D0%B0%20%D0%BE%20%D0%97%D0%B2%D1%91%D0%B7%D0%B4%D0%BD%D0%BE%D0%BC%20%D0%BC%D0%B0%D0%BB%D1%8C%D1%87%D0%B8%D0%BA%D0%B5%201983%20%D1%84%D0%B8%D0%BB%D1%8C%D0%BC","искать")</f>
        <v/>
      </c>
      <c r="N353" s="3" t="n"/>
      <c r="O353" s="2" t="n"/>
    </row>
    <row r="354">
      <c r="A354" s="2" t="n">
        <v>353</v>
      </c>
      <c r="B354" s="2" t="inlineStr">
        <is>
          <t>обрыв</t>
        </is>
      </c>
      <c r="C354" s="2" t="n">
        <v>8821</v>
      </c>
      <c r="D354" s="3" t="inlineStr">
        <is>
          <t>Мария Магдалина</t>
        </is>
      </c>
      <c r="E354" s="2" t="n">
        <v>1990</v>
      </c>
      <c r="F354" s="2" t="inlineStr">
        <is>
          <t>кинофильм</t>
        </is>
      </c>
      <c r="G354" s="2" t="n"/>
      <c r="H354" s="2" t="n">
        <v>264</v>
      </c>
      <c r="I354" s="2" t="inlineStr">
        <is>
          <t>да</t>
        </is>
      </c>
      <c r="J354" s="2" t="inlineStr"/>
      <c r="K354" s="3" t="inlineStr">
        <is>
          <t>Муж героини трагически погиб в море - и теперь ее жизнь постепенно превращается в бесконечную цепь унижений. Неустроенность, невозможность защитить себя и свою дочь от повседневного грубого обмана приводят к тому, что одинокая женщина становится портовой шлюхой...</t>
        </is>
      </c>
      <c r="L354" s="2" t="inlineStr">
        <is>
          <t>Кино_СССР сводный каталог.xlsx: список фильмов (доп.)</t>
        </is>
      </c>
      <c r="M354" s="2">
        <f>HYPERLINK("https://ru.wikipedia.org/w/index.php?search=%D0%9C%D0%B0%D1%80%D0%B8%D1%8F%20%D0%9C%D0%B0%D0%B3%D0%B4%D0%B0%D0%BB%D0%B8%D0%BD%D0%B0%201990%20%D1%84%D0%B8%D0%BB%D1%8C%D0%BC","искать")</f>
        <v/>
      </c>
      <c r="N354" s="3" t="n"/>
      <c r="O354" s="2" t="n"/>
    </row>
    <row r="355">
      <c r="A355" s="2" t="n">
        <v>354</v>
      </c>
      <c r="B355" s="2" t="inlineStr">
        <is>
          <t>обрыв</t>
        </is>
      </c>
      <c r="C355" s="2" t="n">
        <v>7957</v>
      </c>
      <c r="D355" s="3" t="inlineStr">
        <is>
          <t>Не бойся, я с тобой!</t>
        </is>
      </c>
      <c r="E355" s="2" t="n">
        <v>1981</v>
      </c>
      <c r="F355" s="2" t="inlineStr">
        <is>
          <t>телефильм</t>
        </is>
      </c>
      <c r="G355" s="2" t="n"/>
      <c r="H355" s="2" t="n">
        <v>265</v>
      </c>
      <c r="I355" s="2" t="inlineStr">
        <is>
          <t>да</t>
        </is>
      </c>
      <c r="J355" s="2" t="inlineStr"/>
      <c r="K355" s="3" t="inlineStr">
        <is>
          <t>Начало XX века. Российская империя, Азербайджан. Герои фильма, артисты цирка Рустам и Сан Саныч, приезжают на родину Рустама. Втянутые, помимо своей воли, в любовную историю певца Теймура и дочери Фарзали-бека Телли, они помогают им обмануть жадного отца девушки...</t>
        </is>
      </c>
      <c r="L355" s="2" t="inlineStr">
        <is>
          <t>Кино_СССР сводный каталог.xlsx: список телефильмов</t>
        </is>
      </c>
      <c r="M355" s="2">
        <f>HYPERLINK("https://ru.wikipedia.org/w/index.php?search=%D0%9D%D0%B5%20%D0%B1%D0%BE%D0%B9%D1%81%D1%8F%2C%20%D1%8F%20%D1%81%20%D1%82%D0%BE%D0%B1%D0%BE%D0%B9%21%201981%20%D1%84%D0%B8%D0%BB%D1%8C%D0%BC","искать")</f>
        <v/>
      </c>
      <c r="N355" s="3" t="n"/>
      <c r="O355" s="2" t="n"/>
    </row>
    <row r="356">
      <c r="A356" s="2" t="n">
        <v>355</v>
      </c>
      <c r="B356" s="2" t="inlineStr">
        <is>
          <t>обрыв</t>
        </is>
      </c>
      <c r="C356" s="2" t="n">
        <v>10720</v>
      </c>
      <c r="D356" s="3" t="inlineStr">
        <is>
          <t>Чао!</t>
        </is>
      </c>
      <c r="E356" s="2" t="n">
        <v>1977</v>
      </c>
      <c r="F356" s="2" t="inlineStr">
        <is>
          <t>фильм-спектакль</t>
        </is>
      </c>
      <c r="G356" s="2" t="inlineStr">
        <is>
          <t>Главная редакция литературно-драматических программ ЦТ</t>
        </is>
      </c>
      <c r="H356" s="2" t="n">
        <v>266</v>
      </c>
      <c r="I356" s="2" t="inlineStr">
        <is>
          <t>да</t>
        </is>
      </c>
      <c r="J356" s="2" t="inlineStr"/>
      <c r="K356" s="3" t="inlineStr">
        <is>
          <t>По пьесе французского драматурга Мари-Жильбера Соважона "Чао!".
Жером Куфисель, глава фирмы покупает мощный компьютер и увольняет ряд сотрудников, в том числе служащего Мартине. Однако судьба коварна: Софи, дочь Жерома Куфиселя, влюбляется в Венсана, сына Мартине...</t>
        </is>
      </c>
      <c r="L356" s="2" t="inlineStr">
        <is>
          <t>https://www.kino-teatr.ru/teatr/movie/14266/annot/</t>
        </is>
      </c>
      <c r="M356" s="2">
        <f>HYPERLINK("https://ru.wikipedia.org/w/index.php?search=%D0%A7%D0%B0%D0%BE%21%201977%20%D1%84%D0%B8%D0%BB%D1%8C%D0%BC","искать")</f>
        <v/>
      </c>
      <c r="N356" s="3" t="n"/>
      <c r="O356" s="2" t="n"/>
    </row>
    <row r="357">
      <c r="A357" s="2" t="n">
        <v>356</v>
      </c>
      <c r="B357" s="2" t="inlineStr">
        <is>
          <t>обрыв</t>
        </is>
      </c>
      <c r="C357" s="2" t="n">
        <v>8888</v>
      </c>
      <c r="D357" s="3" t="inlineStr">
        <is>
          <t>Обнажённая в шляпе</t>
        </is>
      </c>
      <c r="E357" s="2" t="n">
        <v>1991</v>
      </c>
      <c r="F357" s="2" t="inlineStr">
        <is>
          <t>кинофильм</t>
        </is>
      </c>
      <c r="G357" s="2" t="inlineStr">
        <is>
          <t>Студия «АУРА»; Одесская киностудия</t>
        </is>
      </c>
      <c r="H357" s="2" t="n">
        <v>267</v>
      </c>
      <c r="I357" s="2" t="inlineStr">
        <is>
          <t>да</t>
        </is>
      </c>
      <c r="J357" s="2" t="inlineStr"/>
      <c r="K357" s="3" t="inlineStr">
        <is>
          <t>Поздно ночью двое в противогазах ворвались в квартиру фотожурналиста Кости и, усыпив с помощью газового баллончика, увезли. И теперь коллеги, имея один из последних снимков Кости, где изображена обнаженная девушка с родинкой на интимном месте, намерены найти друга...</t>
        </is>
      </c>
      <c r="L357" s="2" t="inlineStr">
        <is>
          <t>Кино_СССР сводный каталог.xlsx: список фильмов (доп.)</t>
        </is>
      </c>
      <c r="M357" s="2">
        <f>HYPERLINK("https://ru.wikipedia.org/w/index.php?search=%D0%9E%D0%B1%D0%BD%D0%B0%D0%B6%D1%91%D0%BD%D0%BD%D0%B0%D1%8F%20%D0%B2%20%D1%88%D0%BB%D1%8F%D0%BF%D0%B5%201991%20%D1%84%D0%B8%D0%BB%D1%8C%D0%BC","искать")</f>
        <v/>
      </c>
      <c r="N357" s="3" t="n"/>
      <c r="O357" s="2" t="n"/>
    </row>
    <row r="358">
      <c r="A358" s="2" t="n">
        <v>357</v>
      </c>
      <c r="B358" s="2" t="inlineStr">
        <is>
          <t>обрыв</t>
        </is>
      </c>
      <c r="C358" s="2" t="n">
        <v>9412</v>
      </c>
      <c r="D358" s="3" t="inlineStr">
        <is>
          <t>Катала</t>
        </is>
      </c>
      <c r="E358" s="2" t="n">
        <v>1989</v>
      </c>
      <c r="F358" s="2" t="inlineStr">
        <is>
          <t>кинофильм</t>
        </is>
      </c>
      <c r="G358" s="2" t="n"/>
      <c r="H358" s="2" t="n">
        <v>267</v>
      </c>
      <c r="I358" s="2" t="inlineStr">
        <is>
          <t>да</t>
        </is>
      </c>
      <c r="J358" s="2" t="inlineStr"/>
      <c r="K358" s="3" t="inlineStr">
        <is>
          <t>В основе остросюжетного фильма - история игрока, внедрившегося в среду профессиональных картежников в надежде сорвать крупный куш. Эта авантюра вынуждает героя пройти через множество злоключений, и в итоге неумолимые обстоятельства приводят его к полному проигрышу...</t>
        </is>
      </c>
      <c r="L358" s="2" t="inlineStr">
        <is>
          <t>Кино_СССР сводный каталог.xlsx: список фильмов (доп.)</t>
        </is>
      </c>
      <c r="M358" s="2">
        <f>HYPERLINK("https://ru.wikipedia.org/w/index.php?search=%D0%9A%D0%B0%D1%82%D0%B0%D0%BB%D0%B0%201989%20%D1%84%D0%B8%D0%BB%D1%8C%D0%BC","искать")</f>
        <v/>
      </c>
      <c r="N358" s="3" t="n"/>
      <c r="O358" s="2" t="n"/>
    </row>
    <row r="359">
      <c r="A359" s="2" t="n">
        <v>358</v>
      </c>
      <c r="B359" s="2" t="inlineStr">
        <is>
          <t>обрыв</t>
        </is>
      </c>
      <c r="C359" s="2" t="n">
        <v>7756</v>
      </c>
      <c r="D359" s="3" t="inlineStr">
        <is>
          <t>Короткая игра</t>
        </is>
      </c>
      <c r="E359" s="2" t="n">
        <v>1990</v>
      </c>
      <c r="F359" s="2" t="inlineStr">
        <is>
          <t>телефильм</t>
        </is>
      </c>
      <c r="G359" s="2" t="n"/>
      <c r="H359" s="2" t="n">
        <v>268</v>
      </c>
      <c r="I359" s="2" t="inlineStr">
        <is>
          <t>да</t>
        </is>
      </c>
      <c r="J359" s="2" t="inlineStr"/>
      <c r="K359" s="3" t="inlineStr">
        <is>
          <t>Поблекший от беспросветно серой жизни архитектор встречает друга детства и приходит в недоумение от его шикарного существования. Но ничего не просит и даже отказывается от помощи. Однако решается на дикий и непонятный шаг: крадет у него сына и требует за него выкуп...</t>
        </is>
      </c>
      <c r="L359" s="2" t="inlineStr">
        <is>
          <t>Кино_СССР сводный каталог.xlsx: список телефильмов</t>
        </is>
      </c>
      <c r="M359" s="2">
        <f>HYPERLINK("https://ru.wikipedia.org/w/index.php?search=%D0%9A%D0%BE%D1%80%D0%BE%D1%82%D0%BA%D0%B0%D1%8F%20%D0%B8%D0%B3%D1%80%D0%B0%201990%20%D1%84%D0%B8%D0%BB%D1%8C%D0%BC","искать")</f>
        <v/>
      </c>
      <c r="N359" s="3" t="n"/>
      <c r="O359" s="2" t="n"/>
    </row>
    <row r="360">
      <c r="A360" s="2" t="n">
        <v>359</v>
      </c>
      <c r="B360" s="2" t="inlineStr">
        <is>
          <t>обрыв</t>
        </is>
      </c>
      <c r="C360" s="2" t="n">
        <v>9149</v>
      </c>
      <c r="D360" s="3" t="inlineStr">
        <is>
          <t>Хэппи энд</t>
        </is>
      </c>
      <c r="E360" s="2" t="n">
        <v>1991</v>
      </c>
      <c r="F360" s="2" t="inlineStr">
        <is>
          <t>кинофильм</t>
        </is>
      </c>
      <c r="G360" s="2" t="n"/>
      <c r="H360" s="2" t="n">
        <v>268</v>
      </c>
      <c r="I360" s="2" t="inlineStr">
        <is>
          <t>да</t>
        </is>
      </c>
      <c r="J360" s="2" t="inlineStr"/>
      <c r="K360" s="3" t="inlineStr">
        <is>
          <t>По одноименной повести Виктории Токаревой. Провинциальный аптекарь уезжает в столицу, оставив дома мужа и ребенка. Но большой город не настроен дарить ей успех и славу. Он, скорее, использует ее доброту и искренность, и выбросит, как это случалось со многими до нее...</t>
        </is>
      </c>
      <c r="L360" s="2" t="inlineStr">
        <is>
          <t>Кино_СССР сводный каталог.xlsx: список фильмов (доп.)</t>
        </is>
      </c>
      <c r="M360" s="2">
        <f>HYPERLINK("https://ru.wikipedia.org/w/index.php?search=%D0%A5%D1%8D%D0%BF%D0%BF%D0%B8%20%D1%8D%D0%BD%D0%B4%201991%20%D1%84%D0%B8%D0%BB%D1%8C%D0%BC","искать")</f>
        <v/>
      </c>
      <c r="N360" s="3" t="n"/>
      <c r="O360" s="2" t="n"/>
    </row>
    <row r="361">
      <c r="A361" s="2" t="n">
        <v>360</v>
      </c>
      <c r="B361" s="2" t="inlineStr">
        <is>
          <t>обрыв</t>
        </is>
      </c>
      <c r="C361" s="2" t="n">
        <v>9944</v>
      </c>
      <c r="D361" s="3" t="inlineStr">
        <is>
          <t>Новоселье</t>
        </is>
      </c>
      <c r="E361" s="2" t="n">
        <v>1979</v>
      </c>
      <c r="F361" s="2" t="inlineStr">
        <is>
          <t>телефильм</t>
        </is>
      </c>
      <c r="G361" s="2" t="inlineStr">
        <is>
          <t>"Белтелефильм"</t>
        </is>
      </c>
      <c r="H361" s="2" t="n">
        <v>268</v>
      </c>
      <c r="I361" s="2" t="inlineStr">
        <is>
          <t>да</t>
        </is>
      </c>
      <c r="J361" s="2" t="inlineStr"/>
      <c r="K361" s="3" t="inlineStr">
        <is>
          <t>Молодая семья забирает к себе бабушку. Ведь городскую квартиру нужно обставить новой мебелью, которую они покупают на вырученные деньги от продажи деревенского дома. Вот только сын с невесткой никак не могут найти бабушке подходящего места в своей просторной квартире…</t>
        </is>
      </c>
      <c r="L361" s="2" t="inlineStr">
        <is>
          <t>https://www.kino-teatr.ru/short/movie/sov/92664/annot/</t>
        </is>
      </c>
      <c r="M361" s="2">
        <f>HYPERLINK("https://ru.wikipedia.org/w/index.php?search=%D0%9D%D0%BE%D0%B2%D0%BE%D1%81%D0%B5%D0%BB%D1%8C%D0%B5%201979%20%D1%84%D0%B8%D0%BB%D1%8C%D0%BC","искать")</f>
        <v/>
      </c>
      <c r="N361" s="3" t="n"/>
      <c r="O361" s="2" t="n"/>
    </row>
    <row r="362">
      <c r="A362" s="2" t="n">
        <v>361</v>
      </c>
      <c r="B362" s="2" t="inlineStr">
        <is>
          <t>обрыв</t>
        </is>
      </c>
      <c r="C362" s="2" t="n">
        <v>10267</v>
      </c>
      <c r="D362" s="3" t="inlineStr">
        <is>
          <t>Портрет Дориана Грея</t>
        </is>
      </c>
      <c r="E362" s="2" t="n">
        <v>1968</v>
      </c>
      <c r="F362" s="2" t="inlineStr">
        <is>
          <t>фильм-спектакль</t>
        </is>
      </c>
      <c r="G362" s="2" t="inlineStr">
        <is>
          <t>Центральное телевидение</t>
        </is>
      </c>
      <c r="H362" s="2" t="n">
        <v>268</v>
      </c>
      <c r="I362" s="2" t="inlineStr">
        <is>
          <t>да</t>
        </is>
      </c>
      <c r="J362" s="2" t="inlineStr"/>
      <c r="K362" s="3" t="inlineStr">
        <is>
          <t>По одноименному роману Оскара Уайльда.
Портрет Дориана Грея имел удивительное свойство: он принимал на себя все грехи «оригинала», а также течение времени. В реальной жизни Дориан Грей не менялся, на лице его не появлялось ни одной морщины, а старел за него портрет...</t>
        </is>
      </c>
      <c r="L362" s="2" t="inlineStr">
        <is>
          <t>https://www.kino-teatr.ru/teatr/movie/5414/annot/</t>
        </is>
      </c>
      <c r="M362" s="2">
        <f>HYPERLINK("https://ru.wikipedia.org/w/index.php?search=%D0%9F%D0%BE%D1%80%D1%82%D1%80%D0%B5%D1%82%20%D0%94%D0%BE%D1%80%D0%B8%D0%B0%D0%BD%D0%B0%20%D0%93%D1%80%D0%B5%D1%8F%201968%20%D1%84%D0%B8%D0%BB%D1%8C%D0%BC","искать")</f>
        <v/>
      </c>
      <c r="N362" s="3" t="n"/>
      <c r="O362" s="2" t="n"/>
    </row>
    <row r="363">
      <c r="A363" s="2" t="n">
        <v>362</v>
      </c>
      <c r="B363" s="2" t="inlineStr">
        <is>
          <t>обрыв</t>
        </is>
      </c>
      <c r="C363" s="2" t="n">
        <v>7338</v>
      </c>
      <c r="D363" s="3" t="inlineStr">
        <is>
          <t>Взятка. Из блокнота журналиста В.Цветкова</t>
        </is>
      </c>
      <c r="E363" s="2" t="n">
        <v>1983</v>
      </c>
      <c r="F363" s="2" t="inlineStr">
        <is>
          <t>телефильм</t>
        </is>
      </c>
      <c r="G363" s="2" t="inlineStr">
        <is>
          <t>Творческое объединение «Экран»</t>
        </is>
      </c>
      <c r="H363" s="2" t="n">
        <v>269</v>
      </c>
      <c r="I363" s="2" t="inlineStr">
        <is>
          <t>да</t>
        </is>
      </c>
      <c r="J363" s="2" t="inlineStr"/>
      <c r="K363" s="3" t="inlineStr">
        <is>
          <t>Работники райжилотдела Курихин и Оловянникова вымогают взятки у тех, кому по праву предоставляются квартиры. Так они поступают и с семьей ветерана войны Михова. Узнав, что его дочь дала взятку, Михов, человек безупречной честности, не может пережить этого беззакония...</t>
        </is>
      </c>
      <c r="L363" s="2" t="inlineStr">
        <is>
          <t>Кино_СССР сводный каталог.xlsx: список телефильмов</t>
        </is>
      </c>
      <c r="M363" s="2">
        <f>HYPERLINK("https://ru.wikipedia.org/w/index.php?search=%D0%92%D0%B7%D1%8F%D1%82%D0%BA%D0%B0.%20%D0%98%D0%B7%20%D0%B1%D0%BB%D0%BE%D0%BA%D0%BD%D0%BE%D1%82%D0%B0%20%D0%B6%D1%83%D1%80%D0%BD%D0%B0%D0%BB%D0%B8%D1%81%D1%82%D0%B0%20%D0%92.%D0%A6%D0%B2%D0%B5%D1%82%D0%BA%D0%BE%D0%B2%D0%B0%201983%20%D1%84%D0%B8%D0%BB%D1%8C%D0%BC","искать")</f>
        <v/>
      </c>
      <c r="N363" s="3" t="n"/>
      <c r="O363" s="2" t="n"/>
    </row>
    <row r="364">
      <c r="A364" s="2" t="n">
        <v>363</v>
      </c>
      <c r="B364" s="2" t="inlineStr">
        <is>
          <t>обрыв</t>
        </is>
      </c>
      <c r="C364" s="2" t="n">
        <v>8648</v>
      </c>
      <c r="D364" s="3" t="inlineStr">
        <is>
          <t>Верный Руслан (История караульной собаки)</t>
        </is>
      </c>
      <c r="E364" s="2" t="n">
        <v>1991</v>
      </c>
      <c r="F364" s="2" t="inlineStr">
        <is>
          <t>кинофильм</t>
        </is>
      </c>
      <c r="G364" s="2" t="n"/>
      <c r="H364" s="2" t="n">
        <v>269</v>
      </c>
      <c r="I364" s="2" t="inlineStr">
        <is>
          <t>да</t>
        </is>
      </c>
      <c r="J364" s="2" t="inlineStr"/>
      <c r="K364" s="3" t="inlineStr">
        <is>
          <t>По одноимённой повести Георгия Владимова о немецкой овчарке по кличке Руслан, в числе прочих караульных собак задействованной в охране лагеря заключённых. После расформирования лагеря собаки оказываются предоставлены сами себе и пытаются приспособиться к новой жизни...</t>
        </is>
      </c>
      <c r="L364" s="2" t="inlineStr">
        <is>
          <t>Кино_СССР сводный каталог.xlsx: список фильмов (доп.)</t>
        </is>
      </c>
      <c r="M364" s="2">
        <f>HYPERLINK("https://ru.wikipedia.org/w/index.php?search=%D0%92%D0%B5%D1%80%D0%BD%D1%8B%D0%B9%20%D0%A0%D1%83%D1%81%D0%BB%D0%B0%D0%BD%20%28%D0%98%D1%81%D1%82%D0%BE%D1%80%D0%B8%D1%8F%20%D0%BA%D0%B0%D1%80%D0%B0%D1%83%D0%BB%D1%8C%D0%BD%D0%BE%D0%B9%20%D1%81%D0%BE%D0%B1%D0%B0%D0%BA%D0%B8%29%201991%20%D1%84%D0%B8%D0%BB%D1%8C%D0%BC","искать")</f>
        <v/>
      </c>
      <c r="N364" s="3" t="n"/>
      <c r="O364" s="2" t="n"/>
    </row>
    <row r="365">
      <c r="A365" s="2" t="n">
        <v>364</v>
      </c>
      <c r="B365" s="2" t="inlineStr">
        <is>
          <t>обрыв</t>
        </is>
      </c>
      <c r="C365" s="2" t="n">
        <v>8859</v>
      </c>
      <c r="D365" s="3" t="inlineStr">
        <is>
          <t>Набат</t>
        </is>
      </c>
      <c r="E365" s="2" t="n">
        <v>1983</v>
      </c>
      <c r="F365" s="2" t="inlineStr">
        <is>
          <t>кинофильм</t>
        </is>
      </c>
      <c r="G365" s="2" t="n"/>
      <c r="H365" s="2" t="n">
        <v>269</v>
      </c>
      <c r="I365" s="2" t="inlineStr">
        <is>
          <t>да</t>
        </is>
      </c>
      <c r="J365" s="2" t="inlineStr"/>
      <c r="K365" s="3" t="inlineStr">
        <is>
          <t>Не знала доверчивая стюардесса Катя Васильчикова, что, взявшись пронести на борт своего самолёта чемоданчик-"дипломат" якобы с коллекционными коньяками для летящих этим же рейсом симпатичных молодожёнов Андрея и Тани, она стала невольной пособницей воздушных пиратов...</t>
        </is>
      </c>
      <c r="L365" s="2" t="inlineStr">
        <is>
          <t>Кино_СССР сводный каталог.xlsx: список фильмов (доп.)</t>
        </is>
      </c>
      <c r="M365" s="2">
        <f>HYPERLINK("https://ru.wikipedia.org/w/index.php?search=%D0%9D%D0%B0%D0%B1%D0%B0%D1%82%201983%20%D1%84%D0%B8%D0%BB%D1%8C%D0%BC","искать")</f>
        <v/>
      </c>
      <c r="N365" s="3" t="n"/>
      <c r="O365" s="2" t="n"/>
    </row>
    <row r="366">
      <c r="A366" s="2" t="n">
        <v>365</v>
      </c>
      <c r="B366" s="2" t="inlineStr">
        <is>
          <t>обрыв</t>
        </is>
      </c>
      <c r="C366" s="2" t="n">
        <v>9480</v>
      </c>
      <c r="D366" s="3" t="inlineStr">
        <is>
          <t>Муж и дочь Тамары Александровны</t>
        </is>
      </c>
      <c r="E366" s="2" t="n">
        <v>1988</v>
      </c>
      <c r="F366" s="2" t="inlineStr">
        <is>
          <t>кинофильм</t>
        </is>
      </c>
      <c r="G366" s="2" t="n"/>
      <c r="H366" s="2" t="n">
        <v>269</v>
      </c>
      <c r="I366" s="2" t="inlineStr">
        <is>
          <t>да</t>
        </is>
      </c>
      <c r="J366" s="2" t="inlineStr"/>
      <c r="K366" s="3" t="inlineStr">
        <is>
          <t>В старом, приготовленном на снос московском доме живут на разных этажах, в коммуналках дочь и муж Тамары Александровны, учительницы средней школы. Когда бывшая жена попадает в больницу, девочка переходит на попечение отца - слабого, но чуткого и отзывчивого человека...</t>
        </is>
      </c>
      <c r="L366" s="2" t="inlineStr">
        <is>
          <t>Кино_СССР сводный каталог.xlsx: список фильмов (доп.)</t>
        </is>
      </c>
      <c r="M366" s="2">
        <f>HYPERLINK("https://ru.wikipedia.org/w/index.php?search=%D0%9C%D1%83%D0%B6%20%D0%B8%20%D0%B4%D0%BE%D1%87%D1%8C%20%D0%A2%D0%B0%D0%BC%D0%B0%D1%80%D1%8B%20%D0%90%D0%BB%D0%B5%D0%BA%D1%81%D0%B0%D0%BD%D0%B4%D1%80%D0%BE%D0%B2%D0%BD%D1%8B%201988%20%D1%84%D0%B8%D0%BB%D1%8C%D0%BC","искать")</f>
        <v/>
      </c>
      <c r="N366" s="3" t="n"/>
      <c r="O366" s="2" t="n"/>
    </row>
    <row r="367">
      <c r="A367" s="2" t="n">
        <v>366</v>
      </c>
      <c r="B367" s="2" t="inlineStr">
        <is>
          <t>обрыв</t>
        </is>
      </c>
      <c r="C367" s="2" t="n">
        <v>9280</v>
      </c>
      <c r="D367" s="3" t="inlineStr">
        <is>
          <t>Волчья стая</t>
        </is>
      </c>
      <c r="E367" s="2" t="n">
        <v>1990</v>
      </c>
      <c r="F367" s="2" t="inlineStr">
        <is>
          <t>кинофильм</t>
        </is>
      </c>
      <c r="G367" s="2" t="n"/>
      <c r="H367" s="2" t="n">
        <v>270</v>
      </c>
      <c r="I367" s="2" t="inlineStr">
        <is>
          <t>да</t>
        </is>
      </c>
      <c r="J367" s="2" t="inlineStr">
        <is>
          <t>да</t>
        </is>
      </c>
      <c r="K367" s="3" t="inlineStr">
        <is>
          <t>После того, как в Ираке было применено против курдов химическое оружие, многие погибли, а многие вместе с семьями покинули отравленные земли и укрылись в горах. Но и там они не находят покоя. Теперь их преследуют волки и каждая ночь - это время страха и ожидания утра...</t>
        </is>
      </c>
      <c r="L367" s="2" t="inlineStr">
        <is>
          <t>Кино_СССР сводный каталог.xlsx: список фильмов (доп.)</t>
        </is>
      </c>
      <c r="M367" s="2">
        <f>HYPERLINK("https://ru.wikipedia.org/w/index.php?search=%D0%92%D0%BE%D0%BB%D1%87%D1%8C%D1%8F%20%D1%81%D1%82%D0%B0%D1%8F%201990%20%D1%84%D0%B8%D0%BB%D1%8C%D0%BC","искать")</f>
        <v/>
      </c>
      <c r="N367" s="3" t="n"/>
      <c r="O367" s="2" t="n"/>
    </row>
    <row r="368">
      <c r="A368" s="2" t="n">
        <v>367</v>
      </c>
      <c r="B368" s="2" t="inlineStr">
        <is>
          <t>обрыв</t>
        </is>
      </c>
      <c r="C368" s="2" t="n">
        <v>9297</v>
      </c>
      <c r="D368" s="3" t="inlineStr">
        <is>
          <t>Высший класс</t>
        </is>
      </c>
      <c r="E368" s="2" t="n">
        <v>1991</v>
      </c>
      <c r="F368" s="2" t="inlineStr">
        <is>
          <t>кинофильм</t>
        </is>
      </c>
      <c r="G368" s="2" t="inlineStr">
        <is>
          <t>Антарес-Фильм, Издат-Банк</t>
        </is>
      </c>
      <c r="H368" s="2" t="n">
        <v>270</v>
      </c>
      <c r="I368" s="2" t="inlineStr">
        <is>
          <t>да</t>
        </is>
      </c>
      <c r="J368" s="2" t="inlineStr"/>
      <c r="K368" s="3" t="inlineStr">
        <is>
          <t>Милашка Верочка (потом она станет Верой Павловной) приезжает в Москву, чтобы когда-нибудь стать звездой. Провалившись на экзаменах, она решает не возвращаться домой. Случай сводит ее с Сергеем Сергеевичем - "нужным" человеком из мафии, поставляющей девочек за границу...</t>
        </is>
      </c>
      <c r="L368" s="2" t="inlineStr">
        <is>
          <t>Кино_СССР сводный каталог.xlsx: список фильмов (доп.)</t>
        </is>
      </c>
      <c r="M368" s="2">
        <f>HYPERLINK("https://ru.wikipedia.org/w/index.php?search=%D0%92%D1%8B%D1%81%D1%88%D0%B8%D0%B9%20%D0%BA%D0%BB%D0%B0%D1%81%D1%81%201991%20%D1%84%D0%B8%D0%BB%D1%8C%D0%BC","искать")</f>
        <v/>
      </c>
      <c r="N368" s="3" t="n"/>
      <c r="O368" s="2" t="n"/>
    </row>
    <row r="369">
      <c r="A369" s="2" t="n">
        <v>368</v>
      </c>
      <c r="B369" s="2" t="inlineStr">
        <is>
          <t>обрыв</t>
        </is>
      </c>
      <c r="C369" s="2" t="n">
        <v>9391</v>
      </c>
      <c r="D369" s="3" t="inlineStr">
        <is>
          <t>Изыди!</t>
        </is>
      </c>
      <c r="E369" s="2" t="n">
        <v>1991</v>
      </c>
      <c r="F369" s="2" t="inlineStr">
        <is>
          <t>кинофильм</t>
        </is>
      </c>
      <c r="G369" s="2" t="n"/>
      <c r="H369" s="2" t="n">
        <v>270</v>
      </c>
      <c r="I369" s="2" t="inlineStr">
        <is>
          <t>да</t>
        </is>
      </c>
      <c r="J369" s="2" t="inlineStr"/>
      <c r="K369" s="3" t="inlineStr">
        <is>
          <t>По мотивам произведений Шолом-Алейхема, А.Куприна, И.Бабеля. Мотл Рабинович отмечал открытие своего маленького дела. Село Антоновка гуляло весело, не чуя грядущей беды. По-русски хмельное, по-еврейски ироничное гульбище вселяло надежду, что ничего плохого не случится...</t>
        </is>
      </c>
      <c r="L369" s="2" t="inlineStr">
        <is>
          <t>Кино_СССР сводный каталог.xlsx: список фильмов (доп.)</t>
        </is>
      </c>
      <c r="M369" s="2">
        <f>HYPERLINK("https://ru.wikipedia.org/w/index.php?search=%D0%98%D0%B7%D1%8B%D0%B4%D0%B8%21%201991%20%D1%84%D0%B8%D0%BB%D1%8C%D0%BC","искать")</f>
        <v/>
      </c>
      <c r="N369" s="3" t="n"/>
      <c r="O369" s="2" t="n"/>
    </row>
    <row r="370">
      <c r="A370" s="2" t="n">
        <v>369</v>
      </c>
      <c r="B370" s="2" t="inlineStr">
        <is>
          <t>обрыв</t>
        </is>
      </c>
      <c r="C370" s="2" t="n">
        <v>7438</v>
      </c>
      <c r="D370" s="3" t="inlineStr">
        <is>
          <t>Гибель 31-го отдела</t>
        </is>
      </c>
      <c r="E370" s="2" t="n">
        <v>1980</v>
      </c>
      <c r="F370" s="2" t="inlineStr">
        <is>
          <t>телефильм</t>
        </is>
      </c>
      <c r="G370" s="2" t="n"/>
      <c r="H370" s="2" t="n">
        <v>271</v>
      </c>
      <c r="I370" s="2" t="inlineStr">
        <is>
          <t>да</t>
        </is>
      </c>
      <c r="J370" s="2" t="inlineStr"/>
      <c r="K370" s="3" t="inlineStr">
        <is>
          <t>Экранизация одноименного романа Пера Валё. Руководство пресс-концерна получает анонимное письмо с угрозой взорвать Дом Прессы. Инспектор Иенсен, расследующий это дело, неожиданно узнает о существовании нигде не упоминаемого, строго засекреченного 31-го отдела концерна...</t>
        </is>
      </c>
      <c r="L370" s="2" t="inlineStr">
        <is>
          <t>Кино_СССР сводный каталог.xlsx: список телефильмов</t>
        </is>
      </c>
      <c r="M370" s="2">
        <f>HYPERLINK("https://ru.wikipedia.org/w/index.php?search=%D0%93%D0%B8%D0%B1%D0%B5%D0%BB%D1%8C%2031-%D0%B3%D0%BE%20%D0%BE%D1%82%D0%B4%D0%B5%D0%BB%D0%B0%201980%20%D1%84%D0%B8%D0%BB%D1%8C%D0%BC","искать")</f>
        <v/>
      </c>
      <c r="N370" s="3" t="n"/>
      <c r="O370" s="2" t="n"/>
    </row>
    <row r="371">
      <c r="A371" s="2" t="n">
        <v>370</v>
      </c>
      <c r="B371" s="2" t="inlineStr">
        <is>
          <t>обрыв</t>
        </is>
      </c>
      <c r="C371" s="2" t="n">
        <v>8176</v>
      </c>
      <c r="D371" s="3" t="inlineStr">
        <is>
          <t>Посылка для Светланы</t>
        </is>
      </c>
      <c r="E371" s="2" t="n">
        <v>1974</v>
      </c>
      <c r="F371" s="2" t="inlineStr">
        <is>
          <t>телефильм</t>
        </is>
      </c>
      <c r="G371" s="2" t="n"/>
      <c r="H371" s="2" t="n">
        <v>271</v>
      </c>
      <c r="I371" s="2" t="inlineStr">
        <is>
          <t>да</t>
        </is>
      </c>
      <c r="J371" s="2" t="inlineStr"/>
      <c r="K371" s="3" t="inlineStr">
        <is>
          <t>Телефильм. Скромная девушка Светлана на свою беду связалась с бывалой аферисткой-спекулянткой, муж которой привозил из разных стран дорогие вещи, все привезенное они продавали втридорога. Вскоре чрезмерное увлечение Светланы шмотками привело и к ее духовному обнищанию...</t>
        </is>
      </c>
      <c r="L371" s="2" t="inlineStr">
        <is>
          <t>Кино_СССР сводный каталог.xlsx: список телефильмов</t>
        </is>
      </c>
      <c r="M371" s="2">
        <f>HYPERLINK("https://ru.wikipedia.org/w/index.php?search=%D0%9F%D0%BE%D1%81%D1%8B%D0%BB%D0%BA%D0%B0%20%D0%B4%D0%BB%D1%8F%20%D0%A1%D0%B2%D0%B5%D1%82%D0%BB%D0%B0%D0%BD%D1%8B%201974%20%D1%84%D0%B8%D0%BB%D1%8C%D0%BC","искать")</f>
        <v/>
      </c>
      <c r="N371" s="3" t="n"/>
      <c r="O371" s="2" t="n"/>
    </row>
    <row r="372">
      <c r="A372" s="2" t="n">
        <v>371</v>
      </c>
      <c r="B372" s="2" t="inlineStr">
        <is>
          <t>обрыв</t>
        </is>
      </c>
      <c r="C372" s="2" t="n">
        <v>8834</v>
      </c>
      <c r="D372" s="3" t="inlineStr">
        <is>
          <t>Меченые</t>
        </is>
      </c>
      <c r="E372" s="2" t="n">
        <v>1991</v>
      </c>
      <c r="F372" s="2" t="inlineStr">
        <is>
          <t>кинофильм</t>
        </is>
      </c>
      <c r="G372" s="2" t="n"/>
      <c r="H372" s="2" t="n">
        <v>271</v>
      </c>
      <c r="I372" s="2" t="inlineStr">
        <is>
          <t>да</t>
        </is>
      </c>
      <c r="J372" s="2" t="inlineStr"/>
      <c r="K372" s="3" t="inlineStr">
        <is>
          <t>Двое друзей уходят из милиции, выражая тем самым протест против коррумпированности властей. Понимая, что правоохранительные органы бездействуют в борьбе с мафией, они решают действовать самостоятельно. К сожалению, силы не равны - и один из них погибает в неравном бою...</t>
        </is>
      </c>
      <c r="L372" s="2" t="inlineStr">
        <is>
          <t>Кино_СССР сводный каталог.xlsx: список фильмов (доп.)</t>
        </is>
      </c>
      <c r="M372" s="2">
        <f>HYPERLINK("https://ru.wikipedia.org/w/index.php?search=%D0%9C%D0%B5%D1%87%D0%B5%D0%BD%D1%8B%D0%B5%201991%20%D1%84%D0%B8%D0%BB%D1%8C%D0%BC","искать")</f>
        <v/>
      </c>
      <c r="N372" s="3" t="n"/>
      <c r="O372" s="2" t="n"/>
    </row>
    <row r="373">
      <c r="A373" s="2" t="n">
        <v>372</v>
      </c>
      <c r="B373" s="2" t="inlineStr">
        <is>
          <t>обрыв</t>
        </is>
      </c>
      <c r="C373" s="2" t="n">
        <v>9619</v>
      </c>
      <c r="D373" s="3" t="inlineStr">
        <is>
          <t>Регина</t>
        </is>
      </c>
      <c r="E373" s="2" t="n">
        <v>1990</v>
      </c>
      <c r="F373" s="2" t="inlineStr">
        <is>
          <t>кинофильм</t>
        </is>
      </c>
      <c r="G373" s="2" t="n"/>
      <c r="H373" s="2" t="n">
        <v>271</v>
      </c>
      <c r="I373" s="2" t="inlineStr">
        <is>
          <t>да</t>
        </is>
      </c>
      <c r="J373" s="2" t="inlineStr"/>
      <c r="K373" s="3" t="inlineStr">
        <is>
          <t>По роману Эмэ Бээкман "Возможность выбора". Тридцатилетняя Регина, получив в наследство дом в деревне, безболезненно покидает город и начинает новую жизнь. Для начала героиня выходит замуж, но убедившись в том, что муж хронический алкоголик, начинает искать ему замену...</t>
        </is>
      </c>
      <c r="L373" s="2" t="inlineStr">
        <is>
          <t>Кино_СССР сводный каталог.xlsx: список фильмов (доп.)</t>
        </is>
      </c>
      <c r="M373" s="2">
        <f>HYPERLINK("https://ru.wikipedia.org/w/index.php?search=%D0%A0%D0%B5%D0%B3%D0%B8%D0%BD%D0%B0%201990%20%D1%84%D0%B8%D0%BB%D1%8C%D0%BC","искать")</f>
        <v/>
      </c>
      <c r="N373" s="3" t="n"/>
      <c r="O373" s="2" t="n"/>
    </row>
    <row r="374">
      <c r="A374" s="2" t="n">
        <v>373</v>
      </c>
      <c r="B374" s="2" t="inlineStr">
        <is>
          <t>обрыв</t>
        </is>
      </c>
      <c r="C374" s="2" t="n">
        <v>10103</v>
      </c>
      <c r="D374" s="3" t="inlineStr">
        <is>
          <t>Четвёртый</t>
        </is>
      </c>
      <c r="E374" s="2" t="n">
        <v>1962</v>
      </c>
      <c r="F374" s="2" t="inlineStr">
        <is>
          <t>фильм-спектакль</t>
        </is>
      </c>
      <c r="G374" s="2" t="inlineStr">
        <is>
          <t>Новосибирская студия телевидения</t>
        </is>
      </c>
      <c r="H374" s="2" t="n">
        <v>271</v>
      </c>
      <c r="I374" s="2" t="inlineStr">
        <is>
          <t>да</t>
        </is>
      </c>
      <c r="J374" s="2" t="inlineStr"/>
      <c r="K374" s="3" t="inlineStr">
        <is>
          <t>По одноименной пьесе Константина Симонова.
Американский журналист волей обстоятельств узнает преступные планы сторонников войны и должен сделать выбор: предать огласке эту информацию, рискуя при этом лишиться всех благ, которых добился за последние годы, или отступить...</t>
        </is>
      </c>
      <c r="L374" s="2" t="inlineStr">
        <is>
          <t>https://www.kino-teatr.ru/teatr/movie/119400/annot/</t>
        </is>
      </c>
      <c r="M374" s="2">
        <f>HYPERLINK("https://ru.wikipedia.org/w/index.php?search=%D0%A7%D0%B5%D1%82%D0%B2%D1%91%D1%80%D1%82%D1%8B%D0%B9%201962%20%D1%84%D0%B8%D0%BB%D1%8C%D0%BC","искать")</f>
        <v/>
      </c>
      <c r="N374" s="3" t="n"/>
      <c r="O374" s="2" t="n"/>
    </row>
    <row r="375">
      <c r="A375" s="2" t="n">
        <v>374</v>
      </c>
      <c r="B375" s="2" t="inlineStr">
        <is>
          <t>обрыв</t>
        </is>
      </c>
      <c r="C375" s="2" t="n">
        <v>10923</v>
      </c>
      <c r="D375" s="3" t="inlineStr">
        <is>
          <t>Фамильная реликвия</t>
        </is>
      </c>
      <c r="E375" s="2" t="n">
        <v>1981</v>
      </c>
      <c r="F375" s="2" t="inlineStr">
        <is>
          <t>фильм-спектакль</t>
        </is>
      </c>
      <c r="G375" s="2" t="inlineStr">
        <is>
          <t>Ленинградское телевидение</t>
        </is>
      </c>
      <c r="H375" s="2" t="n">
        <v>271</v>
      </c>
      <c r="I375" s="2" t="inlineStr">
        <is>
          <t>да</t>
        </is>
      </c>
      <c r="J375" s="2" t="inlineStr"/>
      <c r="K375" s="3" t="inlineStr">
        <is>
          <t>По мотивам одноименной повести Анатолия Жаренова.
Сокровища... Их блеск завораживает, лишает рассудка, особенно, если это уникальные старинные ценности, случайно доставшиеся тому, кто не имеет понятия об их истинной стоимости. Ради них ловкие авантюристы готовы на все...</t>
        </is>
      </c>
      <c r="L375" s="2" t="inlineStr">
        <is>
          <t>https://www.kino-teatr.ru/teatr/movie/131474/annot/</t>
        </is>
      </c>
      <c r="M375" s="2">
        <f>HYPERLINK("https://ru.wikipedia.org/w/index.php?search=%D0%A4%D0%B0%D0%BC%D0%B8%D0%BB%D1%8C%D0%BD%D0%B0%D1%8F%20%D1%80%D0%B5%D0%BB%D0%B8%D0%BA%D0%B2%D0%B8%D1%8F%201981%20%D1%84%D0%B8%D0%BB%D1%8C%D0%BC","искать")</f>
        <v/>
      </c>
      <c r="N375" s="3" t="n"/>
      <c r="O375" s="2" t="n"/>
    </row>
    <row r="376">
      <c r="A376" s="2" t="n">
        <v>375</v>
      </c>
      <c r="B376" s="2" t="inlineStr">
        <is>
          <t>обрыв</t>
        </is>
      </c>
      <c r="C376" s="2" t="n">
        <v>8291</v>
      </c>
      <c r="D376" s="3" t="inlineStr">
        <is>
          <t>Рядом с вами</t>
        </is>
      </c>
      <c r="E376" s="2" t="n">
        <v>1986</v>
      </c>
      <c r="F376" s="2" t="inlineStr">
        <is>
          <t>телефильм</t>
        </is>
      </c>
      <c r="G376" s="2" t="n"/>
      <c r="H376" s="2" t="n">
        <v>272</v>
      </c>
      <c r="I376" s="2" t="inlineStr">
        <is>
          <t>да</t>
        </is>
      </c>
      <c r="J376" s="2" t="inlineStr"/>
      <c r="K376" s="3" t="inlineStr">
        <is>
          <t>Лирическая комедия по мотивам рассказов Сергея Баруздина. Про добрую фею, которая стремится помочь всем и каждому. В фильме — это восемнадцатилетняя Леля. После окончания школы девушка работает в прачечной и ничего постыдного в этом не видит. Какова жизнь, такова и фея...</t>
        </is>
      </c>
      <c r="L376" s="2" t="inlineStr">
        <is>
          <t>Кино_СССР сводный каталог.xlsx: список телефильмов</t>
        </is>
      </c>
      <c r="M376" s="2">
        <f>HYPERLINK("https://ru.wikipedia.org/w/index.php?search=%D0%A0%D1%8F%D0%B4%D0%BE%D0%BC%20%D1%81%20%D0%B2%D0%B0%D0%BC%D0%B8%201986%20%D1%84%D0%B8%D0%BB%D1%8C%D0%BC","искать")</f>
        <v/>
      </c>
      <c r="N376" s="3" t="n"/>
      <c r="O376" s="2" t="n"/>
    </row>
    <row r="377">
      <c r="A377" s="2" t="n">
        <v>376</v>
      </c>
      <c r="B377" s="2" t="inlineStr">
        <is>
          <t>обрыв</t>
        </is>
      </c>
      <c r="C377" s="2" t="n">
        <v>9091</v>
      </c>
      <c r="D377" s="3" t="inlineStr">
        <is>
          <t>Там, где небо лежит на земле</t>
        </is>
      </c>
      <c r="E377" s="2" t="n">
        <v>1989</v>
      </c>
      <c r="F377" s="2" t="inlineStr">
        <is>
          <t>кинофильм</t>
        </is>
      </c>
      <c r="G377" s="2" t="n"/>
      <c r="H377" s="2" t="n">
        <v>272</v>
      </c>
      <c r="I377" s="2" t="inlineStr">
        <is>
          <t>да</t>
        </is>
      </c>
      <c r="J377" s="2" t="inlineStr"/>
      <c r="K377" s="3" t="inlineStr">
        <is>
          <t>Дед Самсон прожил интересную жизнь — и с турками воевал, и с фашистами. А сейчас, когда воевать не с кем и дети выросли, дела себе найти не смог — и потребовал преждевременный памятник себе на могиле. Так извел любимого внука, что тот прыгнул с крыши деревенской церкви...</t>
        </is>
      </c>
      <c r="L377" s="2" t="inlineStr">
        <is>
          <t>Кино_СССР сводный каталог.xlsx: список фильмов (доп.)</t>
        </is>
      </c>
      <c r="M377" s="2">
        <f>HYPERLINK("https://ru.wikipedia.org/w/index.php?search=%D0%A2%D0%B0%D0%BC%2C%20%D0%B3%D0%B4%D0%B5%20%D0%BD%D0%B5%D0%B1%D0%BE%20%D0%BB%D0%B5%D0%B6%D0%B8%D1%82%20%D0%BD%D0%B0%20%D0%B7%D0%B5%D0%BC%D0%BB%D0%B5%201989%20%D1%84%D0%B8%D0%BB%D1%8C%D0%BC","искать")</f>
        <v/>
      </c>
      <c r="N377" s="3" t="n"/>
      <c r="O377" s="2" t="n"/>
    </row>
    <row r="378">
      <c r="A378" s="2" t="n">
        <v>377</v>
      </c>
      <c r="B378" s="2" t="inlineStr">
        <is>
          <t>обрыв</t>
        </is>
      </c>
      <c r="C378" s="2" t="n">
        <v>9160</v>
      </c>
      <c r="D378" s="3" t="inlineStr">
        <is>
          <t>Чича</t>
        </is>
      </c>
      <c r="E378" s="2" t="n">
        <v>1991</v>
      </c>
      <c r="F378" s="2" t="inlineStr">
        <is>
          <t>кинофильм</t>
        </is>
      </c>
      <c r="G378" s="2" t="n"/>
      <c r="H378" s="2" t="n">
        <v>272</v>
      </c>
      <c r="I378" s="2" t="inlineStr">
        <is>
          <t>да</t>
        </is>
      </c>
      <c r="J378" s="2" t="inlineStr"/>
      <c r="K378" s="3" t="inlineStr">
        <is>
          <t>Степан Чичулин, тихий, смешной, очень добрый человек, всю жизнь пел тенором в военном ансамбле. И была у него тайна: вечерами он пробирался в укромный уголок и, наглухо закрывшись, пел... чудесной силы и красоты басом. И неожиданно жизнь скромного Чичи круто изменилась...</t>
        </is>
      </c>
      <c r="L378" s="2" t="inlineStr">
        <is>
          <t>Кино_СССР сводный каталог.xlsx: список фильмов (доп.)</t>
        </is>
      </c>
      <c r="M378" s="2">
        <f>HYPERLINK("https://ru.wikipedia.org/w/index.php?search=%D0%A7%D0%B8%D1%87%D0%B0%201991%20%D1%84%D0%B8%D0%BB%D1%8C%D0%BC","искать")</f>
        <v/>
      </c>
      <c r="N378" s="3" t="n"/>
      <c r="O378" s="2" t="n"/>
    </row>
    <row r="379">
      <c r="A379" s="2" t="n">
        <v>378</v>
      </c>
      <c r="B379" s="2" t="inlineStr">
        <is>
          <t>обрыв</t>
        </is>
      </c>
      <c r="C379" s="2" t="n">
        <v>9561</v>
      </c>
      <c r="D379" s="3" t="inlineStr">
        <is>
          <t>Подарок на именины</t>
        </is>
      </c>
      <c r="E379" s="2" t="n">
        <v>1991</v>
      </c>
      <c r="F379" s="2" t="inlineStr">
        <is>
          <t>кинофильм</t>
        </is>
      </c>
      <c r="G379" s="2" t="n"/>
      <c r="H379" s="2" t="n">
        <v>272</v>
      </c>
      <c r="I379" s="2" t="inlineStr">
        <is>
          <t>да</t>
        </is>
      </c>
      <c r="J379" s="2" t="inlineStr"/>
      <c r="K379" s="3" t="inlineStr">
        <is>
          <t>По мотивам произведений Михаила Коцюбинского. Молодая революционерка осуществила теракт. Её ждёт смертный приговор. Полицейский надзиратель, который арестовал девушку, дарит своему маленькому сыну на именины довольно необычный подарок - берёт мальчика на смертную казнь...</t>
        </is>
      </c>
      <c r="L379" s="2" t="inlineStr">
        <is>
          <t>Кино_СССР сводный каталог.xlsx: список фильмов (доп.)</t>
        </is>
      </c>
      <c r="M379" s="2">
        <f>HYPERLINK("https://ru.wikipedia.org/w/index.php?search=%D0%9F%D0%BE%D0%B4%D0%B0%D1%80%D0%BE%D0%BA%20%D0%BD%D0%B0%20%D0%B8%D0%BC%D0%B5%D0%BD%D0%B8%D0%BD%D1%8B%201991%20%D1%84%D0%B8%D0%BB%D1%8C%D0%BC","искать")</f>
        <v/>
      </c>
      <c r="N379" s="3" t="n"/>
      <c r="O379" s="2" t="n"/>
    </row>
    <row r="380">
      <c r="A380" s="2" t="n">
        <v>379</v>
      </c>
      <c r="B380" s="2" t="inlineStr">
        <is>
          <t>обрыв</t>
        </is>
      </c>
      <c r="C380" s="2" t="n">
        <v>11025</v>
      </c>
      <c r="D380" s="3" t="inlineStr">
        <is>
          <t>Антигона</t>
        </is>
      </c>
      <c r="E380" s="2" t="n">
        <v>1984</v>
      </c>
      <c r="F380" s="2" t="inlineStr">
        <is>
          <t>фильм-спектакль</t>
        </is>
      </c>
      <c r="G380" s="2" t="inlineStr">
        <is>
          <t>Radiotelevisão Portuguesa (RTP)</t>
        </is>
      </c>
      <c r="H380" s="2" t="n">
        <v>272</v>
      </c>
      <c r="I380" s="2" t="inlineStr">
        <is>
          <t>да</t>
        </is>
      </c>
      <c r="J380" s="2" t="inlineStr">
        <is>
          <t>да</t>
        </is>
      </c>
      <c r="K380" s="3" t="inlineStr">
        <is>
          <t>По одноименной пьесе французского драматурга Жана Ануя.
В 1943 году Жан Ануй на основе трагедии Софокла написал свою "Антигону" — античная драма стала для Ануя тем эзоповым языком, который позволил ему в оккупированном Париже призвать со сцены к неподчинению оккупантам...</t>
        </is>
      </c>
      <c r="L380" s="2" t="inlineStr">
        <is>
          <t>https://www.kino-teatr.ru/teatr/movie/129449/annot/</t>
        </is>
      </c>
      <c r="M380" s="2">
        <f>HYPERLINK("https://ru.wikipedia.org/w/index.php?search=%D0%90%D0%BD%D1%82%D0%B8%D0%B3%D0%BE%D0%BD%D0%B0%201984%20%D1%84%D0%B8%D0%BB%D1%8C%D0%BC","искать")</f>
        <v/>
      </c>
      <c r="N380" s="3" t="n"/>
      <c r="O380" s="2" t="n"/>
    </row>
    <row r="381">
      <c r="A381" s="2" t="n">
        <v>380</v>
      </c>
      <c r="B381" s="2" t="inlineStr">
        <is>
          <t>обрыв</t>
        </is>
      </c>
      <c r="C381" s="2" t="n">
        <v>9022</v>
      </c>
      <c r="D381" s="3" t="inlineStr">
        <is>
          <t>Русская рулетка</t>
        </is>
      </c>
      <c r="E381" s="2" t="n">
        <v>1990</v>
      </c>
      <c r="F381" s="2" t="inlineStr">
        <is>
          <t>кинофильм</t>
        </is>
      </c>
      <c r="G381" s="2" t="n"/>
      <c r="H381" s="2" t="n">
        <v>273</v>
      </c>
      <c r="I381" s="2" t="inlineStr">
        <is>
          <t>да</t>
        </is>
      </c>
      <c r="J381" s="2" t="inlineStr"/>
      <c r="K381" s="3" t="inlineStr">
        <is>
          <t>Герои фильма - "прожигатели жизни" Малышка и Стас - живут на свете не самым праведным способом: обкрадывают богатых соотечественников. Для них мало что имеет значение в этой жизни, кроме любви друг к другу. Прозрение приходит поздно - его цена оказывается слишком высока...</t>
        </is>
      </c>
      <c r="L381" s="2" t="inlineStr">
        <is>
          <t>Кино_СССР сводный каталог.xlsx: список фильмов (доп.)</t>
        </is>
      </c>
      <c r="M381" s="2">
        <f>HYPERLINK("https://ru.wikipedia.org/w/index.php?search=%D0%A0%D1%83%D1%81%D1%81%D0%BA%D0%B0%D1%8F%20%D1%80%D1%83%D0%BB%D0%B5%D1%82%D0%BA%D0%B0%201990%20%D1%84%D0%B8%D0%BB%D1%8C%D0%BC","искать")</f>
        <v/>
      </c>
      <c r="N381" s="3" t="n"/>
      <c r="O381" s="2" t="n"/>
    </row>
    <row r="382">
      <c r="A382" s="2" t="n">
        <v>381</v>
      </c>
      <c r="B382" s="2" t="inlineStr">
        <is>
          <t>обрыв</t>
        </is>
      </c>
      <c r="C382" s="2" t="n">
        <v>9615</v>
      </c>
      <c r="D382" s="3" t="inlineStr">
        <is>
          <t>Распятые</t>
        </is>
      </c>
      <c r="E382" s="2" t="n">
        <v>1990</v>
      </c>
      <c r="F382" s="2" t="inlineStr">
        <is>
          <t>кинофильм</t>
        </is>
      </c>
      <c r="G382" s="2" t="n"/>
      <c r="H382" s="2" t="n">
        <v>273</v>
      </c>
      <c r="I382" s="2" t="inlineStr">
        <is>
          <t>да</t>
        </is>
      </c>
      <c r="J382" s="2" t="inlineStr"/>
      <c r="K382" s="3" t="inlineStr">
        <is>
          <t>О драматической судьбе большой семьи Анны Житухи. После ареста мужа ("врага народа" 1938 года), она вернулась с детьми в родную деревню. Думала - жить будет легче. Но через какое-то время ее арестовали, детей развезли по разным приютам, оставив в деревне только старшего...</t>
        </is>
      </c>
      <c r="L382" s="2" t="inlineStr">
        <is>
          <t>Кино_СССР сводный каталог.xlsx: список фильмов (доп.)</t>
        </is>
      </c>
      <c r="M382" s="2">
        <f>HYPERLINK("https://ru.wikipedia.org/w/index.php?search=%D0%A0%D0%B0%D1%81%D0%BF%D1%8F%D1%82%D1%8B%D0%B5%201990%20%D1%84%D0%B8%D0%BB%D1%8C%D0%BC","искать")</f>
        <v/>
      </c>
      <c r="N382" s="3" t="n"/>
      <c r="O382" s="2" t="n"/>
    </row>
    <row r="383">
      <c r="A383" s="2" t="n">
        <v>382</v>
      </c>
      <c r="B383" s="2" t="inlineStr">
        <is>
          <t>обрыв</t>
        </is>
      </c>
      <c r="C383" s="2" t="n">
        <v>10554</v>
      </c>
      <c r="D383" s="3" t="inlineStr">
        <is>
          <t>Господин Пунтила и его слуга Матти</t>
        </is>
      </c>
      <c r="E383" s="2" t="n">
        <v>1974</v>
      </c>
      <c r="F383" s="2" t="inlineStr">
        <is>
          <t>фильм-спектакль</t>
        </is>
      </c>
      <c r="G383" s="2" t="inlineStr">
        <is>
          <t>Центральное телевидение</t>
        </is>
      </c>
      <c r="H383" s="2" t="n">
        <v>273</v>
      </c>
      <c r="I383" s="2" t="inlineStr">
        <is>
          <t>да</t>
        </is>
      </c>
      <c r="J383" s="2" t="inlineStr"/>
      <c r="K383" s="3" t="inlineStr">
        <is>
          <t>По пьесе Бертольда Брехта в постановке Центрального академического театра Советской Армии.
Господин Пунтила добр со своими слугами только тогда, когда пьян, а в остальное время они терпят от него одни обиды. Но слуге Матти удается сохранить свое человеческое достоинство...</t>
        </is>
      </c>
      <c r="L383" s="2" t="inlineStr">
        <is>
          <t>https://www.kino-teatr.ru/teatr/movie/8930/annot/</t>
        </is>
      </c>
      <c r="M383" s="2">
        <f>HYPERLINK("https://ru.wikipedia.org/w/index.php?search=%D0%93%D0%BE%D1%81%D0%BF%D0%BE%D0%B4%D0%B8%D0%BD%20%D0%9F%D1%83%D0%BD%D1%82%D0%B8%D0%BB%D0%B0%20%D0%B8%20%D0%B5%D0%B3%D0%BE%20%D1%81%D0%BB%D1%83%D0%B3%D0%B0%20%D0%9C%D0%B0%D1%82%D1%82%D0%B8%201974%20%D1%84%D0%B8%D0%BB%D1%8C%D0%BC","искать")</f>
        <v/>
      </c>
      <c r="N383" s="3" t="n"/>
      <c r="O383" s="2" t="n"/>
    </row>
    <row r="384">
      <c r="A384" s="2" t="n">
        <v>383</v>
      </c>
      <c r="B384" s="2" t="inlineStr">
        <is>
          <t>обрыв</t>
        </is>
      </c>
      <c r="C384" s="2" t="n">
        <v>7448</v>
      </c>
      <c r="D384" s="3" t="inlineStr">
        <is>
          <t>Гонки по вертикали</t>
        </is>
      </c>
      <c r="E384" s="2" t="n">
        <v>1982</v>
      </c>
      <c r="F384" s="2" t="inlineStr">
        <is>
          <t>телефильм</t>
        </is>
      </c>
      <c r="G384" s="2" t="n"/>
      <c r="H384" s="2" t="n">
        <v>274</v>
      </c>
      <c r="I384" s="2" t="inlineStr">
        <is>
          <t>да</t>
        </is>
      </c>
      <c r="J384" s="2" t="inlineStr"/>
      <c r="K384" s="3" t="inlineStr">
        <is>
          <t>Телесериал по повести братьев Вайнеров. Психологическая дуэль честного следователя и не слишком удачливого, обаятельного вора-рецидивиста по кличке Батон, который в итоге получает по заслугам. Однако следователя это не утешит: по ходу дела герой найдет и потеряет любимую...</t>
        </is>
      </c>
      <c r="L384" s="2" t="inlineStr">
        <is>
          <t>Кино_СССР сводный каталог.xlsx: список телефильмов</t>
        </is>
      </c>
      <c r="M384" s="2">
        <f>HYPERLINK("https://ru.wikipedia.org/w/index.php?search=%D0%93%D0%BE%D0%BD%D0%BA%D0%B8%20%D0%BF%D0%BE%20%D0%B2%D0%B5%D1%80%D1%82%D0%B8%D0%BA%D0%B0%D0%BB%D0%B8%201982%20%D1%84%D0%B8%D0%BB%D1%8C%D0%BC","искать")</f>
        <v/>
      </c>
      <c r="N384" s="3" t="n"/>
      <c r="O384" s="2" t="n"/>
    </row>
    <row r="385">
      <c r="A385" s="2" t="n">
        <v>384</v>
      </c>
      <c r="B385" s="2" t="inlineStr">
        <is>
          <t>обрыв</t>
        </is>
      </c>
      <c r="C385" s="2" t="n">
        <v>8695</v>
      </c>
      <c r="D385" s="3" t="inlineStr">
        <is>
          <t>Действуй, Маня!</t>
        </is>
      </c>
      <c r="E385" s="2" t="n">
        <v>1991</v>
      </c>
      <c r="F385" s="2" t="inlineStr">
        <is>
          <t>кинофильм</t>
        </is>
      </c>
      <c r="G385" s="2" t="n"/>
      <c r="H385" s="2" t="n">
        <v>274</v>
      </c>
      <c r="I385" s="2" t="inlineStr">
        <is>
          <t>да</t>
        </is>
      </c>
      <c r="J385" s="2" t="inlineStr"/>
      <c r="K385" s="3" t="inlineStr">
        <is>
          <t>Для борьбы с мафией ученый-биолог и молодой талантливый программист создают робота-супермена. Но в расчеты создателей поправку вносит тайное увлечение программиста: супермен получился точной копией прекрасной девушки с рекламного плаката, по которой юноша тайно "вздыхал"...</t>
        </is>
      </c>
      <c r="L385" s="2" t="inlineStr">
        <is>
          <t>Кино_СССР сводный каталог.xlsx: список фильмов (доп.)</t>
        </is>
      </c>
      <c r="M385" s="2">
        <f>HYPERLINK("https://ru.wikipedia.org/w/index.php?search=%D0%94%D0%B5%D0%B9%D1%81%D1%82%D0%B2%D1%83%D0%B9%2C%20%D0%9C%D0%B0%D0%BD%D1%8F%21%201991%20%D1%84%D0%B8%D0%BB%D1%8C%D0%BC","искать")</f>
        <v/>
      </c>
      <c r="N385" s="3" t="n"/>
      <c r="O385" s="2" t="n"/>
    </row>
    <row r="386">
      <c r="A386" s="2" t="n">
        <v>385</v>
      </c>
      <c r="B386" s="2" t="inlineStr">
        <is>
          <t>обрыв</t>
        </is>
      </c>
      <c r="C386" s="2" t="n">
        <v>8742</v>
      </c>
      <c r="D386" s="3" t="inlineStr">
        <is>
          <t>Игра в смерть, или Посторонний</t>
        </is>
      </c>
      <c r="E386" s="2" t="n">
        <v>1991</v>
      </c>
      <c r="F386" s="2" t="inlineStr">
        <is>
          <t>кинофильм</t>
        </is>
      </c>
      <c r="G386" s="2" t="n"/>
      <c r="H386" s="2" t="n">
        <v>274</v>
      </c>
      <c r="I386" s="2" t="inlineStr">
        <is>
          <t>да</t>
        </is>
      </c>
      <c r="J386" s="2" t="inlineStr"/>
      <c r="K386" s="3" t="inlineStr">
        <is>
          <t>Боевик. Капитан милиции, следователь по особо важным делам МВД республики Влад Войку в одиночку ведёт борьбу с местной мафией. Влад верит в силу закона. Но со временем убеждается, что коррупция проникла и в высшие эшелоны власти. И тогда Влад совершает отчаянный поступок...</t>
        </is>
      </c>
      <c r="L386" s="2" t="inlineStr">
        <is>
          <t>Кино_СССР сводный каталог.xlsx: список фильмов (доп.)</t>
        </is>
      </c>
      <c r="M386" s="2">
        <f>HYPERLINK("https://ru.wikipedia.org/w/index.php?search=%D0%98%D0%B3%D1%80%D0%B0%20%D0%B2%20%D1%81%D0%BC%D0%B5%D1%80%D1%82%D1%8C%2C%20%D0%B8%D0%BB%D0%B8%20%D0%9F%D0%BE%D1%81%D1%82%D0%BE%D1%80%D0%BE%D0%BD%D0%BD%D0%B8%D0%B9%201991%20%D1%84%D0%B8%D0%BB%D1%8C%D0%BC","искать")</f>
        <v/>
      </c>
      <c r="N386" s="3" t="n"/>
      <c r="O386" s="2" t="n"/>
    </row>
    <row r="387">
      <c r="A387" s="2" t="n">
        <v>386</v>
      </c>
      <c r="B387" s="2" t="inlineStr">
        <is>
          <t>обрыв</t>
        </is>
      </c>
      <c r="C387" s="2" t="n">
        <v>8403</v>
      </c>
      <c r="D387" s="3" t="inlineStr">
        <is>
          <t>Степан Сергеич</t>
        </is>
      </c>
      <c r="E387" s="2" t="n">
        <v>1989</v>
      </c>
      <c r="F387" s="2" t="inlineStr">
        <is>
          <t>телефильм</t>
        </is>
      </c>
      <c r="G387" s="2" t="n"/>
      <c r="H387" s="2" t="n">
        <v>275</v>
      </c>
      <c r="I387" s="2" t="inlineStr">
        <is>
          <t>да</t>
        </is>
      </c>
      <c r="J387" s="2" t="inlineStr"/>
      <c r="K387" s="3" t="inlineStr">
        <is>
          <t>Фильм снят по мотивам романа Анатолия Азольского. Действие происходит в 1950-1960-е годы. Герой фильма – бывший боевой офицер – человек честный, который, куда бы ни забрасывала его судьба, вел бескомпромиссную войну со стяжателями, хотя иногда, может, и слишком прямолинейно…</t>
        </is>
      </c>
      <c r="L387" s="2" t="inlineStr">
        <is>
          <t>Кино_СССР сводный каталог.xlsx: список телефильмов</t>
        </is>
      </c>
      <c r="M387" s="2">
        <f>HYPERLINK("https://ru.wikipedia.org/w/index.php?search=%D0%A1%D1%82%D0%B5%D0%BF%D0%B0%D0%BD%20%D0%A1%D0%B5%D1%80%D0%B3%D0%B5%D0%B8%D1%87%201989%20%D1%84%D0%B8%D0%BB%D1%8C%D0%BC","искать")</f>
        <v/>
      </c>
      <c r="N387" s="3" t="n"/>
      <c r="O387" s="2" t="n"/>
    </row>
    <row r="388">
      <c r="A388" s="2" t="n">
        <v>387</v>
      </c>
      <c r="B388" s="2" t="inlineStr">
        <is>
          <t>обрыв</t>
        </is>
      </c>
      <c r="C388" s="2" t="n">
        <v>10530</v>
      </c>
      <c r="D388" s="3" t="inlineStr">
        <is>
          <t>Трибунал</t>
        </is>
      </c>
      <c r="E388" s="2" t="n">
        <v>1973</v>
      </c>
      <c r="F388" s="2" t="inlineStr">
        <is>
          <t>фильм-спектакль</t>
        </is>
      </c>
      <c r="G388" s="2" t="n"/>
      <c r="H388" s="2" t="n">
        <v>275</v>
      </c>
      <c r="I388" s="2" t="inlineStr">
        <is>
          <t>да</t>
        </is>
      </c>
      <c r="J388" s="2" t="inlineStr"/>
      <c r="K388" s="3" t="inlineStr">
        <is>
          <t>По одноименной пьесе А. Макаенка в постановке Московского драматического театра на Малой Бронной.
Действие происходит в Белоруссии в годы Великой Отечественной войны. О том, как жена и дети старосты деревни, не зная, что он выполняет задание партизан судили его за измену....</t>
        </is>
      </c>
      <c r="L388" s="2" t="inlineStr">
        <is>
          <t>https://www.kino-teatr.ru/teatr/movie/81470/annot/</t>
        </is>
      </c>
      <c r="M388" s="2">
        <f>HYPERLINK("https://ru.wikipedia.org/w/index.php?search=%D0%A2%D1%80%D0%B8%D0%B1%D1%83%D0%BD%D0%B0%D0%BB%201973%20%D1%84%D0%B8%D0%BB%D1%8C%D0%BC","искать")</f>
        <v/>
      </c>
      <c r="N388" s="3" t="n"/>
      <c r="O388" s="2" t="n"/>
    </row>
    <row r="389">
      <c r="A389" s="2" t="n">
        <v>388</v>
      </c>
      <c r="B389" s="2" t="inlineStr">
        <is>
          <t>обрыв</t>
        </is>
      </c>
      <c r="C389" s="2" t="n">
        <v>11357</v>
      </c>
      <c r="D389" s="3" t="inlineStr">
        <is>
          <t>Беспокойтесь, пожалуйста</t>
        </is>
      </c>
      <c r="E389" s="2" t="n">
        <v>1980</v>
      </c>
      <c r="F389" s="2" t="inlineStr">
        <is>
          <t>не игровое</t>
        </is>
      </c>
      <c r="G389" s="2" t="n"/>
      <c r="H389" s="2" t="n">
        <v>275</v>
      </c>
      <c r="I389" s="2" t="inlineStr">
        <is>
          <t>да</t>
        </is>
      </c>
      <c r="J389" s="2" t="inlineStr">
        <is>
          <t>да</t>
        </is>
      </c>
      <c r="K389" s="3" t="inlineStr">
        <is>
          <t>Телевизионная запись спектакля знаменитых юмористов-сатириков народных артистов Украинской ССР Юрия Тимошенко и Ефима Березина (дуэт Тарапунька и Штепсель)  "Беспокойтесь, пожалуйста" на сцене Дворца культуры "Украина" в Киеве. Итак, жизнь человека от рождения до старости...</t>
        </is>
      </c>
      <c r="L389" s="2" t="inlineStr">
        <is>
          <t>Кино_СССР телефильмы и пропуски включить в базу.xlsx</t>
        </is>
      </c>
      <c r="M389" s="2">
        <f>HYPERLINK("https://ru.wikipedia.org/w/index.php?search=%D0%91%D0%B5%D1%81%D0%BF%D0%BE%D0%BA%D0%BE%D0%B9%D1%82%D0%B5%D1%81%D1%8C%2C%20%D0%BF%D0%BE%D0%B6%D0%B0%D0%BB%D1%83%D0%B9%D1%81%D1%82%D0%B0%201980%20%D1%84%D0%B8%D0%BB%D1%8C%D0%BC","искать")</f>
        <v/>
      </c>
      <c r="N389" s="3" t="n"/>
      <c r="O389" s="2" t="n"/>
    </row>
    <row r="390">
      <c r="A390" s="2" t="n">
        <v>389</v>
      </c>
      <c r="B390" s="2" t="inlineStr">
        <is>
          <t>обрыв</t>
        </is>
      </c>
      <c r="C390" s="2" t="n">
        <v>7649</v>
      </c>
      <c r="D390" s="3" t="inlineStr">
        <is>
          <t>Злая судьба</t>
        </is>
      </c>
      <c r="E390" s="2" t="n">
        <v>1969</v>
      </c>
      <c r="F390" s="2" t="inlineStr">
        <is>
          <t>телефильм</t>
        </is>
      </c>
      <c r="G390" s="2" t="n"/>
      <c r="H390" s="2" t="n">
        <v>276</v>
      </c>
      <c r="I390" s="2" t="inlineStr">
        <is>
          <t>да</t>
        </is>
      </c>
      <c r="J390" s="2" t="inlineStr"/>
      <c r="K390" s="3" t="inlineStr">
        <is>
          <t>По мотивам пьесы Михаила Старицкого "Цыганка Аза". Цыган Василий полюбил украинскую красавицу Галю. Забыл кочевую жизнь, мать, цыганку Азу - и решил ради Гали остаться в деревне. Галя не послушав отца, выходит за Василя замуж. Но пройдет время и Василий заскучает по табору...</t>
        </is>
      </c>
      <c r="L390" s="2" t="inlineStr">
        <is>
          <t>Кино_СССР сводный каталог.xlsx: список телефильмов</t>
        </is>
      </c>
      <c r="M390" s="2">
        <f>HYPERLINK("https://ru.wikipedia.org/w/index.php?search=%D0%97%D0%BB%D0%B0%D1%8F%20%D1%81%D1%83%D0%B4%D1%8C%D0%B1%D0%B0%201969%20%D1%84%D0%B8%D0%BB%D1%8C%D0%BC","искать")</f>
        <v/>
      </c>
      <c r="N390" s="3" t="n"/>
      <c r="O390" s="2" t="n"/>
    </row>
    <row r="391">
      <c r="A391" s="2" t="n">
        <v>390</v>
      </c>
      <c r="B391" s="2" t="inlineStr">
        <is>
          <t>обрыв</t>
        </is>
      </c>
      <c r="C391" s="2" t="n">
        <v>8474</v>
      </c>
      <c r="D391" s="3" t="inlineStr">
        <is>
          <t>Три года</t>
        </is>
      </c>
      <c r="E391" s="2" t="n">
        <v>1980</v>
      </c>
      <c r="F391" s="2" t="inlineStr">
        <is>
          <t>телефильм</t>
        </is>
      </c>
      <c r="G391" s="2" t="inlineStr">
        <is>
          <t>Киностудия «Мосфильм»</t>
        </is>
      </c>
      <c r="H391" s="2" t="n">
        <v>276</v>
      </c>
      <c r="I391" s="2" t="inlineStr">
        <is>
          <t>да</t>
        </is>
      </c>
      <c r="J391" s="2" t="inlineStr"/>
      <c r="K391" s="3" t="inlineStr">
        <is>
          <t>Телефильм по повести Антона Павловича Чехова. Главный герой, Алексей Федорович Лаптев, приехав навестить тяжело больную сестру Нину, знакомится с милой женщиной Юлей и, спустя некоторое время, решает соединить с ней свою жизнь. Но отношения между ними складываются непросто...</t>
        </is>
      </c>
      <c r="L391" s="2" t="inlineStr">
        <is>
          <t>Кино_СССР сводный каталог.xlsx: список телефильмов</t>
        </is>
      </c>
      <c r="M391" s="2">
        <f>HYPERLINK("https://ru.wikipedia.org/w/index.php?search=%D0%A2%D1%80%D0%B8%20%D0%B3%D0%BE%D0%B4%D0%B0%201980%20%D1%84%D0%B8%D0%BB%D1%8C%D0%BC","искать")</f>
        <v/>
      </c>
      <c r="N391" s="3" t="n"/>
      <c r="O391" s="2" t="n"/>
    </row>
    <row r="392">
      <c r="A392" s="2" t="n">
        <v>391</v>
      </c>
      <c r="B392" s="2" t="inlineStr">
        <is>
          <t>обрыв</t>
        </is>
      </c>
      <c r="C392" s="2" t="n">
        <v>8708</v>
      </c>
      <c r="D392" s="3" t="inlineStr">
        <is>
          <t>Дом под звёздным небом</t>
        </is>
      </c>
      <c r="E392" s="2" t="n">
        <v>1991</v>
      </c>
      <c r="F392" s="2" t="inlineStr">
        <is>
          <t>кинофильм</t>
        </is>
      </c>
      <c r="G392" s="2" t="inlineStr">
        <is>
          <t>Мосфильм; киностудия «Круг»</t>
        </is>
      </c>
      <c r="H392" s="2" t="n">
        <v>276</v>
      </c>
      <c r="I392" s="2" t="inlineStr">
        <is>
          <t>да</t>
        </is>
      </c>
      <c r="J392" s="2" t="inlineStr">
        <is>
          <t>да</t>
        </is>
      </c>
      <c r="K392" s="3" t="inlineStr">
        <is>
          <t>Трагикомическая фантасмагория, в центре которой семья преуспевающего ученого Башкирцева. В этой своеобразной, талантливой картине отразились острые коллизии современности: крушение идеалов, сумятица умов, стремление освободиться от ощущения безнадежности и сохранить свой дом…</t>
        </is>
      </c>
      <c r="L392" s="2" t="inlineStr">
        <is>
          <t>Кино_СССР сводный каталог.xlsx: список фильмов (доп.)</t>
        </is>
      </c>
      <c r="M392" s="2">
        <f>HYPERLINK("https://ru.wikipedia.org/w/index.php?search=%D0%94%D0%BE%D0%BC%20%D0%BF%D0%BE%D0%B4%20%D0%B7%D0%B2%D1%91%D0%B7%D0%B4%D0%BD%D1%8B%D0%BC%20%D0%BD%D0%B5%D0%B1%D0%BE%D0%BC%201991%20%D1%84%D0%B8%D0%BB%D1%8C%D0%BC","искать")</f>
        <v/>
      </c>
      <c r="N392" s="3" t="n"/>
      <c r="O392" s="2" t="n"/>
    </row>
    <row r="393">
      <c r="A393" s="2" t="n">
        <v>392</v>
      </c>
      <c r="B393" s="2" t="inlineStr">
        <is>
          <t>обрыв</t>
        </is>
      </c>
      <c r="C393" s="2" t="n">
        <v>9398</v>
      </c>
      <c r="D393" s="3" t="inlineStr">
        <is>
          <t>Испанская актриса для русского министра</t>
        </is>
      </c>
      <c r="E393" s="2" t="n">
        <v>1990</v>
      </c>
      <c r="F393" s="2" t="inlineStr">
        <is>
          <t>кинофильм</t>
        </is>
      </c>
      <c r="G393" s="2" t="n"/>
      <c r="H393" s="2" t="n">
        <v>276</v>
      </c>
      <c r="I393" s="2" t="inlineStr">
        <is>
          <t>да</t>
        </is>
      </c>
      <c r="J393" s="2" t="inlineStr"/>
      <c r="K393" s="3" t="inlineStr">
        <is>
          <t>Учитель физкультуры отправляется в турпоездку на родину своего отца в Испанию. Попав на банкет, знакомится с испанской актрисой. Новые друзья в шутку представляют его министром кино. Он же, сраженный ее красотой, приглашает актрису на встречу - обсуждение будущего сценария...</t>
        </is>
      </c>
      <c r="L393" s="2" t="inlineStr">
        <is>
          <t>Кино_СССР сводный каталог.xlsx: список фильмов (доп.)</t>
        </is>
      </c>
      <c r="M393" s="2">
        <f>HYPERLINK("https://ru.wikipedia.org/w/index.php?search=%D0%98%D1%81%D0%BF%D0%B0%D0%BD%D1%81%D0%BA%D0%B0%D1%8F%20%D0%B0%D0%BA%D1%82%D1%80%D0%B8%D1%81%D0%B0%20%D0%B4%D0%BB%D1%8F%20%D1%80%D1%83%D1%81%D1%81%D0%BA%D0%BE%D0%B3%D0%BE%20%D0%BC%D0%B8%D0%BD%D0%B8%D1%81%D1%82%D1%80%D0%B0%201990%20%D1%84%D0%B8%D0%BB%D1%8C%D0%BC","искать")</f>
        <v/>
      </c>
      <c r="N393" s="3" t="n"/>
      <c r="O393" s="2" t="n"/>
    </row>
    <row r="394">
      <c r="A394" s="2" t="n">
        <v>393</v>
      </c>
      <c r="B394" s="2" t="inlineStr">
        <is>
          <t>обрыв</t>
        </is>
      </c>
      <c r="C394" s="2" t="n">
        <v>7625</v>
      </c>
      <c r="D394" s="3" t="inlineStr">
        <is>
          <t>Замкнутый круг</t>
        </is>
      </c>
      <c r="E394" s="2" t="n">
        <v>1983</v>
      </c>
      <c r="F394" s="2" t="inlineStr">
        <is>
          <t>телефильм</t>
        </is>
      </c>
      <c r="G394" s="2" t="n"/>
      <c r="H394" s="2" t="n">
        <v>277</v>
      </c>
      <c r="I394" s="2" t="inlineStr">
        <is>
          <t>да</t>
        </is>
      </c>
      <c r="J394" s="2" t="inlineStr"/>
      <c r="K394" s="3" t="inlineStr">
        <is>
          <t>Телефильм по мотивам романа шведского писателя К.Арне Блома "Кто-то дает сдачи". В небольшом шведском городке происходит убийство Фрома - владельца фирмы по исследованию общественных отношений. День спустя убивают его друга Турена - комиссара полиции, ведущего расследование...</t>
        </is>
      </c>
      <c r="L394" s="2" t="inlineStr">
        <is>
          <t>Кино_СССР сводный каталог.xlsx: список телефильмов</t>
        </is>
      </c>
      <c r="M394" s="2">
        <f>HYPERLINK("https://ru.wikipedia.org/w/index.php?search=%D0%97%D0%B0%D0%BC%D0%BA%D0%BD%D1%83%D1%82%D1%8B%D0%B9%20%D0%BA%D1%80%D1%83%D0%B3%201983%20%D1%84%D0%B8%D0%BB%D1%8C%D0%BC","искать")</f>
        <v/>
      </c>
      <c r="N394" s="3" t="n"/>
      <c r="O394" s="2" t="n"/>
    </row>
    <row r="395">
      <c r="A395" s="2" t="n">
        <v>394</v>
      </c>
      <c r="B395" s="2" t="inlineStr">
        <is>
          <t>обрыв</t>
        </is>
      </c>
      <c r="C395" s="2" t="n">
        <v>8038</v>
      </c>
      <c r="D395" s="3" t="inlineStr">
        <is>
          <t>Однофамилец</t>
        </is>
      </c>
      <c r="E395" s="2" t="n">
        <v>1978</v>
      </c>
      <c r="F395" s="2" t="inlineStr">
        <is>
          <t>телефильм</t>
        </is>
      </c>
      <c r="G395" s="2" t="n"/>
      <c r="H395" s="2" t="n">
        <v>277</v>
      </c>
      <c r="I395" s="2" t="inlineStr">
        <is>
          <t>да</t>
        </is>
      </c>
      <c r="J395" s="2" t="inlineStr"/>
      <c r="K395" s="3" t="inlineStr">
        <is>
          <t>Телефильм по одноименной повести Даниила Гранина. Имея возможность посвятить себя науке, герой фильма, талантливый инженер Кузьмин, остается работать на производстве. Борясь с бюрократией и карьеризмом, главный герой преодолевает все препятствия на пути к поставленным целям...</t>
        </is>
      </c>
      <c r="L395" s="2" t="inlineStr">
        <is>
          <t>Кино_СССР сводный каталог.xlsx: список телефильмов</t>
        </is>
      </c>
      <c r="M395" s="2">
        <f>HYPERLINK("https://ru.wikipedia.org/w/index.php?search=%D0%9E%D0%B4%D0%BD%D0%BE%D1%84%D0%B0%D0%BC%D0%B8%D0%BB%D0%B5%D1%86%201978%20%D1%84%D0%B8%D0%BB%D1%8C%D0%BC","искать")</f>
        <v/>
      </c>
      <c r="N395" s="3" t="n"/>
      <c r="O395" s="2" t="n"/>
    </row>
    <row r="396">
      <c r="A396" s="2" t="n">
        <v>395</v>
      </c>
      <c r="B396" s="2" t="inlineStr">
        <is>
          <t>обрыв</t>
        </is>
      </c>
      <c r="C396" s="2" t="n">
        <v>7314</v>
      </c>
      <c r="D396" s="3" t="inlineStr">
        <is>
          <t>Ваши права?</t>
        </is>
      </c>
      <c r="E396" s="2" t="n">
        <v>1974</v>
      </c>
      <c r="F396" s="2" t="inlineStr">
        <is>
          <t>телефильм</t>
        </is>
      </c>
      <c r="G396" s="2" t="n"/>
      <c r="H396" s="2" t="n">
        <v>278</v>
      </c>
      <c r="I396" s="2" t="inlineStr">
        <is>
          <t>да</t>
        </is>
      </c>
      <c r="J396" s="2" t="inlineStr"/>
      <c r="K396" s="3" t="inlineStr">
        <is>
          <t>Авторы фильма «Ваши права?» усаживают четверых мальчишек в «Жигули» и отправляют в недальнее путешествие по окрестностям Москвы. По названию мы можем предположить, что путешествие закончилось в милиции, но этой опасности, равно как почти всех остальных, герои фильма избежали...</t>
        </is>
      </c>
      <c r="L396" s="2" t="inlineStr">
        <is>
          <t>Кино_СССР сводный каталог.xlsx: список телефильмов</t>
        </is>
      </c>
      <c r="M396" s="2">
        <f>HYPERLINK("https://ru.wikipedia.org/w/index.php?search=%D0%92%D0%B0%D1%88%D0%B8%20%D0%BF%D1%80%D0%B0%D0%B2%D0%B0%3F%201974%20%D1%84%D0%B8%D0%BB%D1%8C%D0%BC","искать")</f>
        <v/>
      </c>
      <c r="N396" s="3" t="n"/>
      <c r="O396" s="2" t="n"/>
    </row>
    <row r="397">
      <c r="A397" s="2" t="n">
        <v>396</v>
      </c>
      <c r="B397" s="2" t="inlineStr">
        <is>
          <t>обрыв</t>
        </is>
      </c>
      <c r="C397" s="2" t="n">
        <v>7829</v>
      </c>
      <c r="D397" s="3" t="inlineStr">
        <is>
          <t>Любовь не прощает</t>
        </is>
      </c>
      <c r="E397" s="2" t="n">
        <v>1980</v>
      </c>
      <c r="F397" s="2" t="inlineStr">
        <is>
          <t>телефильм</t>
        </is>
      </c>
      <c r="G397" s="2" t="n"/>
      <c r="H397" s="2" t="n">
        <v>278</v>
      </c>
      <c r="I397" s="2" t="inlineStr">
        <is>
          <t>да</t>
        </is>
      </c>
      <c r="J397" s="2" t="inlineStr"/>
      <c r="K397" s="3" t="inlineStr">
        <is>
          <t>Односельчане Аджап и Мейлис полюбили друг друга. Однако родственники Аджап, приверженцы старых традиций, разлучили влюбленных. Прошли годы. Вновь встретились Аджап и Мейлис, возродились прежние чувства. Однако Аджап навсегда прощается с Мейлисом, чтобы не разрушать его семью...</t>
        </is>
      </c>
      <c r="L397" s="2" t="inlineStr">
        <is>
          <t>Кино_СССР сводный каталог.xlsx: список телефильмов</t>
        </is>
      </c>
      <c r="M397" s="2">
        <f>HYPERLINK("https://ru.wikipedia.org/w/index.php?search=%D0%9B%D1%8E%D0%B1%D0%BE%D0%B2%D1%8C%20%D0%BD%D0%B5%20%D0%BF%D1%80%D0%BE%D1%89%D0%B0%D0%B5%D1%82%201980%20%D1%84%D0%B8%D0%BB%D1%8C%D0%BC","искать")</f>
        <v/>
      </c>
      <c r="N397" s="3" t="n"/>
      <c r="O397" s="2" t="n"/>
    </row>
    <row r="398">
      <c r="A398" s="2" t="n">
        <v>397</v>
      </c>
      <c r="B398" s="2" t="inlineStr">
        <is>
          <t>обрыв</t>
        </is>
      </c>
      <c r="C398" s="2" t="n">
        <v>9531</v>
      </c>
      <c r="D398" s="3" t="inlineStr">
        <is>
          <t>Отель Эдем</t>
        </is>
      </c>
      <c r="E398" s="2" t="n">
        <v>1991</v>
      </c>
      <c r="F398" s="2" t="inlineStr">
        <is>
          <t>кинофильм</t>
        </is>
      </c>
      <c r="G398" s="2" t="n"/>
      <c r="H398" s="2" t="n">
        <v>278</v>
      </c>
      <c r="I398" s="2" t="inlineStr">
        <is>
          <t>да</t>
        </is>
      </c>
      <c r="J398" s="2" t="inlineStr"/>
      <c r="K398" s="3" t="inlineStr">
        <is>
          <t>Молодые очень милые женщины - Вера, Надежда, Любовь - приехали в Крым отдохнуть. Поселяются в отеле "Эдем" и не ведают о том, что по дьявольскому замыслу всякий, кто прибыл в этот отель, должен на седьмой день предаться греховным утехам, а на тринадцатый - отдать душу Сатане...</t>
        </is>
      </c>
      <c r="L398" s="2" t="inlineStr">
        <is>
          <t>Кино_СССР сводный каталог.xlsx: список фильмов (доп.)</t>
        </is>
      </c>
      <c r="M398" s="2">
        <f>HYPERLINK("https://ru.wikipedia.org/w/index.php?search=%D0%9E%D1%82%D0%B5%D0%BB%D1%8C%20%D0%AD%D0%B4%D0%B5%D0%BC%201991%20%D1%84%D0%B8%D0%BB%D1%8C%D0%BC","искать")</f>
        <v/>
      </c>
      <c r="N398" s="3" t="n"/>
      <c r="O398" s="2" t="n"/>
    </row>
    <row r="399">
      <c r="A399" s="2" t="n">
        <v>398</v>
      </c>
      <c r="B399" s="2" t="inlineStr">
        <is>
          <t>обрыв</t>
        </is>
      </c>
      <c r="C399" s="2" t="n">
        <v>10202</v>
      </c>
      <c r="D399" s="3" t="inlineStr">
        <is>
          <t>Крыжовник</t>
        </is>
      </c>
      <c r="E399" s="2" t="n">
        <v>1967</v>
      </c>
      <c r="F399" s="2" t="inlineStr">
        <is>
          <t>фильм-спектакль</t>
        </is>
      </c>
      <c r="G399" s="2" t="n"/>
      <c r="H399" s="2" t="n">
        <v>278</v>
      </c>
      <c r="I399" s="2" t="inlineStr">
        <is>
          <t>да</t>
        </is>
      </c>
      <c r="J399" s="2" t="inlineStr"/>
      <c r="K399" s="3" t="inlineStr">
        <is>
          <t>По рассказу Антона Павловича Чехова.
Необычное режиссерское решение: черно-белый фото-ряд, создавая необходимое ретро-настроение, перебивается неспешным голосом рассказчика. И лишь на 9-й минуте начинается само действие: три собеседника в уютной прихожей ведут степенную беседу…</t>
        </is>
      </c>
      <c r="L399" s="2" t="inlineStr">
        <is>
          <t>https://www.kino-teatr.ru/teatr/movie/86379/annot/</t>
        </is>
      </c>
      <c r="M399" s="2">
        <f>HYPERLINK("https://ru.wikipedia.org/w/index.php?search=%D0%9A%D1%80%D1%8B%D0%B6%D0%BE%D0%B2%D0%BD%D0%B8%D0%BA%201967%20%D1%84%D0%B8%D0%BB%D1%8C%D0%BC","искать")</f>
        <v/>
      </c>
      <c r="N399" s="3" t="n"/>
      <c r="O399" s="2" t="n"/>
    </row>
    <row r="400">
      <c r="A400" s="2" t="n">
        <v>399</v>
      </c>
      <c r="B400" s="2" t="inlineStr">
        <is>
          <t>обрыв</t>
        </is>
      </c>
      <c r="C400" s="2" t="n">
        <v>7954</v>
      </c>
      <c r="D400" s="3" t="inlineStr">
        <is>
          <t>Наталка Полтавка</t>
        </is>
      </c>
      <c r="E400" s="2" t="n">
        <v>1978</v>
      </c>
      <c r="F400" s="2" t="inlineStr">
        <is>
          <t>телефильм</t>
        </is>
      </c>
      <c r="G400" s="2" t="n"/>
      <c r="H400" s="2" t="n">
        <v>279</v>
      </c>
      <c r="I400" s="2" t="inlineStr">
        <is>
          <t>да</t>
        </is>
      </c>
      <c r="J400" s="2" t="inlineStr"/>
      <c r="K400" s="3" t="inlineStr">
        <is>
          <t>Экранизация пьесы Ивана Котляревского с музыкой Николая Лысенко. К красивой и работящей, но бедной Наталке сватается богатый возный Тетерваковский. Подчинясь воле матери, Наталка дает согласие на брак с нелюбимым. Но в это время в село возвращается Петро, возлюбленный Наталки...</t>
        </is>
      </c>
      <c r="L400" s="2" t="inlineStr">
        <is>
          <t>Кино_СССР сводный каталог.xlsx: список телефильмов</t>
        </is>
      </c>
      <c r="M400" s="2">
        <f>HYPERLINK("https://ru.wikipedia.org/w/index.php?search=%D0%9D%D0%B0%D1%82%D0%B0%D0%BB%D0%BA%D0%B0%20%D0%9F%D0%BE%D0%BB%D1%82%D0%B0%D0%B2%D0%BA%D0%B0%201978%20%D1%84%D0%B8%D0%BB%D1%8C%D0%BC","искать")</f>
        <v/>
      </c>
      <c r="N400" s="3" t="n"/>
      <c r="O400" s="2" t="n"/>
    </row>
    <row r="401">
      <c r="A401" s="2" t="n">
        <v>400</v>
      </c>
      <c r="B401" s="2" t="inlineStr">
        <is>
          <t>обрыв</t>
        </is>
      </c>
      <c r="C401" s="2" t="n">
        <v>8467</v>
      </c>
      <c r="D401" s="3" t="inlineStr">
        <is>
          <t>Транзит</t>
        </is>
      </c>
      <c r="E401" s="2" t="n">
        <v>1982</v>
      </c>
      <c r="F401" s="2" t="inlineStr">
        <is>
          <t>телефильм</t>
        </is>
      </c>
      <c r="G401" s="2" t="inlineStr">
        <is>
          <t>Свердловская киностудия</t>
        </is>
      </c>
      <c r="H401" s="2" t="n">
        <v>279</v>
      </c>
      <c r="I401" s="2" t="inlineStr">
        <is>
          <t>да</t>
        </is>
      </c>
      <c r="J401" s="2" t="inlineStr"/>
      <c r="K401" s="3" t="inlineStr">
        <is>
          <t>По мотивам пьесы Леонида Зорина. Возвращающийся в Москву из командировки Владимир Сергеевич Багров опаздывает на поезд и застревает на ночь в маленьком сибирском городке. Случайное знакомство на этом далеком полустанке возможно поможет обрести счастье двум уже немолодым людям...</t>
        </is>
      </c>
      <c r="L401" s="2" t="inlineStr">
        <is>
          <t>Кино_СССР сводный каталог.xlsx: список телефильмов</t>
        </is>
      </c>
      <c r="M401" s="2">
        <f>HYPERLINK("https://ru.wikipedia.org/w/index.php?search=%D0%A2%D1%80%D0%B0%D0%BD%D0%B7%D0%B8%D1%82%201982%20%D1%84%D0%B8%D0%BB%D1%8C%D0%BC","искать")</f>
        <v/>
      </c>
      <c r="N401" s="3" t="n"/>
      <c r="O401" s="2" t="n"/>
    </row>
    <row r="402">
      <c r="A402" s="2" t="n">
        <v>401</v>
      </c>
      <c r="B402" s="2" t="inlineStr">
        <is>
          <t>обрыв</t>
        </is>
      </c>
      <c r="C402" s="2" t="n">
        <v>9429</v>
      </c>
      <c r="D402" s="3" t="inlineStr">
        <is>
          <t>Кому вверх, кому вниз</t>
        </is>
      </c>
      <c r="E402" s="2" t="n">
        <v>1991</v>
      </c>
      <c r="F402" s="2" t="inlineStr">
        <is>
          <t>кинофильм</t>
        </is>
      </c>
      <c r="G402" s="2" t="n"/>
      <c r="H402" s="2" t="n">
        <v>279</v>
      </c>
      <c r="I402" s="2" t="inlineStr">
        <is>
          <t>да</t>
        </is>
      </c>
      <c r="J402" s="2" t="inlineStr"/>
      <c r="K402" s="3" t="inlineStr">
        <is>
          <t>Однажды солнечным утром 1979 года вышел человек из дома, пошел на работу и оказался в 90-х годах и, ко всему прочему, - замешанным в темные делишки преступной группировки. И теперь героя фильма ожидает множество приключений: комических, трагикомических и просто фантастических...</t>
        </is>
      </c>
      <c r="L402" s="2" t="inlineStr">
        <is>
          <t>Кино_СССР сводный каталог.xlsx: список фильмов (доп.)</t>
        </is>
      </c>
      <c r="M402" s="2">
        <f>HYPERLINK("https://ru.wikipedia.org/w/index.php?search=%D0%9A%D0%BE%D0%BC%D1%83%20%D0%B2%D0%B2%D0%B5%D1%80%D1%85%2C%20%D0%BA%D0%BE%D0%BC%D1%83%20%D0%B2%D0%BD%D0%B8%D0%B7%201991%20%D1%84%D0%B8%D0%BB%D1%8C%D0%BC","искать")</f>
        <v/>
      </c>
      <c r="N402" s="3" t="n"/>
      <c r="O402" s="2" t="n"/>
    </row>
    <row r="403">
      <c r="A403" s="2" t="n">
        <v>402</v>
      </c>
      <c r="B403" s="2" t="inlineStr">
        <is>
          <t>обрыв</t>
        </is>
      </c>
      <c r="C403" s="2" t="n">
        <v>10993</v>
      </c>
      <c r="D403" s="3" t="inlineStr">
        <is>
          <t>Июнь, начало лета</t>
        </is>
      </c>
      <c r="E403" s="2" t="n">
        <v>1983</v>
      </c>
      <c r="F403" s="2" t="inlineStr">
        <is>
          <t>фильм-спектакль</t>
        </is>
      </c>
      <c r="G403" s="2" t="inlineStr">
        <is>
          <t>Гл. ред. литературно-драматических программ ЦТ</t>
        </is>
      </c>
      <c r="H403" s="2" t="n">
        <v>279</v>
      </c>
      <c r="I403" s="2" t="inlineStr">
        <is>
          <t>да</t>
        </is>
      </c>
      <c r="J403" s="2" t="inlineStr"/>
      <c r="K403" s="3" t="inlineStr">
        <is>
          <t>Из цикла «По Вашему письму».
Варю Грачеву оставил муж. В эти тяжелые дни к ней на помощь приходит случайный знакомый, телевизионный мастер Митя Парамонов. Он помогает Варе разобраться в своих чувствах, пытается помирить ее с мужем. Но Варя пока не может простить предательства...</t>
        </is>
      </c>
      <c r="L403" s="2" t="inlineStr">
        <is>
          <t>https://www.kino-teatr.ru/teatr/movie/139855/annot/</t>
        </is>
      </c>
      <c r="M403" s="2">
        <f>HYPERLINK("https://ru.wikipedia.org/w/index.php?search=%D0%98%D1%8E%D0%BD%D1%8C%2C%20%D0%BD%D0%B0%D1%87%D0%B0%D0%BB%D0%BE%20%D0%BB%D0%B5%D1%82%D0%B0%201983%20%D1%84%D0%B8%D0%BB%D1%8C%D0%BC","искать")</f>
        <v/>
      </c>
      <c r="N403" s="3" t="n"/>
      <c r="O403" s="2" t="n"/>
    </row>
    <row r="404">
      <c r="A404" s="2" t="n">
        <v>403</v>
      </c>
      <c r="B404" s="2" t="inlineStr">
        <is>
          <t>обрыв</t>
        </is>
      </c>
      <c r="C404" s="2" t="n">
        <v>7735</v>
      </c>
      <c r="D404" s="3" t="inlineStr">
        <is>
          <t>Когда становятся взрослыми</t>
        </is>
      </c>
      <c r="E404" s="2" t="n">
        <v>1985</v>
      </c>
      <c r="F404" s="2" t="inlineStr">
        <is>
          <t>телефильм</t>
        </is>
      </c>
      <c r="G404" s="2" t="n"/>
      <c r="H404" s="2" t="n">
        <v>280</v>
      </c>
      <c r="I404" s="2" t="inlineStr">
        <is>
          <t>да</t>
        </is>
      </c>
      <c r="J404" s="2" t="inlineStr"/>
      <c r="K404" s="3" t="inlineStr">
        <is>
          <t>Телефильм. Рабочий завода Володя Кузнецов поступил в институт. Надеясь иметь больше свободного времени для учебы, он перешёл на работу мастера-наставника в ПТУ. Вскоре Володя понимает, насколько ответственна и интересна его работа. Он уже не мыслит себя без своих воспитанников...</t>
        </is>
      </c>
      <c r="L404" s="2" t="inlineStr">
        <is>
          <t>Кино_СССР сводный каталог.xlsx: список телефильмов</t>
        </is>
      </c>
      <c r="M404" s="2">
        <f>HYPERLINK("https://ru.wikipedia.org/w/index.php?search=%D0%9A%D0%BE%D0%B3%D0%B4%D0%B0%20%D1%81%D1%82%D0%B0%D0%BD%D0%BE%D0%B2%D1%8F%D1%82%D1%81%D1%8F%20%D0%B2%D0%B7%D1%80%D0%BE%D1%81%D0%BB%D1%8B%D0%BC%D0%B8%201985%20%D1%84%D0%B8%D0%BB%D1%8C%D0%BC","искать")</f>
        <v/>
      </c>
      <c r="N404" s="3" t="n"/>
      <c r="O404" s="2" t="n"/>
    </row>
    <row r="405">
      <c r="A405" s="2" t="n">
        <v>404</v>
      </c>
      <c r="B405" s="2" t="inlineStr">
        <is>
          <t>обрыв</t>
        </is>
      </c>
      <c r="C405" s="2" t="n">
        <v>8014</v>
      </c>
      <c r="D405" s="3" t="inlineStr">
        <is>
          <t>Ночь председателя</t>
        </is>
      </c>
      <c r="E405" s="2" t="n">
        <v>1981</v>
      </c>
      <c r="F405" s="2" t="inlineStr">
        <is>
          <t>телефильм</t>
        </is>
      </c>
      <c r="G405" s="2" t="n"/>
      <c r="H405" s="2" t="n">
        <v>280</v>
      </c>
      <c r="I405" s="2" t="inlineStr">
        <is>
          <t>да</t>
        </is>
      </c>
      <c r="J405" s="2" t="inlineStr"/>
      <c r="K405" s="3" t="inlineStr">
        <is>
          <t>Телефильм. Вся жизнь Павла Сергеевича связана с родным селом. Вернувшись с фронта, он возглавил колхоз в родном селе и стал его бессменным председателем. Тогда-то и испортились отношения со старшим братом Петром, уехавшим в город. И вот новая встреча братьев спустя многие годы...</t>
        </is>
      </c>
      <c r="L405" s="2" t="inlineStr">
        <is>
          <t>Кино_СССР сводный каталог.xlsx: список телефильмов</t>
        </is>
      </c>
      <c r="M405" s="2">
        <f>HYPERLINK("https://ru.wikipedia.org/w/index.php?search=%D0%9D%D0%BE%D1%87%D1%8C%20%D0%BF%D1%80%D0%B5%D0%B4%D1%81%D0%B5%D0%B4%D0%B0%D1%82%D0%B5%D0%BB%D1%8F%201981%20%D1%84%D0%B8%D0%BB%D1%8C%D0%BC","искать")</f>
        <v/>
      </c>
      <c r="N405" s="3" t="n"/>
      <c r="O405" s="2" t="n"/>
    </row>
    <row r="406">
      <c r="A406" s="2" t="n">
        <v>405</v>
      </c>
      <c r="B406" s="2" t="inlineStr">
        <is>
          <t>обрыв</t>
        </is>
      </c>
      <c r="C406" s="2" t="n">
        <v>9048</v>
      </c>
      <c r="D406" s="3" t="inlineStr">
        <is>
          <t>Слоны</t>
        </is>
      </c>
      <c r="E406" s="2" t="n">
        <v>1988</v>
      </c>
      <c r="F406" s="2" t="inlineStr">
        <is>
          <t>кинофильм</t>
        </is>
      </c>
      <c r="G406" s="2" t="n"/>
      <c r="H406" s="2" t="n">
        <v>280</v>
      </c>
      <c r="I406" s="2" t="inlineStr">
        <is>
          <t>да</t>
        </is>
      </c>
      <c r="J406" s="2" t="inlineStr"/>
      <c r="K406" s="3" t="inlineStr">
        <is>
          <t>Пятилетний Вася уверен, что слоны уже устали поддерживать землю на своих спинах и скоро придут к нему в гости. Пётр Фомич с Васькой выходят их встречать, но тут захлопывается дверь в квартиру, в которой спят брат Василия Витька, его девушка и многочисленные пьяные родственники...</t>
        </is>
      </c>
      <c r="L406" s="2" t="inlineStr">
        <is>
          <t>Кино_СССР сводный каталог.xlsx: список фильмов (доп.)</t>
        </is>
      </c>
      <c r="M406" s="2">
        <f>HYPERLINK("https://ru.wikipedia.org/w/index.php?search=%D0%A1%D0%BB%D0%BE%D0%BD%D1%8B%201988%20%D1%84%D0%B8%D0%BB%D1%8C%D0%BC","искать")</f>
        <v/>
      </c>
      <c r="N406" s="3" t="n"/>
      <c r="O406" s="2" t="n"/>
    </row>
    <row r="407">
      <c r="A407" s="2" t="n">
        <v>406</v>
      </c>
      <c r="B407" s="2" t="inlineStr">
        <is>
          <t>обрыв</t>
        </is>
      </c>
      <c r="C407" s="2" t="n">
        <v>9938</v>
      </c>
      <c r="D407" s="3" t="inlineStr">
        <is>
          <t>Огонь в глубине дерева</t>
        </is>
      </c>
      <c r="E407" s="2" t="n">
        <v>1978</v>
      </c>
      <c r="F407" s="2" t="inlineStr">
        <is>
          <t>телефильм</t>
        </is>
      </c>
      <c r="G407" s="2" t="inlineStr">
        <is>
          <t>Одесская киностудия по заказу Гостелерадио СССР</t>
        </is>
      </c>
      <c r="H407" s="2" t="n">
        <v>280</v>
      </c>
      <c r="I407" s="2" t="inlineStr">
        <is>
          <t>да</t>
        </is>
      </c>
      <c r="J407" s="2" t="inlineStr"/>
      <c r="K407" s="3" t="inlineStr">
        <is>
          <t>Двенадцатилетний Женька замкнут, необщителен, хотя растет в благополучной семье, где его окружают вниманием, покупают дорогие игрушки. Он любит мастерить. Но никто не разделяет его увлечения, у него нет товарищей. Случайная встреча Женьки с пожилым человеком изменяет его жизнь...</t>
        </is>
      </c>
      <c r="L407" s="2" t="inlineStr">
        <is>
          <t>https://www.kino-teatr.ru/short/movie/sov/4661/annot/</t>
        </is>
      </c>
      <c r="M407" s="2">
        <f>HYPERLINK("https://ru.wikipedia.org/w/index.php?search=%D0%9E%D0%B3%D0%BE%D0%BD%D1%8C%20%D0%B2%20%D0%B3%D0%BB%D1%83%D0%B1%D0%B8%D0%BD%D0%B5%20%D0%B4%D0%B5%D1%80%D0%B5%D0%B2%D0%B0%201978%20%D1%84%D0%B8%D0%BB%D1%8C%D0%BC","искать")</f>
        <v/>
      </c>
      <c r="N407" s="3" t="n"/>
      <c r="O407" s="2" t="n"/>
    </row>
    <row r="408">
      <c r="A408" s="2" t="n">
        <v>407</v>
      </c>
      <c r="B408" s="2" t="inlineStr">
        <is>
          <t>обрыв</t>
        </is>
      </c>
      <c r="C408" s="2" t="n">
        <v>10207</v>
      </c>
      <c r="D408" s="3" t="inlineStr">
        <is>
          <t>Митя</t>
        </is>
      </c>
      <c r="E408" s="2" t="n">
        <v>1967</v>
      </c>
      <c r="F408" s="2" t="inlineStr">
        <is>
          <t>фильм-спектакль</t>
        </is>
      </c>
      <c r="G408" s="2" t="inlineStr">
        <is>
          <t>ЦТ</t>
        </is>
      </c>
      <c r="H408" s="2" t="n">
        <v>280</v>
      </c>
      <c r="I408" s="2" t="inlineStr">
        <is>
          <t>да</t>
        </is>
      </c>
      <c r="J408" s="2" t="inlineStr"/>
      <c r="K408" s="3" t="inlineStr">
        <is>
          <t>По одноименному произведению Г.Никитина. Главный инженер строительства завода в Перми - Дмитрий Иванович - приезжает в Москву по служебной надобности. Здесь живет его бывшая жена, художница Кира. У каждого из них своя жизнь, но все равно они остаются близкими друг другу людьми...</t>
        </is>
      </c>
      <c r="L408" s="2" t="inlineStr">
        <is>
          <t>https://www.kino-teatr.ru/teatr/movie/15469/annot/</t>
        </is>
      </c>
      <c r="M408" s="2">
        <f>HYPERLINK("https://ru.wikipedia.org/w/index.php?search=%D0%9C%D0%B8%D1%82%D1%8F%201967%20%D1%84%D0%B8%D0%BB%D1%8C%D0%BC","искать")</f>
        <v/>
      </c>
      <c r="N408" s="3" t="n"/>
      <c r="O408" s="2" t="n"/>
    </row>
    <row r="409">
      <c r="A409" s="2" t="n">
        <v>408</v>
      </c>
      <c r="B409" s="2" t="inlineStr">
        <is>
          <t>обрыв</t>
        </is>
      </c>
      <c r="C409" s="2" t="n">
        <v>9493</v>
      </c>
      <c r="D409" s="3" t="inlineStr">
        <is>
          <t>Наш бронепоезд</t>
        </is>
      </c>
      <c r="E409" s="2" t="n">
        <v>1988</v>
      </c>
      <c r="F409" s="2" t="inlineStr">
        <is>
          <t>кинофильм</t>
        </is>
      </c>
      <c r="G409" s="2" t="n"/>
      <c r="H409" s="2" t="n">
        <v>282</v>
      </c>
      <c r="I409" s="2" t="inlineStr">
        <is>
          <t>да</t>
        </is>
      </c>
      <c r="J409" s="2" t="inlineStr"/>
      <c r="K409" s="3" t="inlineStr">
        <is>
          <t>События фильма происходят в первые майские дни 1966 года. Заслуженный ветеран Великой Отечественной войны, бывший лагерный охранник Николай Кузнецов случайно встречается с одним из бывших заключенных. Это событие влечет за собой новые встречи - и новые прозрения о прожитых годах...</t>
        </is>
      </c>
      <c r="L409" s="2" t="inlineStr">
        <is>
          <t>Кино_СССР сводный каталог.xlsx: список фильмов (доп.)</t>
        </is>
      </c>
      <c r="M409" s="2">
        <f>HYPERLINK("https://ru.wikipedia.org/w/index.php?search=%D0%9D%D0%B0%D1%88%20%D0%B1%D1%80%D0%BE%D0%BD%D0%B5%D0%BF%D0%BE%D0%B5%D0%B7%D0%B4%201988%20%D1%84%D0%B8%D0%BB%D1%8C%D0%BC","искать")</f>
        <v/>
      </c>
      <c r="N409" s="3" t="n"/>
      <c r="O409" s="2" t="n"/>
    </row>
    <row r="410">
      <c r="A410" s="2" t="n">
        <v>409</v>
      </c>
      <c r="B410" s="2" t="inlineStr">
        <is>
          <t>обрыв</t>
        </is>
      </c>
      <c r="C410" s="2" t="n">
        <v>10988</v>
      </c>
      <c r="D410" s="3" t="inlineStr">
        <is>
          <t>Жизель</t>
        </is>
      </c>
      <c r="E410" s="2" t="n">
        <v>1983</v>
      </c>
      <c r="F410" s="2" t="inlineStr">
        <is>
          <t>фильм-спектакль</t>
        </is>
      </c>
      <c r="G410" s="2" t="n"/>
      <c r="H410" s="2" t="n">
        <v>282</v>
      </c>
      <c r="I410" s="2" t="inlineStr">
        <is>
          <t>да</t>
        </is>
      </c>
      <c r="J410" s="2" t="inlineStr"/>
      <c r="K410" s="3" t="inlineStr">
        <is>
          <t>Фантастический балет в 2-х действиях. Съёмка выполнена в июле 1983 года на сцене Мариинского театра
Граф Альберт, влюбленный в крестьянскую девушку Жизель, скрывает свой титул. Другой поклонник Жизели, лесничий Ганс, пытается объяснить ей, что Альберт не тот, за кого выдает себя...</t>
        </is>
      </c>
      <c r="L410" s="2" t="inlineStr">
        <is>
          <t>https://www.kino-teatr.ru/teatr/movie/106291/annot/</t>
        </is>
      </c>
      <c r="M410" s="2">
        <f>HYPERLINK("https://ru.wikipedia.org/w/index.php?search=%D0%96%D0%B8%D0%B7%D0%B5%D0%BB%D1%8C%201983%20%D1%84%D0%B8%D0%BB%D1%8C%D0%BC","искать")</f>
        <v/>
      </c>
      <c r="N410" s="3" t="n"/>
      <c r="O410" s="2" t="n"/>
    </row>
    <row r="411">
      <c r="A411" s="2" t="n">
        <v>410</v>
      </c>
      <c r="B411" s="2" t="inlineStr">
        <is>
          <t>обрыв</t>
        </is>
      </c>
      <c r="C411" s="2" t="n">
        <v>8258</v>
      </c>
      <c r="D411" s="3" t="inlineStr">
        <is>
          <t>Расколотое небо</t>
        </is>
      </c>
      <c r="E411" s="2" t="n">
        <v>1979</v>
      </c>
      <c r="F411" s="2" t="inlineStr">
        <is>
          <t>телефильм</t>
        </is>
      </c>
      <c r="G411" s="2" t="n"/>
      <c r="H411" s="2" t="n">
        <v>283</v>
      </c>
      <c r="I411" s="2" t="inlineStr">
        <is>
          <t>да</t>
        </is>
      </c>
      <c r="J411" s="2" t="inlineStr"/>
      <c r="K411" s="3" t="inlineStr">
        <is>
          <t>Телесериал. 1918 год. Группа русских авиаторов, обучавшихся летному делу во Франции, возвращается в Россию и присоединяется к белогвардейскому отряду. Однако двое летчиков вскоре переходят на сторону революции и сражаются в составе первого авиационного подразделения Красной Армии...</t>
        </is>
      </c>
      <c r="L411" s="2" t="inlineStr">
        <is>
          <t>Кино_СССР сводный каталог.xlsx: список телефильмов</t>
        </is>
      </c>
      <c r="M411" s="2">
        <f>HYPERLINK("https://ru.wikipedia.org/w/index.php?search=%D0%A0%D0%B0%D1%81%D0%BA%D0%BE%D0%BB%D0%BE%D1%82%D0%BE%D0%B5%20%D0%BD%D0%B5%D0%B1%D0%BE%201979%20%D1%84%D0%B8%D0%BB%D1%8C%D0%BC","искать")</f>
        <v/>
      </c>
      <c r="N411" s="3" t="n"/>
      <c r="O411" s="2" t="n"/>
    </row>
    <row r="412">
      <c r="A412" s="2" t="n">
        <v>411</v>
      </c>
      <c r="B412" s="2" t="inlineStr">
        <is>
          <t>обрыв</t>
        </is>
      </c>
      <c r="C412" s="2" t="n">
        <v>9750</v>
      </c>
      <c r="D412" s="3" t="inlineStr">
        <is>
          <t>Черная магия, или Свидание с дьяволом</t>
        </is>
      </c>
      <c r="E412" s="2" t="n">
        <v>1990</v>
      </c>
      <c r="F412" s="2" t="inlineStr">
        <is>
          <t>кинофильм</t>
        </is>
      </c>
      <c r="G412" s="2" t="n"/>
      <c r="H412" s="2" t="n">
        <v>283</v>
      </c>
      <c r="I412" s="2" t="inlineStr">
        <is>
          <t>да</t>
        </is>
      </c>
      <c r="J412" s="2" t="inlineStr"/>
      <c r="K412" s="3" t="inlineStr">
        <is>
          <t>1946 год. Уставшие от бедноты и голода крестьяне обращаются за помощью к Черной Магии. Такая книга есть у деревенского грамотея Петруца, который нашел ее в заброшенной царской усадьбе. И теперь каждый заражен бредовой идеей — заключить сделку с дьяволом. Он — их последняя надежда...</t>
        </is>
      </c>
      <c r="L412" s="2" t="inlineStr">
        <is>
          <t>Кино_СССР сводный каталог.xlsx: список фильмов (доп.)</t>
        </is>
      </c>
      <c r="M412" s="2">
        <f>HYPERLINK("https://ru.wikipedia.org/w/index.php?search=%D0%A7%D0%B5%D1%80%D0%BD%D0%B0%D1%8F%20%D0%BC%D0%B0%D0%B3%D0%B8%D1%8F%2C%20%D0%B8%D0%BB%D0%B8%20%D0%A1%D0%B2%D0%B8%D0%B4%D0%B0%D0%BD%D0%B8%D0%B5%20%D1%81%20%D0%B4%D1%8C%D1%8F%D0%B2%D0%BE%D0%BB%D0%BE%D0%BC%201990%20%D1%84%D0%B8%D0%BB%D1%8C%D0%BC","искать")</f>
        <v/>
      </c>
      <c r="N412" s="3" t="n"/>
      <c r="O412" s="2" t="n"/>
    </row>
    <row r="413">
      <c r="A413" s="2" t="n">
        <v>412</v>
      </c>
      <c r="B413" s="2" t="inlineStr">
        <is>
          <t>обрыв</t>
        </is>
      </c>
      <c r="C413" s="2" t="n">
        <v>11219</v>
      </c>
      <c r="D413" s="3" t="inlineStr">
        <is>
          <t>Ночь на размышление</t>
        </is>
      </c>
      <c r="E413" s="2" t="n">
        <v>1988</v>
      </c>
      <c r="F413" s="2" t="inlineStr">
        <is>
          <t>фильм-спектакль</t>
        </is>
      </c>
      <c r="G413" s="2" t="inlineStr">
        <is>
          <t>Главная редакция литературно-драматических программ ЦТ</t>
        </is>
      </c>
      <c r="H413" s="2" t="n">
        <v>283</v>
      </c>
      <c r="I413" s="2" t="inlineStr">
        <is>
          <t>да</t>
        </is>
      </c>
      <c r="J413" s="2" t="inlineStr"/>
      <c r="K413" s="3" t="inlineStr">
        <is>
          <t>По одноименной пьесе Александра Косенкова.
В областном театре молодой режиссёр репетирует пьесу о крупном руководителе, решившем перестроить доверенное ему производство. Режиссёр приходит к выводу, что в пьесе отражена ситуация, в которой находятся и они сами, и театр, и вся страна…</t>
        </is>
      </c>
      <c r="L413" s="2" t="inlineStr">
        <is>
          <t>https://www.kino-teatr.ru/teatr/movie/127637/annot/</t>
        </is>
      </c>
      <c r="M413" s="2">
        <f>HYPERLINK("https://ru.wikipedia.org/w/index.php?search=%D0%9D%D0%BE%D1%87%D1%8C%20%D0%BD%D0%B0%20%D1%80%D0%B0%D0%B7%D0%BC%D1%8B%D1%88%D0%BB%D0%B5%D0%BD%D0%B8%D0%B5%201988%20%D1%84%D0%B8%D0%BB%D1%8C%D0%BC","искать")</f>
        <v/>
      </c>
      <c r="N413" s="3" t="n"/>
      <c r="O413" s="2" t="n"/>
    </row>
    <row r="414">
      <c r="A414" s="2" t="n">
        <v>413</v>
      </c>
      <c r="B414" s="2" t="inlineStr">
        <is>
          <t>обрыв</t>
        </is>
      </c>
      <c r="C414" s="2" t="n">
        <v>7238</v>
      </c>
      <c r="D414" s="3" t="inlineStr">
        <is>
          <t>Бедная Маша</t>
        </is>
      </c>
      <c r="E414" s="2" t="n">
        <v>1981</v>
      </c>
      <c r="F414" s="2" t="inlineStr">
        <is>
          <t>телефильм</t>
        </is>
      </c>
      <c r="G414" s="2" t="n"/>
      <c r="H414" s="2" t="n">
        <v>284</v>
      </c>
      <c r="I414" s="2" t="inlineStr">
        <is>
          <t>да</t>
        </is>
      </c>
      <c r="J414" s="2" t="inlineStr"/>
      <c r="K414" s="3" t="inlineStr">
        <is>
          <t>Молодые инженеры строят дорогу, а по вечерам репетируют в театре. Но не только работа и творчество занимают их. Главное в жизни каждого всё-таки любовь. Медсестра Маша, чтобы проверить истинность чувств своего избранника Кости, сообщает своей подруге "по секрету", что ждет ребенка...</t>
        </is>
      </c>
      <c r="L414" s="2" t="inlineStr">
        <is>
          <t>Кино_СССР сводный каталог.xlsx: список телефильмов</t>
        </is>
      </c>
      <c r="M414" s="2">
        <f>HYPERLINK("https://ru.wikipedia.org/w/index.php?search=%D0%91%D0%B5%D0%B4%D0%BD%D0%B0%D1%8F%20%D0%9C%D0%B0%D1%88%D0%B0%201981%20%D1%84%D0%B8%D0%BB%D1%8C%D0%BC","искать")</f>
        <v/>
      </c>
      <c r="N414" s="3" t="n"/>
      <c r="O414" s="2" t="n"/>
    </row>
    <row r="415">
      <c r="A415" s="2" t="n">
        <v>414</v>
      </c>
      <c r="B415" s="2" t="inlineStr">
        <is>
          <t>обрыв</t>
        </is>
      </c>
      <c r="C415" s="2" t="n">
        <v>7268</v>
      </c>
      <c r="D415" s="3" t="inlineStr">
        <is>
          <t>Братан</t>
        </is>
      </c>
      <c r="E415" s="2" t="n">
        <v>1991</v>
      </c>
      <c r="F415" s="2" t="inlineStr">
        <is>
          <t>телефильм</t>
        </is>
      </c>
      <c r="G415" s="2" t="inlineStr">
        <is>
          <t>«Таджикфильм»; «Союзтелефильм»</t>
        </is>
      </c>
      <c r="H415" s="2" t="n">
        <v>284</v>
      </c>
      <c r="I415" s="2" t="inlineStr">
        <is>
          <t>да</t>
        </is>
      </c>
      <c r="J415" s="2" t="inlineStr"/>
      <c r="K415" s="3" t="inlineStr">
        <is>
          <t>Старший сын решает отвезти младшего к отцу, живущему в другом городе. Оба они лишены тепла семейного очага. И старший брат надеется, что отец захочет оставить малыша у себя... И вот, договорившись со знакомым машинистом товарного поезда, они едут по пустынным равнинам Средней Азии...</t>
        </is>
      </c>
      <c r="L415" s="2" t="inlineStr">
        <is>
          <t>Кино_СССР сводный каталог.xlsx: список телефильмов</t>
        </is>
      </c>
      <c r="M415" s="2">
        <f>HYPERLINK("https://ru.wikipedia.org/w/index.php?search=%D0%91%D1%80%D0%B0%D1%82%D0%B0%D0%BD%201991%20%D1%84%D0%B8%D0%BB%D1%8C%D0%BC","искать")</f>
        <v/>
      </c>
      <c r="N415" s="3" t="n"/>
      <c r="O415" s="2" t="n"/>
    </row>
    <row r="416">
      <c r="A416" s="2" t="n">
        <v>415</v>
      </c>
      <c r="B416" s="2" t="inlineStr">
        <is>
          <t>обрыв</t>
        </is>
      </c>
      <c r="C416" s="2" t="n">
        <v>8039</v>
      </c>
      <c r="D416" s="3" t="inlineStr">
        <is>
          <t>Ожидание</t>
        </is>
      </c>
      <c r="E416" s="2" t="n">
        <v>1981</v>
      </c>
      <c r="F416" s="2" t="inlineStr">
        <is>
          <t>телефильм</t>
        </is>
      </c>
      <c r="G416" s="2" t="n"/>
      <c r="H416" s="2" t="n">
        <v>285</v>
      </c>
      <c r="I416" s="2" t="inlineStr">
        <is>
          <t>да</t>
        </is>
      </c>
      <c r="J416" s="2" t="inlineStr"/>
      <c r="K416" s="3" t="inlineStr">
        <is>
          <t>Телефильм по одноименной повести Радия Погодина. Капитан теплохода на борту своего корабля встречает друга детства. Они вспоминают совместные игры, первое чувство к жившей по соседству девочке, все веселое и грустное, что в конечном итоге осветило добрым светом давно прошедшие годы...</t>
        </is>
      </c>
      <c r="L416" s="2" t="inlineStr">
        <is>
          <t>Кино_СССР сводный каталог.xlsx: список телефильмов</t>
        </is>
      </c>
      <c r="M416" s="2">
        <f>HYPERLINK("https://ru.wikipedia.org/w/index.php?search=%D0%9E%D0%B6%D0%B8%D0%B4%D0%B0%D0%BD%D0%B8%D0%B5%201981%20%D1%84%D0%B8%D0%BB%D1%8C%D0%BC","искать")</f>
        <v/>
      </c>
      <c r="N416" s="3" t="n"/>
      <c r="O416" s="2" t="n"/>
    </row>
    <row r="417">
      <c r="A417" s="2" t="n">
        <v>416</v>
      </c>
      <c r="B417" s="2" t="inlineStr">
        <is>
          <t>обрыв</t>
        </is>
      </c>
      <c r="C417" s="2" t="n">
        <v>11038</v>
      </c>
      <c r="D417" s="3" t="inlineStr">
        <is>
          <t>Пчёлка</t>
        </is>
      </c>
      <c r="E417" s="2" t="n">
        <v>1984</v>
      </c>
      <c r="F417" s="2" t="inlineStr">
        <is>
          <t>фильм-спектакль</t>
        </is>
      </c>
      <c r="G417" s="2" t="n"/>
      <c r="H417" s="2" t="n">
        <v>285</v>
      </c>
      <c r="I417" s="2" t="inlineStr">
        <is>
          <t>да</t>
        </is>
      </c>
      <c r="J417" s="2" t="inlineStr"/>
      <c r="K417" s="3" t="inlineStr">
        <is>
          <t>Запись спектакля Театра им. Моссовета.
"Пчёлка" - по одноименной сказке А.Франса. Сказка о большой и настоящей любви двух детей Жоржа и Пчелки. Чтобы увидеть волшебное озеро, они убегают из дома и пропадают. Жорж попадает в подводное царство ундин, а Пчелка в подземное царство гномов…</t>
        </is>
      </c>
      <c r="L417" s="2" t="inlineStr">
        <is>
          <t>https://www.kino-teatr.ru/teatr/movie/84339/annot/</t>
        </is>
      </c>
      <c r="M417" s="2">
        <f>HYPERLINK("https://ru.wikipedia.org/w/index.php?search=%D0%9F%D1%87%D1%91%D0%BB%D0%BA%D0%B0%201984%20%D1%84%D0%B8%D0%BB%D1%8C%D0%BC","искать")</f>
        <v/>
      </c>
      <c r="N417" s="3" t="n"/>
      <c r="O417" s="2" t="n"/>
    </row>
    <row r="418">
      <c r="A418" s="2" t="n">
        <v>417</v>
      </c>
      <c r="B418" s="2" t="inlineStr">
        <is>
          <t>обрыв</t>
        </is>
      </c>
      <c r="C418" s="2" t="n">
        <v>8340</v>
      </c>
      <c r="D418" s="3" t="inlineStr">
        <is>
          <t>Сероманец</t>
        </is>
      </c>
      <c r="E418" s="2" t="n">
        <v>1989</v>
      </c>
      <c r="F418" s="2" t="inlineStr">
        <is>
          <t>телефильм</t>
        </is>
      </c>
      <c r="G418" s="2" t="n"/>
      <c r="H418" s="2" t="n">
        <v>287</v>
      </c>
      <c r="I418" s="2" t="inlineStr">
        <is>
          <t>да</t>
        </is>
      </c>
      <c r="J418" s="2" t="inlineStr"/>
      <c r="K418" s="3" t="inlineStr">
        <is>
          <t>По одноименной повести Мыколы Винграновского. После жестокой охоты из большой стаи волков уцелел только один - Сероманец. Он прятался в овраге возле села, где жил его друг - мальчик Сашко, подкармливавший волка и спасавший его от охотников. Но пришла еще одна беда - старый волк ослеп...</t>
        </is>
      </c>
      <c r="L418" s="2" t="inlineStr">
        <is>
          <t>Кино_СССР сводный каталог.xlsx: список телефильмов</t>
        </is>
      </c>
      <c r="M418" s="2">
        <f>HYPERLINK("https://ru.wikipedia.org/w/index.php?search=%D0%A1%D0%B5%D1%80%D0%BE%D0%BC%D0%B0%D0%BD%D0%B5%D1%86%201989%20%D1%84%D0%B8%D0%BB%D1%8C%D0%BC","искать")</f>
        <v/>
      </c>
      <c r="N418" s="3" t="n"/>
      <c r="O418" s="2" t="n"/>
    </row>
    <row r="419">
      <c r="A419" s="2" t="n">
        <v>418</v>
      </c>
      <c r="B419" s="2" t="inlineStr">
        <is>
          <t>обрыв</t>
        </is>
      </c>
      <c r="C419" s="2" t="n">
        <v>9295</v>
      </c>
      <c r="D419" s="3" t="inlineStr">
        <is>
          <t>Высокий перевал</t>
        </is>
      </c>
      <c r="E419" s="2" t="n">
        <v>1981</v>
      </c>
      <c r="F419" s="2" t="inlineStr">
        <is>
          <t>кинофильм</t>
        </is>
      </c>
      <c r="G419" s="2" t="n"/>
      <c r="H419" s="2" t="n">
        <v>287</v>
      </c>
      <c r="I419" s="2" t="inlineStr">
        <is>
          <t>да</t>
        </is>
      </c>
      <c r="J419" s="2" t="inlineStr"/>
      <c r="K419" s="3" t="inlineStr">
        <is>
          <t>Раненая при строительстве оборонных сооружений в начале Великой Отечественной войны Славка Петрин была отправлена в тыл и вскоре вернулась домой. Ее семья оставалась в оккупированном селе. Узнав, что муж и дети находятся в националистическом лагере, мать пытается встретиться с семьей...</t>
        </is>
      </c>
      <c r="L419" s="2" t="inlineStr">
        <is>
          <t>Кино_СССР сводный каталог.xlsx: список фильмов (доп.)</t>
        </is>
      </c>
      <c r="M419" s="2">
        <f>HYPERLINK("https://ru.wikipedia.org/w/index.php?search=%D0%92%D1%8B%D1%81%D0%BE%D0%BA%D0%B8%D0%B9%20%D0%BF%D0%B5%D1%80%D0%B5%D0%B2%D0%B0%D0%BB%201981%20%D1%84%D0%B8%D0%BB%D1%8C%D0%BC","искать")</f>
        <v/>
      </c>
      <c r="N419" s="3" t="n"/>
      <c r="O419" s="2" t="n"/>
    </row>
    <row r="420">
      <c r="A420" s="2" t="n">
        <v>419</v>
      </c>
      <c r="B420" s="2" t="inlineStr">
        <is>
          <t>обрыв</t>
        </is>
      </c>
      <c r="C420" s="2" t="n">
        <v>9610</v>
      </c>
      <c r="D420" s="3" t="inlineStr">
        <is>
          <t>Раз, два, горе - не беда!</t>
        </is>
      </c>
      <c r="E420" s="2" t="n">
        <v>1988</v>
      </c>
      <c r="F420" s="2" t="inlineStr">
        <is>
          <t>кинофильм</t>
        </is>
      </c>
      <c r="G420" s="2" t="n"/>
      <c r="H420" s="2" t="n">
        <v>287</v>
      </c>
      <c r="I420" s="2" t="inlineStr">
        <is>
          <t>да</t>
        </is>
      </c>
      <c r="J420" s="2" t="inlineStr"/>
      <c r="K420" s="3" t="inlineStr">
        <is>
          <t>Место действия - тридевятое царство. Действующие лица: царь Иван, Иван-солдат, Змей Горыныч, дочь царя Мария-Луиза. И кто только к ней не сватался!.. Даже сам заморский король Жан-Жак закидывал удочку. Да вот незадача: поссорился царь Иван с Жан-Жаком и началась у них настоящая война...</t>
        </is>
      </c>
      <c r="L420" s="2" t="inlineStr">
        <is>
          <t>Кино_СССР сводный каталог.xlsx: список фильмов (доп.)</t>
        </is>
      </c>
      <c r="M420" s="2">
        <f>HYPERLINK("https://ru.wikipedia.org/w/index.php?search=%D0%A0%D0%B0%D0%B7%2C%20%D0%B4%D0%B2%D0%B0%2C%20%D0%B3%D0%BE%D1%80%D0%B5%20-%20%D0%BD%D0%B5%20%D0%B1%D0%B5%D0%B4%D0%B0%21%201988%20%D1%84%D0%B8%D0%BB%D1%8C%D0%BC","искать")</f>
        <v/>
      </c>
      <c r="N420" s="3" t="n"/>
      <c r="O420" s="2" t="n"/>
    </row>
    <row r="421">
      <c r="A421" s="2" t="n">
        <v>420</v>
      </c>
      <c r="B421" s="2" t="inlineStr">
        <is>
          <t>обрыв</t>
        </is>
      </c>
      <c r="C421" s="2" t="n">
        <v>10707</v>
      </c>
      <c r="D421" s="3" t="inlineStr">
        <is>
          <t>Осторожно, листопад!</t>
        </is>
      </c>
      <c r="E421" s="2" t="n">
        <v>1977</v>
      </c>
      <c r="F421" s="2" t="inlineStr">
        <is>
          <t>фильм-спектакль</t>
        </is>
      </c>
      <c r="G421" s="2" t="inlineStr">
        <is>
          <t>Главная редакция литературно-драматических программ ЦТ</t>
        </is>
      </c>
      <c r="H421" s="2" t="n">
        <v>287</v>
      </c>
      <c r="I421" s="2" t="inlineStr">
        <is>
          <t>да</t>
        </is>
      </c>
      <c r="J421" s="2" t="inlineStr"/>
      <c r="K421" s="3" t="inlineStr">
        <is>
          <t>По одноименной пьесе Сергея Михалкова.
В семье инженера Сергея Шубина царят мир и благополучие. Но встреча с Мариной все изменяет. Сергею кажется, что к нему пришла истинная любовь, и он решает создать новую семью. Проходит время, но ни Сергей, ни Марина не чувствуют себя счастливыми...</t>
        </is>
      </c>
      <c r="L421" s="2" t="inlineStr">
        <is>
          <t>https://www.kino-teatr.ru/teatr/movie/80863/annot/</t>
        </is>
      </c>
      <c r="M421" s="2">
        <f>HYPERLINK("https://ru.wikipedia.org/w/index.php?search=%D0%9E%D1%81%D1%82%D0%BE%D1%80%D0%BE%D0%B6%D0%BD%D0%BE%2C%20%D0%BB%D0%B8%D1%81%D1%82%D0%BE%D0%BF%D0%B0%D0%B4%21%201977%20%D1%84%D0%B8%D0%BB%D1%8C%D0%BC","искать")</f>
        <v/>
      </c>
      <c r="N421" s="3" t="n"/>
      <c r="O421" s="2" t="n"/>
    </row>
    <row r="422">
      <c r="A422" s="2" t="n">
        <v>421</v>
      </c>
      <c r="B422" s="2" t="inlineStr">
        <is>
          <t>обрыв</t>
        </is>
      </c>
      <c r="C422" s="2" t="n">
        <v>8174</v>
      </c>
      <c r="D422" s="3" t="inlineStr">
        <is>
          <t>Последняя осень</t>
        </is>
      </c>
      <c r="E422" s="2" t="n">
        <v>1990</v>
      </c>
      <c r="F422" s="2" t="inlineStr">
        <is>
          <t>телефильм</t>
        </is>
      </c>
      <c r="G422" s="2" t="n"/>
      <c r="H422" s="2" t="n">
        <v>288</v>
      </c>
      <c r="I422" s="2" t="inlineStr">
        <is>
          <t>да</t>
        </is>
      </c>
      <c r="J422" s="2" t="inlineStr"/>
      <c r="K422" s="3" t="inlineStr">
        <is>
          <t>Поздняя осень 1982 года, в Москве действует банда налетчиков, грабящих квартиры по чьей-то наводке. Этим делом занимается сотрудник уголовного розыска майор Корнеев, человек честный и неподкупный. Корнееву предстоит сложное расследование, которое выведет его на высшие милицейские чины...</t>
        </is>
      </c>
      <c r="L422" s="2" t="inlineStr">
        <is>
          <t>Кино_СССР сводный каталог.xlsx: список телефильмов</t>
        </is>
      </c>
      <c r="M422" s="2">
        <f>HYPERLINK("https://ru.wikipedia.org/w/index.php?search=%D0%9F%D0%BE%D1%81%D0%BB%D0%B5%D0%B4%D0%BD%D1%8F%D1%8F%20%D0%BE%D1%81%D0%B5%D0%BD%D1%8C%201990%20%D1%84%D0%B8%D0%BB%D1%8C%D0%BC","искать")</f>
        <v/>
      </c>
      <c r="N422" s="3" t="n"/>
      <c r="O422" s="2" t="n"/>
    </row>
    <row r="423">
      <c r="A423" s="2" t="n">
        <v>422</v>
      </c>
      <c r="B423" s="2" t="inlineStr">
        <is>
          <t>обрыв</t>
        </is>
      </c>
      <c r="C423" s="2" t="n">
        <v>11203</v>
      </c>
      <c r="D423" s="3" t="inlineStr">
        <is>
          <t>И свет во тьме светит</t>
        </is>
      </c>
      <c r="E423" s="2" t="n">
        <v>1988</v>
      </c>
      <c r="F423" s="2" t="inlineStr">
        <is>
          <t>фильм-спектакль</t>
        </is>
      </c>
      <c r="G423" s="2" t="inlineStr">
        <is>
          <t>Главная редакция литературно-драматических программ ЦТ</t>
        </is>
      </c>
      <c r="H423" s="2" t="n">
        <v>288</v>
      </c>
      <c r="I423" s="2" t="inlineStr">
        <is>
          <t>да</t>
        </is>
      </c>
      <c r="J423" s="2" t="inlineStr">
        <is>
          <t>да</t>
        </is>
      </c>
      <c r="K423" s="3" t="inlineStr">
        <is>
          <t>По пьесе Л.Н.Толстого. Хорошо разыгранный телеспектакль с замечательными актерами, сумевшими создать психологическое окружение, свойственное Толстому. Здесь каждый по-своему прав и каждый глубоко заблуждается, все ищут спасения друг в друге и каждый не хочет понять и простить ближнего...</t>
        </is>
      </c>
      <c r="L423" s="2" t="inlineStr">
        <is>
          <t>https://www.kino-teatr.ru/teatr/movie/2596/annot/</t>
        </is>
      </c>
      <c r="M423" s="2">
        <f>HYPERLINK("https://ru.wikipedia.org/w/index.php?search=%D0%98%20%D1%81%D0%B2%D0%B5%D1%82%20%D0%B2%D0%BE%20%D1%82%D1%8C%D0%BC%D0%B5%20%D1%81%D0%B2%D0%B5%D1%82%D0%B8%D1%82%201988%20%D1%84%D0%B8%D0%BB%D1%8C%D0%BC","искать")</f>
        <v/>
      </c>
      <c r="N423" s="3" t="n"/>
      <c r="O423" s="2" t="n"/>
    </row>
    <row r="424">
      <c r="A424" s="2" t="n">
        <v>423</v>
      </c>
      <c r="B424" s="2" t="inlineStr">
        <is>
          <t>обрыв</t>
        </is>
      </c>
      <c r="C424" s="2" t="n">
        <v>7504</v>
      </c>
      <c r="D424" s="3" t="inlineStr">
        <is>
          <t>День приезда… день отъезда!</t>
        </is>
      </c>
      <c r="E424" s="2" t="n">
        <v>1966</v>
      </c>
      <c r="F424" s="2" t="inlineStr">
        <is>
          <t>телефильм</t>
        </is>
      </c>
      <c r="G424" s="2" t="n"/>
      <c r="H424" s="2" t="n">
        <v>289</v>
      </c>
      <c r="I424" s="2" t="inlineStr">
        <is>
          <t>да</t>
        </is>
      </c>
      <c r="J424" s="2" t="inlineStr"/>
      <c r="K424" s="3" t="inlineStr">
        <is>
          <t>Эта простая и потому особенно трогательная история произошла в одном городке, куда приехали четверо мужчин, каждый по своему делу. Они встретились случайно, но это не помешало им за два коротких дня принять участие в судьбе каждого из них и добрым советом, и, что еще важнее, добрым делом…</t>
        </is>
      </c>
      <c r="L424" s="2" t="inlineStr">
        <is>
          <t>Кино_СССР сводный каталог.xlsx: список телефильмов</t>
        </is>
      </c>
      <c r="M424" s="2">
        <f>HYPERLINK("https://ru.wikipedia.org/w/index.php?search=%D0%94%D0%B5%D0%BD%D1%8C%20%D0%BF%D1%80%D0%B8%D0%B5%D0%B7%D0%B4%D0%B0%E2%80%A6%20%D0%B4%D0%B5%D0%BD%D1%8C%20%D0%BE%D1%82%D1%8A%D0%B5%D0%B7%D0%B4%D0%B0%21%201966%20%D1%84%D0%B8%D0%BB%D1%8C%D0%BC","искать")</f>
        <v/>
      </c>
      <c r="N424" s="3" t="n"/>
      <c r="O424" s="2" t="n"/>
    </row>
    <row r="425">
      <c r="A425" s="2" t="n">
        <v>424</v>
      </c>
      <c r="B425" s="2" t="inlineStr">
        <is>
          <t>обрыв</t>
        </is>
      </c>
      <c r="C425" s="2" t="n">
        <v>8832</v>
      </c>
      <c r="D425" s="3" t="inlineStr">
        <is>
          <t>Месть</t>
        </is>
      </c>
      <c r="E425" s="2" t="n">
        <v>1989</v>
      </c>
      <c r="F425" s="2" t="inlineStr">
        <is>
          <t>кинофильм</t>
        </is>
      </c>
      <c r="G425" s="2" t="n"/>
      <c r="H425" s="2" t="n">
        <v>289</v>
      </c>
      <c r="I425" s="2" t="inlineStr">
        <is>
          <t>да</t>
        </is>
      </c>
      <c r="J425" s="2" t="inlineStr"/>
      <c r="K425" s="3" t="inlineStr">
        <is>
          <t>Хрупкие плечи корейского юноши Сунгу придавлены тяжкой ношей. С детских лет он влачит этот груз, завещанный отцом, и обречен жить одной только идеей мести. Иначе будет нарушена священная традиция, и не успокоится душа отца, отлетевшая в небесные просторы. Иначе Сунгу нет места на земле...</t>
        </is>
      </c>
      <c r="L425" s="2" t="inlineStr">
        <is>
          <t>Кино_СССР сводный каталог.xlsx: список фильмов (доп.)</t>
        </is>
      </c>
      <c r="M425" s="2">
        <f>HYPERLINK("https://ru.wikipedia.org/w/index.php?search=%D0%9C%D0%B5%D1%81%D1%82%D1%8C%201989%20%D1%84%D0%B8%D0%BB%D1%8C%D0%BC","искать")</f>
        <v/>
      </c>
      <c r="N425" s="3" t="n"/>
      <c r="O425" s="2" t="n"/>
    </row>
    <row r="426">
      <c r="A426" s="2" t="n">
        <v>425</v>
      </c>
      <c r="B426" s="2" t="inlineStr">
        <is>
          <t>обрыв</t>
        </is>
      </c>
      <c r="C426" s="2" t="n">
        <v>7747</v>
      </c>
      <c r="D426" s="3" t="inlineStr">
        <is>
          <t>Комический любовник, или Любовные затеи сэра Джона Фальстафа</t>
        </is>
      </c>
      <c r="E426" s="2" t="n">
        <v>1983</v>
      </c>
      <c r="F426" s="2" t="inlineStr">
        <is>
          <t>телефильм</t>
        </is>
      </c>
      <c r="G426" s="2" t="n"/>
      <c r="H426" s="2" t="n">
        <v>290</v>
      </c>
      <c r="I426" s="2" t="inlineStr">
        <is>
          <t>да</t>
        </is>
      </c>
      <c r="J426" s="2" t="inlineStr"/>
      <c r="K426" s="3" t="inlineStr">
        <is>
          <t>Обаятельный старый плут, хвастун, кутила и бабник, друг и собутыльник знаменитого Принца Уэльского - сэр Джон Фальстаф - пытается наставить рога сразу и герцогу, и виконту с помощью смазливой сводни, которая и сама не прочь... Смачный средневековый юмор.Экзотика времен короля Генриха IV...</t>
        </is>
      </c>
      <c r="L426" s="2" t="inlineStr">
        <is>
          <t>Кино_СССР сводный каталог.xlsx: список телефильмов</t>
        </is>
      </c>
      <c r="M426" s="2">
        <f>HYPERLINK("https://ru.wikipedia.org/w/index.php?search=%D0%9A%D0%BE%D0%BC%D0%B8%D1%87%D0%B5%D1%81%D0%BA%D0%B8%D0%B9%20%D0%BB%D1%8E%D0%B1%D0%BE%D0%B2%D0%BD%D0%B8%D0%BA%2C%20%D0%B8%D0%BB%D0%B8%20%D0%9B%D1%8E%D0%B1%D0%BE%D0%B2%D0%BD%D1%8B%D0%B5%20%D0%B7%D0%B0%D1%82%D0%B5%D0%B8%20%D1%81%D1%8D%D1%80%D0%B0%20%D0%94%D0%B6%D0%BE%D0%BD%D0%B0%20%D0%A4%D0%B0%D0%BB%D1%8C%D1%81%D1%82%D0%B0%D1%84%D0%B0%201983%20%D1%84%D0%B8%D0%BB%D1%8C%D0%BC","искать")</f>
        <v/>
      </c>
      <c r="N426" s="3" t="n"/>
      <c r="O426" s="2" t="n"/>
    </row>
    <row r="427">
      <c r="A427" s="2" t="n">
        <v>426</v>
      </c>
      <c r="B427" s="2" t="inlineStr">
        <is>
          <t>обрыв</t>
        </is>
      </c>
      <c r="C427" s="2" t="n">
        <v>7750</v>
      </c>
      <c r="D427" s="3" t="inlineStr">
        <is>
          <t>Контакт</t>
        </is>
      </c>
      <c r="E427" s="2" t="n">
        <v>1981</v>
      </c>
      <c r="F427" s="2" t="inlineStr">
        <is>
          <t>телефильм</t>
        </is>
      </c>
      <c r="G427" s="2" t="n"/>
      <c r="H427" s="2" t="n">
        <v>290</v>
      </c>
      <c r="I427" s="2" t="inlineStr">
        <is>
          <t>да</t>
        </is>
      </c>
      <c r="J427" s="2" t="inlineStr"/>
      <c r="K427" s="3" t="inlineStr">
        <is>
          <t>В основе сюжета фильма - реальные события, происходившие на строительстве Нурекской ГЭС, где родилась новая форма социалистического соревнования "Рабочая эстафета". Поставки оборудования для ГЭС временно приостановлены. Высококвалифицированных монтажников используют на подсобных работах...</t>
        </is>
      </c>
      <c r="L427" s="2" t="inlineStr">
        <is>
          <t>Кино_СССР сводный каталог.xlsx: список телефильмов</t>
        </is>
      </c>
      <c r="M427" s="2">
        <f>HYPERLINK("https://ru.wikipedia.org/w/index.php?search=%D0%9A%D0%BE%D0%BD%D1%82%D0%B0%D0%BA%D1%82%201981%20%D1%84%D0%B8%D0%BB%D1%8C%D0%BC","искать")</f>
        <v/>
      </c>
      <c r="N427" s="3" t="n"/>
      <c r="O427" s="2" t="n"/>
    </row>
    <row r="428">
      <c r="A428" s="2" t="n">
        <v>427</v>
      </c>
      <c r="B428" s="2" t="inlineStr">
        <is>
          <t>обрыв</t>
        </is>
      </c>
      <c r="C428" s="2" t="n">
        <v>8906</v>
      </c>
      <c r="D428" s="3" t="inlineStr">
        <is>
          <t>Отдушина</t>
        </is>
      </c>
      <c r="E428" s="2" t="n">
        <v>1991</v>
      </c>
      <c r="F428" s="2" t="inlineStr">
        <is>
          <t>кинофильм</t>
        </is>
      </c>
      <c r="G428" s="2" t="n"/>
      <c r="H428" s="2" t="n">
        <v>290</v>
      </c>
      <c r="I428" s="2" t="inlineStr">
        <is>
          <t>да</t>
        </is>
      </c>
      <c r="J428" s="2" t="inlineStr"/>
      <c r="K428" s="3" t="inlineStr">
        <is>
          <t>По мотивам повести Владимира Маканина. Мастер-краснодеревщик (Вл.Меньшов) влюбился в поэтессу (В.Теличкина), за который ухаживает старый друг-интеллектуал (Г.Яковлев). У каждого есть семья, но свежих впечатлений мужчины ищут у Алевтины. А она делает своим фаворитом то одного, то другого...</t>
        </is>
      </c>
      <c r="L428" s="2" t="inlineStr">
        <is>
          <t>Кино_СССР сводный каталог.xlsx: список фильмов (доп.)</t>
        </is>
      </c>
      <c r="M428" s="2">
        <f>HYPERLINK("https://ru.wikipedia.org/w/index.php?search=%D0%9E%D1%82%D0%B4%D1%83%D1%88%D0%B8%D0%BD%D0%B0%201991%20%D1%84%D0%B8%D0%BB%D1%8C%D0%BC","искать")</f>
        <v/>
      </c>
      <c r="N428" s="3" t="n"/>
      <c r="O428" s="2" t="n"/>
    </row>
    <row r="429">
      <c r="A429" s="2" t="n">
        <v>428</v>
      </c>
      <c r="B429" s="2" t="inlineStr">
        <is>
          <t>обрыв</t>
        </is>
      </c>
      <c r="C429" s="2" t="n">
        <v>9663</v>
      </c>
      <c r="D429" s="3" t="inlineStr">
        <is>
          <t>Сообщница</t>
        </is>
      </c>
      <c r="E429" s="2" t="n">
        <v>1990</v>
      </c>
      <c r="F429" s="2" t="inlineStr">
        <is>
          <t>кинофильм</t>
        </is>
      </c>
      <c r="G429" s="2" t="n"/>
      <c r="H429" s="2" t="n">
        <v>290</v>
      </c>
      <c r="I429" s="2" t="inlineStr">
        <is>
          <t>да</t>
        </is>
      </c>
      <c r="J429" s="2" t="inlineStr"/>
      <c r="K429" s="3" t="inlineStr">
        <is>
          <t>Юная Нина принята на работу в ПТУ воспитательницей. Она полна оптимизма. Пытаясь войти в контакт с подопечными, заглядывая в книги по психологии и делая робкие шаги на сближение, она старается понять их проблемы и прочувствовать тот самый "материал", с которым ей придется лишь смириться...</t>
        </is>
      </c>
      <c r="L429" s="2" t="inlineStr">
        <is>
          <t>Кино_СССР сводный каталог.xlsx: список фильмов (доп.)</t>
        </is>
      </c>
      <c r="M429" s="2">
        <f>HYPERLINK("https://ru.wikipedia.org/w/index.php?search=%D0%A1%D0%BE%D0%BE%D0%B1%D1%89%D0%BD%D0%B8%D1%86%D0%B0%201990%20%D1%84%D0%B8%D0%BB%D1%8C%D0%BC","искать")</f>
        <v/>
      </c>
      <c r="N429" s="3" t="n"/>
      <c r="O429" s="2" t="n"/>
    </row>
    <row r="430">
      <c r="A430" s="2" t="n">
        <v>429</v>
      </c>
      <c r="B430" s="2" t="inlineStr">
        <is>
          <t>обрыв</t>
        </is>
      </c>
      <c r="C430" s="2" t="n">
        <v>8846</v>
      </c>
      <c r="D430" s="3" t="inlineStr">
        <is>
          <t>Московские красавицы</t>
        </is>
      </c>
      <c r="E430" s="2" t="n">
        <v>1991</v>
      </c>
      <c r="F430" s="2" t="inlineStr">
        <is>
          <t>кинофильм</t>
        </is>
      </c>
      <c r="G430" s="2" t="n"/>
      <c r="H430" s="2" t="n">
        <v>291</v>
      </c>
      <c r="I430" s="2" t="inlineStr">
        <is>
          <t>да</t>
        </is>
      </c>
      <c r="J430" s="2" t="inlineStr"/>
      <c r="K430" s="3" t="inlineStr">
        <is>
          <t>На конкурсе &lt;Московские красавицы&gt; журналист Сергей Каюмов знакомится с главной претенденткой - Машей Малининой. Ее жизнь мало чем отличается от жизни соперниц. Без особых размышлений Маша использует случай, который обещает изменить ее судьбу, - и становится жертвой мафиозной группировки...</t>
        </is>
      </c>
      <c r="L430" s="2" t="inlineStr">
        <is>
          <t>Кино_СССР сводный каталог.xlsx: список фильмов (доп.)</t>
        </is>
      </c>
      <c r="M430" s="2">
        <f>HYPERLINK("https://ru.wikipedia.org/w/index.php?search=%D0%9C%D0%BE%D1%81%D0%BA%D0%BE%D0%B2%D1%81%D0%BA%D0%B8%D0%B5%20%D0%BA%D1%80%D0%B0%D1%81%D0%B0%D0%B2%D0%B8%D1%86%D1%8B%201991%20%D1%84%D0%B8%D0%BB%D1%8C%D0%BC","искать")</f>
        <v/>
      </c>
      <c r="N430" s="3" t="n"/>
      <c r="O430" s="2" t="n"/>
    </row>
    <row r="431">
      <c r="A431" s="2" t="n">
        <v>430</v>
      </c>
      <c r="B431" s="2" t="inlineStr">
        <is>
          <t>обрыв</t>
        </is>
      </c>
      <c r="C431" s="2" t="n">
        <v>10300</v>
      </c>
      <c r="D431" s="3" t="inlineStr">
        <is>
          <t>Встреча</t>
        </is>
      </c>
      <c r="E431" s="2" t="n">
        <v>1969</v>
      </c>
      <c r="F431" s="2" t="inlineStr">
        <is>
          <t>фильм-спектакль</t>
        </is>
      </c>
      <c r="G431" s="2" t="inlineStr">
        <is>
          <t>Гл. ред. лит.-драм. программ</t>
        </is>
      </c>
      <c r="H431" s="2" t="n">
        <v>291</v>
      </c>
      <c r="I431" s="2" t="inlineStr">
        <is>
          <t>да</t>
        </is>
      </c>
      <c r="J431" s="2" t="inlineStr"/>
      <c r="K431" s="3" t="inlineStr">
        <is>
          <t>По одноименному произведению В.Василевской.
Герой спектакля увидел среди сослуживцев человека, которого встречал в годы войны в застенках гестапо. Этот человек донес, что пытался бежать вор из той же камеры. "Вора" расстреляли, а впоследствии выяснилось, что он был руководителем подполья...</t>
        </is>
      </c>
      <c r="L431" s="2" t="inlineStr">
        <is>
          <t>https://www.kino-teatr.ru/teatr/movie/93041/annot/</t>
        </is>
      </c>
      <c r="M431" s="2">
        <f>HYPERLINK("https://ru.wikipedia.org/w/index.php?search=%D0%92%D1%81%D1%82%D1%80%D0%B5%D1%87%D0%B0%201969%20%D1%84%D0%B8%D0%BB%D1%8C%D0%BC","искать")</f>
        <v/>
      </c>
      <c r="N431" s="3" t="n"/>
      <c r="O431" s="2" t="n"/>
    </row>
    <row r="432">
      <c r="A432" s="2" t="n">
        <v>431</v>
      </c>
      <c r="B432" s="2" t="inlineStr">
        <is>
          <t>обрыв</t>
        </is>
      </c>
      <c r="C432" s="2" t="n">
        <v>7970</v>
      </c>
      <c r="D432" s="3" t="inlineStr">
        <is>
          <t>Невероятное пари, или Истинное происшествие, благополучно завершившееся сто лет назад</t>
        </is>
      </c>
      <c r="E432" s="2" t="n">
        <v>1984</v>
      </c>
      <c r="F432" s="2" t="inlineStr">
        <is>
          <t>телефильм</t>
        </is>
      </c>
      <c r="G432" s="2" t="n"/>
      <c r="H432" s="2" t="n">
        <v>292</v>
      </c>
      <c r="I432" s="2" t="inlineStr">
        <is>
          <t>да</t>
        </is>
      </c>
      <c r="J432" s="2" t="inlineStr"/>
      <c r="K432" s="3" t="inlineStr">
        <is>
          <t>По мотивам рассказов А.П.Чехова «Пари», «Жилец», «Из воспоминаний идеалиста», «Неосторожность», «На мельнице», «Сапожник и нечистая сила». Молодой студент заключает пари с банкиром. что, если он пробудет 15 лет в заточении, получит миллион. За эти годы возле дома происходило много событий...</t>
        </is>
      </c>
      <c r="L432" s="2" t="inlineStr">
        <is>
          <t>Кино_СССР сводный каталог.xlsx: список телефильмов</t>
        </is>
      </c>
      <c r="M432" s="2">
        <f>HYPERLINK("https://ru.wikipedia.org/w/index.php?search=%D0%9D%D0%B5%D0%B2%D0%B5%D1%80%D0%BE%D1%8F%D1%82%D0%BD%D0%BE%D0%B5%20%D0%BF%D0%B0%D1%80%D0%B8%2C%20%D0%B8%D0%BB%D0%B8%20%D0%98%D1%81%D1%82%D0%B8%D0%BD%D0%BD%D0%BE%D0%B5%20%D0%BF%D1%80%D0%BE%D0%B8%D1%81%D1%88%D0%B5%D1%81%D1%82%D0%B2%D0%B8%D0%B5%2C%20%D0%B1%D0%BB%D0%B0%D0%B3%D0%BE%D0%BF%D0%BE%D0%BB%D1%83%D1%87%D0%BD%D0%BE%20%D0%B7%D0%B0%D0%B2%D0%B5%D1%80%D1%88%D0%B8%D0%B2%D1%88%D0%B5%D0%B5%D1%81%D1%8F%20%D1%81%D1%82%D0%BE%20%D0%BB%D0%B5%D1%82%20%D0%BD%D0%B0%D0%B7%D0%B0%D0%B4%201984%20%D1%84%D0%B8%D0%BB%D1%8C%D0%BC","искать")</f>
        <v/>
      </c>
      <c r="N432" s="3" t="n"/>
      <c r="O432" s="2" t="n"/>
    </row>
    <row r="433">
      <c r="A433" s="2" t="n">
        <v>432</v>
      </c>
      <c r="B433" s="2" t="inlineStr">
        <is>
          <t>обрыв</t>
        </is>
      </c>
      <c r="C433" s="2" t="n">
        <v>9331</v>
      </c>
      <c r="D433" s="3" t="inlineStr">
        <is>
          <t>Держись, казак!</t>
        </is>
      </c>
      <c r="E433" s="2" t="n">
        <v>1991</v>
      </c>
      <c r="F433" s="2" t="inlineStr">
        <is>
          <t>кинофильм</t>
        </is>
      </c>
      <c r="G433" s="2" t="n"/>
      <c r="H433" s="2" t="n">
        <v>292</v>
      </c>
      <c r="I433" s="2" t="inlineStr">
        <is>
          <t>да</t>
        </is>
      </c>
      <c r="J433" s="2" t="inlineStr"/>
      <c r="K433" s="3" t="inlineStr">
        <is>
          <t>Из турецкого плена в Запорожскую Сечь бежит казак Максим и девушка, которая переоделась в мужскую одежду и назвала себя Арсеном. По дороге, полной приключений и неожиданностей, им приходится освобождать детей, украденных злыми янычарами. Влюбленные преодолевают все препятствия и побеждают...</t>
        </is>
      </c>
      <c r="L433" s="2" t="inlineStr">
        <is>
          <t>Кино_СССР сводный каталог.xlsx: список фильмов (доп.)</t>
        </is>
      </c>
      <c r="M433" s="2">
        <f>HYPERLINK("https://ru.wikipedia.org/w/index.php?search=%D0%94%D0%B5%D1%80%D0%B6%D0%B8%D1%81%D1%8C%2C%20%D0%BA%D0%B0%D0%B7%D0%B0%D0%BA%21%201991%20%D1%84%D0%B8%D0%BB%D1%8C%D0%BC","искать")</f>
        <v/>
      </c>
      <c r="N433" s="3" t="n"/>
      <c r="O433" s="2" t="n"/>
    </row>
    <row r="434">
      <c r="A434" s="2" t="n">
        <v>433</v>
      </c>
      <c r="B434" s="2" t="inlineStr">
        <is>
          <t>обрыв</t>
        </is>
      </c>
      <c r="C434" s="2" t="n">
        <v>9558</v>
      </c>
      <c r="D434" s="3" t="inlineStr">
        <is>
          <t>Поворот сюжета</t>
        </is>
      </c>
      <c r="E434" s="2" t="n">
        <v>1988</v>
      </c>
      <c r="F434" s="2" t="inlineStr">
        <is>
          <t>кинофильм</t>
        </is>
      </c>
      <c r="G434" s="2" t="n"/>
      <c r="H434" s="2" t="n">
        <v>293</v>
      </c>
      <c r="I434" s="2" t="inlineStr">
        <is>
          <t>да</t>
        </is>
      </c>
      <c r="J434" s="2" t="inlineStr"/>
      <c r="K434" s="3" t="inlineStr">
        <is>
          <t>Много лет назад Ивар Андерсен, оставив жену и маленького сына, уехал в Москву учиться на кинорежиссера. После института он остался работать на одной из столичных студий. Когда ему исполнилось пятьдесят, герой вспомнил о семье и вернулся на родину, где его все помнили, но никто уже не любил...</t>
        </is>
      </c>
      <c r="L434" s="2" t="inlineStr">
        <is>
          <t>Кино_СССР сводный каталог.xlsx: список фильмов (доп.)</t>
        </is>
      </c>
      <c r="M434" s="2">
        <f>HYPERLINK("https://ru.wikipedia.org/w/index.php?search=%D0%9F%D0%BE%D0%B2%D0%BE%D1%80%D0%BE%D1%82%20%D1%81%D1%8E%D0%B6%D0%B5%D1%82%D0%B0%201988%20%D1%84%D0%B8%D0%BB%D1%8C%D0%BC","искать")</f>
        <v/>
      </c>
      <c r="N434" s="3" t="n"/>
      <c r="O434" s="2" t="n"/>
    </row>
    <row r="435">
      <c r="A435" s="2" t="n">
        <v>434</v>
      </c>
      <c r="B435" s="2" t="inlineStr">
        <is>
          <t>обрыв</t>
        </is>
      </c>
      <c r="C435" s="2" t="n">
        <v>8127</v>
      </c>
      <c r="D435" s="3" t="inlineStr">
        <is>
          <t>Повестка в суд</t>
        </is>
      </c>
      <c r="E435" s="2" t="n">
        <v>1988</v>
      </c>
      <c r="F435" s="2" t="inlineStr">
        <is>
          <t>телефильм</t>
        </is>
      </c>
      <c r="G435" s="2" t="inlineStr">
        <is>
          <t>Беларусьфильм</t>
        </is>
      </c>
      <c r="H435" s="2" t="n">
        <v>294</v>
      </c>
      <c r="I435" s="2" t="inlineStr">
        <is>
          <t>да</t>
        </is>
      </c>
      <c r="J435" s="2" t="inlineStr"/>
      <c r="K435" s="3" t="inlineStr">
        <is>
          <t>Жена электрика Ивана, устав от пьянства мужа, обращается в колхозный суд с иском о лишении его отцовских прав. Старший брат Ивана, когда-то бросивший осиротевшего братишку одного в деревне и теперь приехавший в гости из Москвы, решает не осуждать его, а помочь ему выбраться из трясины запоя...</t>
        </is>
      </c>
      <c r="L435" s="2" t="inlineStr">
        <is>
          <t>Кино_СССР сводный каталог.xlsx: список телефильмов</t>
        </is>
      </c>
      <c r="M435" s="2">
        <f>HYPERLINK("https://ru.wikipedia.org/w/index.php?search=%D0%9F%D0%BE%D0%B2%D0%B5%D1%81%D1%82%D0%BA%D0%B0%20%D0%B2%20%D1%81%D1%83%D0%B4%201988%20%D1%84%D0%B8%D0%BB%D1%8C%D0%BC","искать")</f>
        <v/>
      </c>
      <c r="N435" s="3" t="n"/>
      <c r="O435" s="2" t="n"/>
    </row>
    <row r="436">
      <c r="A436" s="2" t="n">
        <v>435</v>
      </c>
      <c r="B436" s="2" t="inlineStr">
        <is>
          <t>обрыв</t>
        </is>
      </c>
      <c r="C436" s="2" t="n">
        <v>9879</v>
      </c>
      <c r="D436" s="3" t="inlineStr">
        <is>
          <t>Представление начинается!</t>
        </is>
      </c>
      <c r="E436" s="2" t="n">
        <v>1970</v>
      </c>
      <c r="F436" s="2" t="inlineStr">
        <is>
          <t>телефильм</t>
        </is>
      </c>
      <c r="G436" s="2" t="inlineStr">
        <is>
          <t>Экран</t>
        </is>
      </c>
      <c r="H436" s="2" t="n">
        <v>294</v>
      </c>
      <c r="I436" s="2" t="inlineStr">
        <is>
          <t>да</t>
        </is>
      </c>
      <c r="J436" s="2" t="inlineStr"/>
      <c r="K436" s="3" t="inlineStr">
        <is>
          <t>Двое юных поклонников цирка приходят на представление и узнают, что все билеты проданы. Проходящий мимо клоун Олег Попов помогает мальчишкам проникнуть в цирк, "заколдовав" бдительного дядю Сашу. Мальчики видят подготовку представления, репетиции и сами иногда становятся участниками событий...</t>
        </is>
      </c>
      <c r="L436" s="2" t="inlineStr">
        <is>
          <t>https://www.kino-teatr.ru/short/movie/sov/97963/annot/</t>
        </is>
      </c>
      <c r="M436" s="2">
        <f>HYPERLINK("https://ru.wikipedia.org/w/index.php?search=%D0%9F%D1%80%D0%B5%D0%B4%D1%81%D1%82%D0%B0%D0%B2%D0%BB%D0%B5%D0%BD%D0%B8%D0%B5%20%D0%BD%D0%B0%D1%87%D0%B8%D0%BD%D0%B0%D0%B5%D1%82%D1%81%D1%8F%21%201970%20%D1%84%D0%B8%D0%BB%D1%8C%D0%BC","искать")</f>
        <v/>
      </c>
      <c r="N436" s="3" t="n"/>
      <c r="O436" s="2" t="n"/>
    </row>
    <row r="437">
      <c r="A437" s="2" t="n">
        <v>436</v>
      </c>
      <c r="B437" s="2" t="inlineStr">
        <is>
          <t>обрыв</t>
        </is>
      </c>
      <c r="C437" s="2" t="n">
        <v>9972</v>
      </c>
      <c r="D437" s="3" t="inlineStr">
        <is>
          <t>Осенняя дорога к маме</t>
        </is>
      </c>
      <c r="E437" s="2" t="n">
        <v>1981</v>
      </c>
      <c r="F437" s="2" t="inlineStr">
        <is>
          <t>телефильм</t>
        </is>
      </c>
      <c r="G437" s="2" t="inlineStr">
        <is>
          <t>Укртелефильм</t>
        </is>
      </c>
      <c r="H437" s="2" t="n">
        <v>294</v>
      </c>
      <c r="I437" s="2" t="inlineStr">
        <is>
          <t>да</t>
        </is>
      </c>
      <c r="J437" s="2" t="inlineStr"/>
      <c r="K437" s="3" t="inlineStr">
        <is>
          <t>Успешный кинорежиссер Дмитрий Павлович дожен лететь самолетом в Москву, а потом в Рим. Но у него в доме раздается телефонный звонок и ему сообщают, что заболела его старенькая мать, живущая в Меловатке, его родном селе. Дмитрий Павлович нанимает такси и начинает свою "осеннюю дорогу к маме"...</t>
        </is>
      </c>
      <c r="L437" s="2" t="inlineStr">
        <is>
          <t>https://www.kino-teatr.ru/short/movie/sov/8703/annot/</t>
        </is>
      </c>
      <c r="M437" s="2">
        <f>HYPERLINK("https://ru.wikipedia.org/w/index.php?search=%D0%9E%D1%81%D0%B5%D0%BD%D0%BD%D1%8F%D1%8F%20%D0%B4%D0%BE%D1%80%D0%BE%D0%B3%D0%B0%20%D0%BA%20%D0%BC%D0%B0%D0%BC%D0%B5%201981%20%D1%84%D0%B8%D0%BB%D1%8C%D0%BC","искать")</f>
        <v/>
      </c>
      <c r="N437" s="3" t="n"/>
      <c r="O437" s="2" t="n"/>
    </row>
    <row r="438">
      <c r="A438" s="2" t="n">
        <v>437</v>
      </c>
      <c r="B438" s="2" t="inlineStr">
        <is>
          <t>обрыв</t>
        </is>
      </c>
      <c r="C438" s="2" t="n">
        <v>7176</v>
      </c>
      <c r="D438" s="3" t="inlineStr">
        <is>
          <t>...и час эстрады</t>
        </is>
      </c>
      <c r="E438" s="2" t="n">
        <v>1971</v>
      </c>
      <c r="F438" s="2" t="inlineStr">
        <is>
          <t>телефильм</t>
        </is>
      </c>
      <c r="G438" s="2" t="inlineStr">
        <is>
          <t>ТО «Экран»</t>
        </is>
      </c>
      <c r="H438" s="2" t="n">
        <v>295</v>
      </c>
      <c r="I438" s="2" t="inlineStr">
        <is>
          <t>да</t>
        </is>
      </c>
      <c r="J438" s="2" t="inlineStr">
        <is>
          <t>да</t>
        </is>
      </c>
      <c r="K438" s="3" t="inlineStr">
        <is>
          <t>В новогоднем фильме-концерте принимают участие Людмила и Альвиан Гайдаровы, Майя Розова, Любовь Писаренкова, ансамбль "Ингури", Михаил Шишков, Мухаббат Абдуллаева, Владимир Матусов, Наталья Мордкович, Л. и В.Васильевы, ВИА "Песняры", Юлий Слободкин, Э.Кастерина и В.Немоляев, Маргарита Суворова…</t>
        </is>
      </c>
      <c r="L438" s="2" t="inlineStr">
        <is>
          <t>Кино_СССР сводный каталог.xlsx: список телефильмов</t>
        </is>
      </c>
      <c r="M438" s="2">
        <f>HYPERLINK("https://ru.wikipedia.org/w/index.php?search=...%D0%B8%20%D1%87%D0%B0%D1%81%20%D1%8D%D1%81%D1%82%D1%80%D0%B0%D0%B4%D1%8B%201971%20%D1%84%D0%B8%D0%BB%D1%8C%D0%BC","искать")</f>
        <v/>
      </c>
      <c r="N438" s="3" t="n"/>
      <c r="O438" s="2" t="n"/>
    </row>
    <row r="439">
      <c r="A439" s="2" t="n">
        <v>438</v>
      </c>
      <c r="B439" s="2" t="inlineStr">
        <is>
          <t>обрыв</t>
        </is>
      </c>
      <c r="C439" s="2" t="n">
        <v>9406</v>
      </c>
      <c r="D439" s="3" t="inlineStr">
        <is>
          <t>Камышовый рай</t>
        </is>
      </c>
      <c r="E439" s="2" t="n">
        <v>1989</v>
      </c>
      <c r="F439" s="2" t="inlineStr">
        <is>
          <t>кинофильм</t>
        </is>
      </c>
      <c r="G439" s="2" t="inlineStr">
        <is>
          <t>Мосфильм, творческое объединение «Старт»</t>
        </is>
      </c>
      <c r="H439" s="2" t="n">
        <v>295</v>
      </c>
      <c r="I439" s="2" t="inlineStr">
        <is>
          <t>да</t>
        </is>
      </c>
      <c r="J439" s="2" t="inlineStr"/>
      <c r="K439" s="3" t="inlineStr">
        <is>
          <t>Герой фильма - молодой бродяга - волей случая попадает в подпольный концлагерь, организованный среднеазиатской мафией. Главный метод начальника лагеря - убить в человеке все человеческое, превратить его в раба. Жестокие условия ставят героя перед необходимостью выбора. И он принимает решение...</t>
        </is>
      </c>
      <c r="L439" s="2" t="inlineStr">
        <is>
          <t>Кино_СССР сводный каталог.xlsx: список фильмов (доп.)</t>
        </is>
      </c>
      <c r="M439" s="2">
        <f>HYPERLINK("https://ru.wikipedia.org/w/index.php?search=%D0%9A%D0%B0%D0%BC%D1%8B%D1%88%D0%BE%D0%B2%D1%8B%D0%B9%20%D1%80%D0%B0%D0%B9%201989%20%D1%84%D0%B8%D0%BB%D1%8C%D0%BC","искать")</f>
        <v/>
      </c>
      <c r="N439" s="3" t="n"/>
      <c r="O439" s="2" t="n"/>
    </row>
    <row r="440">
      <c r="A440" s="2" t="n">
        <v>439</v>
      </c>
      <c r="B440" s="2" t="inlineStr">
        <is>
          <t>обрыв</t>
        </is>
      </c>
      <c r="C440" s="2" t="n">
        <v>11291</v>
      </c>
      <c r="D440" s="3" t="inlineStr">
        <is>
          <t>Этот фантастический мир. Выпуск 15</t>
        </is>
      </c>
      <c r="E440" s="2" t="n">
        <v>1989</v>
      </c>
      <c r="F440" s="2" t="inlineStr">
        <is>
          <t>фильм-спектакль</t>
        </is>
      </c>
      <c r="G440" s="2" t="inlineStr">
        <is>
          <t>Главная редакция программ для детей и юношества ЦТ</t>
        </is>
      </c>
      <c r="H440" s="2" t="n">
        <v>295</v>
      </c>
      <c r="I440" s="2" t="inlineStr">
        <is>
          <t>да</t>
        </is>
      </c>
      <c r="J440" s="2" t="inlineStr"/>
      <c r="K440" s="3" t="inlineStr">
        <is>
          <t>Экранизация фрагментов рассказа "Абсолютная защита" (другое название - "Призрак-5") американского писателя-фантаста Роберта Шекли.
Два приятеля основали компанию по очистке планет. Пока они очищали планеты от мусора, все шло хорошо. Но однажды их попросили очистить новую планету от призраков...</t>
        </is>
      </c>
      <c r="L440" s="2" t="inlineStr">
        <is>
          <t>https://www.kino-teatr.ru/teatr/movie/78751/annot/</t>
        </is>
      </c>
      <c r="M440" s="2">
        <f>HYPERLINK("https://ru.wikipedia.org/w/index.php?search=%D0%AD%D1%82%D0%BE%D1%82%20%D1%84%D0%B0%D0%BD%D1%82%D0%B0%D1%81%D1%82%D0%B8%D1%87%D0%B5%D1%81%D0%BA%D0%B8%D0%B9%20%D0%BC%D0%B8%D1%80.%20%D0%92%D1%8B%D0%BF%D1%83%D1%81%D0%BA%2015%201989%20%D1%84%D0%B8%D0%BB%D1%8C%D0%BC","искать")</f>
        <v/>
      </c>
      <c r="N440" s="3" t="n"/>
      <c r="O440" s="2" t="n"/>
    </row>
    <row r="441">
      <c r="A441" s="2" t="n">
        <v>440</v>
      </c>
      <c r="B441" s="2" t="inlineStr">
        <is>
          <t>обрыв</t>
        </is>
      </c>
      <c r="C441" s="2" t="n">
        <v>8190</v>
      </c>
      <c r="D441" s="3" t="inlineStr">
        <is>
          <t>Премьера в Сосновке</t>
        </is>
      </c>
      <c r="E441" s="2" t="n">
        <v>1986</v>
      </c>
      <c r="F441" s="2" t="inlineStr">
        <is>
          <t>телефильм</t>
        </is>
      </c>
      <c r="G441" s="2" t="n"/>
      <c r="H441" s="2" t="n">
        <v>296</v>
      </c>
      <c r="I441" s="2" t="inlineStr">
        <is>
          <t>да</t>
        </is>
      </c>
      <c r="J441" s="2" t="inlineStr"/>
      <c r="K441" s="3" t="inlineStr">
        <is>
          <t>Выпускник института культуры - молодой режиссер Костя Сироткин приезжает по распределению в село Сосновку и в местном клубе пытается поставить драму Шиллера "Коварство и любовь". Эта работа молодого режиссера выявила талаты сельчан, их искреннюю любовь к искусству и раскрыла их духовную красоту…</t>
        </is>
      </c>
      <c r="L441" s="2" t="inlineStr">
        <is>
          <t>Кино_СССР сводный каталог.xlsx: список телефильмов</t>
        </is>
      </c>
      <c r="M441" s="2">
        <f>HYPERLINK("https://ru.wikipedia.org/w/index.php?search=%D0%9F%D1%80%D0%B5%D0%BC%D1%8C%D0%B5%D1%80%D0%B0%20%D0%B2%20%D0%A1%D0%BE%D1%81%D0%BD%D0%BE%D0%B2%D0%BA%D0%B5%201986%20%D1%84%D0%B8%D0%BB%D1%8C%D0%BC","искать")</f>
        <v/>
      </c>
      <c r="N441" s="3" t="n"/>
      <c r="O441" s="2" t="n"/>
    </row>
    <row r="442">
      <c r="A442" s="2" t="n">
        <v>441</v>
      </c>
      <c r="B442" s="2" t="inlineStr">
        <is>
          <t>обрыв</t>
        </is>
      </c>
      <c r="C442" s="2" t="n">
        <v>9324</v>
      </c>
      <c r="D442" s="3" t="inlineStr">
        <is>
          <t>Две стрелы. Детектив каменного века</t>
        </is>
      </c>
      <c r="E442" s="2" t="n">
        <v>1989</v>
      </c>
      <c r="F442" s="2" t="inlineStr">
        <is>
          <t>кинофильм</t>
        </is>
      </c>
      <c r="G442" s="2" t="inlineStr">
        <is>
          <t>Мосфильм</t>
        </is>
      </c>
      <c r="H442" s="2" t="n">
        <v>296</v>
      </c>
      <c r="I442" s="2" t="inlineStr">
        <is>
          <t>да</t>
        </is>
      </c>
      <c r="J442" s="2" t="inlineStr"/>
      <c r="K442" s="3" t="inlineStr">
        <is>
          <t>Действие фильма происходит в доисторические времена. С одной стороны - дикая природа, люди-варвары, еще не вкусившие плодов цивилизации. А с другой - борьба за власть, наивность художника, верящего в людскую справедливость, и жестокость воинов, готовых раздавить любое проявление независимости...</t>
        </is>
      </c>
      <c r="L442" s="2" t="inlineStr">
        <is>
          <t>Кино_СССР сводный каталог.xlsx: список фильмов (доп.)</t>
        </is>
      </c>
      <c r="M442" s="2">
        <f>HYPERLINK("https://ru.wikipedia.org/w/index.php?search=%D0%94%D0%B2%D0%B5%20%D1%81%D1%82%D1%80%D0%B5%D0%BB%D1%8B.%20%D0%94%D0%B5%D1%82%D0%B5%D0%BA%D1%82%D0%B8%D0%B2%20%D0%BA%D0%B0%D0%BC%D0%B5%D0%BD%D0%BD%D0%BE%D0%B3%D0%BE%20%D0%B2%D0%B5%D0%BA%D0%B0%201989%20%D1%84%D0%B8%D0%BB%D1%8C%D0%BC","искать")</f>
        <v/>
      </c>
      <c r="N442" s="3" t="n"/>
      <c r="O442" s="2" t="n"/>
    </row>
    <row r="443">
      <c r="A443" s="2" t="n">
        <v>442</v>
      </c>
      <c r="B443" s="2" t="inlineStr">
        <is>
          <t>обрыв</t>
        </is>
      </c>
      <c r="C443" s="2" t="n">
        <v>10189</v>
      </c>
      <c r="D443" s="3" t="inlineStr">
        <is>
          <t>Гендель и гангстеры</t>
        </is>
      </c>
      <c r="E443" s="2" t="n">
        <v>1967</v>
      </c>
      <c r="F443" s="2" t="inlineStr">
        <is>
          <t>фильм-спектакль</t>
        </is>
      </c>
      <c r="G443" s="2" t="inlineStr">
        <is>
          <t>Главная редакция литкратурно-драматических программ ЦТ</t>
        </is>
      </c>
      <c r="H443" s="2" t="n">
        <v>296</v>
      </c>
      <c r="I443" s="2" t="inlineStr">
        <is>
          <t>да</t>
        </is>
      </c>
      <c r="J443" s="2" t="inlineStr"/>
      <c r="K443" s="3" t="inlineStr">
        <is>
          <t>По одноименному рассказу Джона Бойтона Пристли.
В отеле возник спор между американцем и англичанином о музыке Генделя. Он был прерван гангстерами, напавшими на американца. Но, благодаря изобретательности англичанина, бандиты попадают в полицию, а разговор о выдающемся композиторе продолжается...</t>
        </is>
      </c>
      <c r="L443" s="2" t="inlineStr">
        <is>
          <t>https://www.kino-teatr.ru/teatr/movie/15996/annot/</t>
        </is>
      </c>
      <c r="M443" s="2">
        <f>HYPERLINK("https://ru.wikipedia.org/w/index.php?search=%D0%93%D0%B5%D0%BD%D0%B4%D0%B5%D0%BB%D1%8C%20%D0%B8%20%D0%B3%D0%B0%D0%BD%D0%B3%D1%81%D1%82%D0%B5%D1%80%D1%8B%201967%20%D1%84%D0%B8%D0%BB%D1%8C%D0%BC","искать")</f>
        <v/>
      </c>
      <c r="N443" s="3" t="n"/>
      <c r="O443" s="2" t="n"/>
    </row>
    <row r="444">
      <c r="A444" s="2" t="n">
        <v>443</v>
      </c>
      <c r="B444" s="2" t="inlineStr">
        <is>
          <t>обрыв</t>
        </is>
      </c>
      <c r="C444" s="2" t="n">
        <v>9547</v>
      </c>
      <c r="D444" s="3" t="inlineStr">
        <is>
          <t>Перед рассветом</t>
        </is>
      </c>
      <c r="E444" s="2" t="n">
        <v>1989</v>
      </c>
      <c r="F444" s="2" t="inlineStr">
        <is>
          <t>кинофильм</t>
        </is>
      </c>
      <c r="G444" s="2" t="n"/>
      <c r="H444" s="2" t="n">
        <v>297</v>
      </c>
      <c r="I444" s="2" t="inlineStr">
        <is>
          <t>да</t>
        </is>
      </c>
      <c r="J444" s="2" t="inlineStr"/>
      <c r="K444" s="3" t="inlineStr">
        <is>
          <t>Начало Великой Отечественной войны. Молодой лейтенант НКВД (Евгений Миронов) сопровождает в тыл группу политзаключенных, а вместе с ними и просто уголовников. По пути эшелон попадает под обстрел. В живых остаются трое: лейтенант, уголовник Усатый (Александр Панкратов-Черный) и политзаключённый...</t>
        </is>
      </c>
      <c r="L444" s="2" t="inlineStr">
        <is>
          <t>Кино_СССР сводный каталог.xlsx: список фильмов (доп.)</t>
        </is>
      </c>
      <c r="M444" s="2">
        <f>HYPERLINK("https://ru.wikipedia.org/w/index.php?search=%D0%9F%D0%B5%D1%80%D0%B5%D0%B4%20%D1%80%D0%B0%D1%81%D1%81%D0%B2%D0%B5%D1%82%D0%BE%D0%BC%201989%20%D1%84%D0%B8%D0%BB%D1%8C%D0%BC","искать")</f>
        <v/>
      </c>
      <c r="N444" s="3" t="n"/>
      <c r="O444" s="2" t="n"/>
    </row>
    <row r="445">
      <c r="A445" s="2" t="n">
        <v>444</v>
      </c>
      <c r="B445" s="2" t="inlineStr">
        <is>
          <t>обрыв</t>
        </is>
      </c>
      <c r="C445" s="2" t="n">
        <v>10802</v>
      </c>
      <c r="D445" s="3" t="inlineStr">
        <is>
          <t>Дом окнами в поле</t>
        </is>
      </c>
      <c r="E445" s="2" t="n">
        <v>1979</v>
      </c>
      <c r="F445" s="2" t="inlineStr">
        <is>
          <t>фильм-спектакль</t>
        </is>
      </c>
      <c r="G445" s="2" t="inlineStr">
        <is>
          <t>Главная редакция литературно-драматический программ ЦТ</t>
        </is>
      </c>
      <c r="H445" s="2" t="n">
        <v>297</v>
      </c>
      <c r="I445" s="2" t="inlineStr">
        <is>
          <t>да</t>
        </is>
      </c>
      <c r="J445" s="2" t="inlineStr"/>
      <c r="K445" s="3" t="inlineStr">
        <is>
          <t>По одноименной пьесе Александра Вампилова.
Нерешительность и застенчивость сельского учителя Третьякова мешает ему объясниться в любви заведующей молочной фермой колхоза Астафьевой. Не понимая, что его любовь взаимна, Третьяков намерен уехать из села. Однако героиня сама приходит ему на помощь...</t>
        </is>
      </c>
      <c r="L445" s="2" t="inlineStr">
        <is>
          <t>https://www.kino-teatr.ru/teatr/movie/9336/annot/</t>
        </is>
      </c>
      <c r="M445" s="2">
        <f>HYPERLINK("https://ru.wikipedia.org/w/index.php?search=%D0%94%D0%BE%D0%BC%20%D0%BE%D0%BA%D0%BD%D0%B0%D0%BC%D0%B8%20%D0%B2%20%D0%BF%D0%BE%D0%BB%D0%B5%201979%20%D1%84%D0%B8%D0%BB%D1%8C%D0%BC","искать")</f>
        <v/>
      </c>
      <c r="N445" s="3" t="n"/>
      <c r="O445" s="2" t="n"/>
    </row>
    <row r="446">
      <c r="A446" s="2" t="n">
        <v>445</v>
      </c>
      <c r="B446" s="2" t="inlineStr">
        <is>
          <t>обрыв</t>
        </is>
      </c>
      <c r="C446" s="2" t="n">
        <v>9481</v>
      </c>
      <c r="D446" s="3" t="inlineStr">
        <is>
          <t>Мужчина для молодой женщины</t>
        </is>
      </c>
      <c r="E446" s="2" t="n">
        <v>1988</v>
      </c>
      <c r="F446" s="2" t="inlineStr">
        <is>
          <t>кинофильм</t>
        </is>
      </c>
      <c r="G446" s="2" t="n"/>
      <c r="H446" s="2" t="n">
        <v>298</v>
      </c>
      <c r="I446" s="2" t="inlineStr">
        <is>
          <t>да</t>
        </is>
      </c>
      <c r="J446" s="2" t="inlineStr"/>
      <c r="K446" s="3" t="inlineStr">
        <is>
          <t>Рауф, имеющий жену и уже взрослых детей, однажды узнает от свекра рецепт эликсира молодости и под покровом ночи отправляется в зоопарк, чтобы отпилить рог у носорога. Операция проходит успешно, однако в эту же ночь в зоопарке пропадает редчайшей породы птичка киви - и героя обвиняют в воровстве...</t>
        </is>
      </c>
      <c r="L446" s="2" t="inlineStr">
        <is>
          <t>Кино_СССР сводный каталог.xlsx: список фильмов (доп.)</t>
        </is>
      </c>
      <c r="M446" s="2">
        <f>HYPERLINK("https://ru.wikipedia.org/w/index.php?search=%D0%9C%D1%83%D0%B6%D1%87%D0%B8%D0%BD%D0%B0%20%D0%B4%D0%BB%D1%8F%20%D0%BC%D0%BE%D0%BB%D0%BE%D0%B4%D0%BE%D0%B9%20%D0%B6%D0%B5%D0%BD%D1%89%D0%B8%D0%BD%D1%8B%201988%20%D1%84%D0%B8%D0%BB%D1%8C%D0%BC","искать")</f>
        <v/>
      </c>
      <c r="N446" s="3" t="n"/>
      <c r="O446" s="2" t="n"/>
    </row>
    <row r="447">
      <c r="A447" s="2" t="n">
        <v>446</v>
      </c>
      <c r="B447" s="2" t="inlineStr">
        <is>
          <t>обрыв</t>
        </is>
      </c>
      <c r="C447" s="2" t="n">
        <v>7529</v>
      </c>
      <c r="D447" s="3" t="inlineStr">
        <is>
          <t>Долгая дорога в дюнах</t>
        </is>
      </c>
      <c r="E447" s="2" t="n">
        <v>1980</v>
      </c>
      <c r="F447" s="2" t="inlineStr">
        <is>
          <t>телефильм</t>
        </is>
      </c>
      <c r="G447" s="2" t="n"/>
      <c r="H447" s="2" t="n">
        <v>299</v>
      </c>
      <c r="I447" s="2" t="inlineStr">
        <is>
          <t>да</t>
        </is>
      </c>
      <c r="J447" s="2" t="inlineStr">
        <is>
          <t>да</t>
        </is>
      </c>
      <c r="K447" s="3" t="inlineStr">
        <is>
          <t>Телесериал. Действие фильма происходит в Латвии и охватывает период с 1939 года до начала 1970-х годов. События, происходившие в стране, по-разному повлияли на судьбы героев. Но всех их вела по жизни любовь - разбрасывала и собирала, заставляла жестоко страдать и делала самыми счастливыми в мире...</t>
        </is>
      </c>
      <c r="L447" s="2" t="inlineStr">
        <is>
          <t>Кино_СССР сводный каталог.xlsx: список телефильмов</t>
        </is>
      </c>
      <c r="M447" s="2">
        <f>HYPERLINK("https://ru.wikipedia.org/w/index.php?search=%D0%94%D0%BE%D0%BB%D0%B3%D0%B0%D1%8F%20%D0%B4%D0%BE%D1%80%D0%BE%D0%B3%D0%B0%20%D0%B2%20%D0%B4%D1%8E%D0%BD%D0%B0%D1%85%201980%20%D1%84%D0%B8%D0%BB%D1%8C%D0%BC","искать")</f>
        <v/>
      </c>
      <c r="N447" s="3" t="n"/>
      <c r="O447" s="2" t="n"/>
    </row>
    <row r="448">
      <c r="A448" s="2" t="n">
        <v>447</v>
      </c>
      <c r="B448" s="2" t="inlineStr">
        <is>
          <t>обрыв</t>
        </is>
      </c>
      <c r="C448" s="2" t="n">
        <v>9788</v>
      </c>
      <c r="D448" s="3" t="inlineStr">
        <is>
          <t>Ятринская ведьма</t>
        </is>
      </c>
      <c r="E448" s="2" t="n">
        <v>1991</v>
      </c>
      <c r="F448" s="2" t="inlineStr">
        <is>
          <t>кинофильм</t>
        </is>
      </c>
      <c r="G448" s="2" t="n"/>
      <c r="H448" s="2" t="n">
        <v>299</v>
      </c>
      <c r="I448" s="2" t="inlineStr">
        <is>
          <t>да</t>
        </is>
      </c>
      <c r="J448" s="2" t="inlineStr"/>
      <c r="K448" s="3" t="inlineStr">
        <is>
          <t>Сюжет фильма заимствован из исторических хроник XVI века. Корсака, сына воеводы, ожидает служба у короля. Но он влюблен в жену ятринского священника Раину и для него отъезд теперь равносилен смерти. Он остается, а красавицу Раину злые языки называют колдуньей. Готовится суд и ее ожидает сожжение...</t>
        </is>
      </c>
      <c r="L448" s="2" t="inlineStr">
        <is>
          <t>Кино_СССР сводный каталог.xlsx: список фильмов (доп.)</t>
        </is>
      </c>
      <c r="M448" s="2">
        <f>HYPERLINK("https://ru.wikipedia.org/w/index.php?search=%D0%AF%D1%82%D1%80%D0%B8%D0%BD%D1%81%D0%BA%D0%B0%D1%8F%20%D0%B2%D0%B5%D0%B4%D1%8C%D0%BC%D0%B0%201991%20%D1%84%D0%B8%D0%BB%D1%8C%D0%BC","искать")</f>
        <v/>
      </c>
      <c r="N448" s="3" t="n"/>
      <c r="O448" s="2" t="n"/>
    </row>
    <row r="449">
      <c r="A449" s="2" t="n">
        <v>448</v>
      </c>
      <c r="B449" s="2" t="inlineStr">
        <is>
          <t>обрыв</t>
        </is>
      </c>
      <c r="C449" s="2" t="n">
        <v>9799</v>
      </c>
      <c r="D449" s="3" t="inlineStr">
        <is>
          <t>Ночь на 4-ом круге</t>
        </is>
      </c>
      <c r="E449" s="2" t="n">
        <v>1981</v>
      </c>
      <c r="F449" s="2" t="inlineStr">
        <is>
          <t>кинофильм</t>
        </is>
      </c>
      <c r="G449" s="2" t="inlineStr">
        <is>
          <t>Ленфильм</t>
        </is>
      </c>
      <c r="H449" s="2" t="n">
        <v>300</v>
      </c>
      <c r="I449" s="2" t="inlineStr">
        <is>
          <t>да</t>
        </is>
      </c>
      <c r="J449" s="2" t="inlineStr"/>
      <c r="K449" s="3" t="inlineStr">
        <is>
          <t>На узловую железнодорожную станцию вне расписания должен подойти состав с атомным реактором. Пропустить его - значит сорвать движение других поездов. Дежурный принимает на себя ответственность и решает задержать внеплановый состав. И теперь - в течение этой ночи - он будет отстаивать свое решение...</t>
        </is>
      </c>
      <c r="L449" s="2" t="inlineStr">
        <is>
          <t>https://www.kino-teatr.ru/kino/movie/sov/4560/annot/</t>
        </is>
      </c>
      <c r="M449" s="2">
        <f>HYPERLINK("https://ru.wikipedia.org/w/index.php?search=%D0%9D%D0%BE%D1%87%D1%8C%20%D0%BD%D0%B0%204-%D0%BE%D0%BC%20%D0%BA%D1%80%D1%83%D0%B3%D0%B5%201981%20%D1%84%D0%B8%D0%BB%D1%8C%D0%BC","искать")</f>
        <v/>
      </c>
      <c r="N449" s="3" t="n"/>
      <c r="O449" s="2" t="n"/>
    </row>
    <row r="450">
      <c r="A450" s="2" t="n">
        <v>449</v>
      </c>
      <c r="B450" s="2" t="inlineStr">
        <is>
          <t>обрыв</t>
        </is>
      </c>
      <c r="C450" s="2" t="n">
        <v>10975</v>
      </c>
      <c r="D450" s="3" t="inlineStr">
        <is>
          <t>Этот фантастический мир. Выпуск 7</t>
        </is>
      </c>
      <c r="E450" s="2" t="n">
        <v>1982</v>
      </c>
      <c r="F450" s="2" t="inlineStr">
        <is>
          <t>фильм-спектакль</t>
        </is>
      </c>
      <c r="G450" s="2" t="inlineStr">
        <is>
          <t>Главная редакция программ для детей и юношества ЦТ</t>
        </is>
      </c>
      <c r="H450" s="2" t="n">
        <v>301</v>
      </c>
      <c r="I450" s="2" t="inlineStr">
        <is>
          <t>да</t>
        </is>
      </c>
      <c r="J450" s="2" t="inlineStr"/>
      <c r="K450" s="3" t="inlineStr">
        <is>
          <t>Главные действующие лица этого выпуска популярного телеальманаха - герои фантастических рассказов советского писателя О.Лукьянова "Принцип неопределенности" и американского писателя А.Порджеса "Ценный товар". Во время встречи с обитателями иных планет земляне сталкиваются с удивительными явлениями...</t>
        </is>
      </c>
      <c r="L450" s="2" t="inlineStr">
        <is>
          <t>https://www.kino-teatr.ru/teatr/movie/30884/annot/</t>
        </is>
      </c>
      <c r="M450" s="2">
        <f>HYPERLINK("https://ru.wikipedia.org/w/index.php?search=%D0%AD%D1%82%D0%BE%D1%82%20%D1%84%D0%B0%D0%BD%D1%82%D0%B0%D1%81%D1%82%D0%B8%D1%87%D0%B5%D1%81%D0%BA%D0%B8%D0%B9%20%D0%BC%D0%B8%D1%80.%20%D0%92%D1%8B%D0%BF%D1%83%D1%81%D0%BA%207%201982%20%D1%84%D0%B8%D0%BB%D1%8C%D0%BC","искать")</f>
        <v/>
      </c>
      <c r="N450" s="3" t="n"/>
      <c r="O450" s="2" t="n"/>
    </row>
    <row r="451">
      <c r="A451" s="2" t="n">
        <v>450</v>
      </c>
      <c r="B451" s="2" t="inlineStr">
        <is>
          <t>обрыв</t>
        </is>
      </c>
      <c r="C451" s="2" t="n">
        <v>9702</v>
      </c>
      <c r="D451" s="3" t="inlineStr">
        <is>
          <t>Убегающий август</t>
        </is>
      </c>
      <c r="E451" s="2" t="n">
        <v>1989</v>
      </c>
      <c r="F451" s="2" t="inlineStr">
        <is>
          <t>кинофильм</t>
        </is>
      </c>
      <c r="G451" s="2" t="n"/>
      <c r="H451" s="2" t="n">
        <v>302</v>
      </c>
      <c r="I451" s="2" t="inlineStr">
        <is>
          <t>да</t>
        </is>
      </c>
      <c r="J451" s="2" t="inlineStr"/>
      <c r="K451" s="3" t="inlineStr">
        <is>
          <t>По мотивам рассказа Георгия Семенова "Фригийские васильки".
Иногда Красков позволял себе выпить по-настоящему. Однажды утром после ночного загула, обнаружив в своей постели женщину, которой, как оказалось, он помешал уехать в Одессу, Красков сделал ей предложение и пригласил девушку в автопутешествие…</t>
        </is>
      </c>
      <c r="L451" s="2" t="inlineStr">
        <is>
          <t>Кино_СССР сводный каталог.xlsx: список фильмов (доп.)</t>
        </is>
      </c>
      <c r="M451" s="2">
        <f>HYPERLINK("https://ru.wikipedia.org/w/index.php?search=%D0%A3%D0%B1%D0%B5%D0%B3%D0%B0%D1%8E%D1%89%D0%B8%D0%B9%20%D0%B0%D0%B2%D0%B3%D1%83%D1%81%D1%82%201989%20%D1%84%D0%B8%D0%BB%D1%8C%D0%BC","искать")</f>
        <v/>
      </c>
      <c r="N451" s="3" t="n"/>
      <c r="O451" s="2" t="n"/>
    </row>
    <row r="452">
      <c r="A452" s="2" t="n">
        <v>451</v>
      </c>
      <c r="B452" s="2" t="inlineStr">
        <is>
          <t>обрыв</t>
        </is>
      </c>
      <c r="C452" s="2" t="n">
        <v>10024</v>
      </c>
      <c r="D452" s="3" t="inlineStr">
        <is>
          <t>Теплый хлеб</t>
        </is>
      </c>
      <c r="E452" s="2" t="n">
        <v>1987</v>
      </c>
      <c r="F452" s="2" t="inlineStr">
        <is>
          <t>кинофильм</t>
        </is>
      </c>
      <c r="G452" s="2" t="inlineStr">
        <is>
          <t>Киевнаучфильм, Подборки фильмов, экранизации Константина Паустовского</t>
        </is>
      </c>
      <c r="H452" s="2" t="n">
        <v>302</v>
      </c>
      <c r="I452" s="2" t="inlineStr">
        <is>
          <t>да</t>
        </is>
      </c>
      <c r="J452" s="2" t="inlineStr"/>
      <c r="K452" s="3" t="inlineStr">
        <is>
          <t>По мотивам одноименной сказки К.Паустовского "Теплый хлеб".
О том, как сельский мальчик Филька обидел раненую лошадь. Этот дурной поступок нарушает естественный порядок вещей и приносит несчастье всем жителям деревни - в разгаре лета наступает зима. И только добро способно все вернуть на свои места...</t>
        </is>
      </c>
      <c r="L452" s="2" t="inlineStr">
        <is>
          <t>https://www.kino-teatr.ru/short/movie/sov/81192/annot/</t>
        </is>
      </c>
      <c r="M452" s="2">
        <f>HYPERLINK("https://ru.wikipedia.org/w/index.php?search=%D0%A2%D0%B5%D0%BF%D0%BB%D1%8B%D0%B9%20%D1%85%D0%BB%D0%B5%D0%B1%201987%20%D1%84%D0%B8%D0%BB%D1%8C%D0%BC","искать")</f>
        <v/>
      </c>
      <c r="N452" s="3" t="n"/>
      <c r="O452" s="2" t="n"/>
    </row>
    <row r="453">
      <c r="A453" s="2" t="n">
        <v>452</v>
      </c>
      <c r="B453" s="2" t="inlineStr">
        <is>
          <t>обрыв</t>
        </is>
      </c>
      <c r="C453" s="2" t="n">
        <v>11145</v>
      </c>
      <c r="D453" s="3" t="inlineStr">
        <is>
          <t>Гнездо глухаря</t>
        </is>
      </c>
      <c r="E453" s="2" t="n">
        <v>1987</v>
      </c>
      <c r="F453" s="2" t="inlineStr">
        <is>
          <t>фильм-спектакль</t>
        </is>
      </c>
      <c r="G453" s="2" t="inlineStr">
        <is>
          <t>Главная редакция литературно-драматических программ ЦТ</t>
        </is>
      </c>
      <c r="H453" s="2" t="n">
        <v>302</v>
      </c>
      <c r="I453" s="2" t="inlineStr">
        <is>
          <t>да</t>
        </is>
      </c>
      <c r="J453" s="2" t="inlineStr"/>
      <c r="K453" s="3" t="inlineStr">
        <is>
          <t>По одноменной пьесе В.Розова в постановке Московского академического театра сатиры.
Действие происходит в семье ответственного работника Судакова. Он умен, практичен, умеет поддерживать полезные связи и, конечно, уверен в благополучии своей семьи. Но оказывается, что не всё ладно в "гнезде глухаря"...</t>
        </is>
      </c>
      <c r="L453" s="2" t="inlineStr">
        <is>
          <t>https://www.kino-teatr.ru/teatr/movie/16083/annot/</t>
        </is>
      </c>
      <c r="M453" s="2">
        <f>HYPERLINK("https://ru.wikipedia.org/w/index.php?search=%D0%93%D0%BD%D0%B5%D0%B7%D0%B4%D0%BE%20%D0%B3%D0%BB%D1%83%D1%85%D0%B0%D1%80%D1%8F%201987%20%D1%84%D0%B8%D0%BB%D1%8C%D0%BC","искать")</f>
        <v/>
      </c>
      <c r="N453" s="3" t="n"/>
      <c r="O453" s="2" t="n"/>
    </row>
    <row r="454">
      <c r="A454" s="2" t="n">
        <v>453</v>
      </c>
      <c r="B454" s="2" t="inlineStr">
        <is>
          <t>обрыв</t>
        </is>
      </c>
      <c r="C454" s="2" t="n">
        <v>7651</v>
      </c>
      <c r="D454" s="3" t="inlineStr">
        <is>
          <t>Золотая мина</t>
        </is>
      </c>
      <c r="E454" s="2" t="n">
        <v>1977</v>
      </c>
      <c r="F454" s="2" t="inlineStr">
        <is>
          <t>телефильм</t>
        </is>
      </c>
      <c r="G454" s="2" t="n"/>
      <c r="H454" s="2" t="n">
        <v>303</v>
      </c>
      <c r="I454" s="2" t="inlineStr">
        <is>
          <t>да</t>
        </is>
      </c>
      <c r="J454" s="2" t="inlineStr"/>
      <c r="K454" s="3" t="inlineStr">
        <is>
          <t>Милицейская группа, возглавляемая полковником Зарубиным, расследовала обычное дорожное происшествие: на дороге у дачного поселка неизвестный автомобиль сбил работника универмага Олега Торчинского. А через пару дней архитектор Дроздовский обратился в милицию с заявлением, что кто-то следит за его дачей…</t>
        </is>
      </c>
      <c r="L454" s="2" t="inlineStr">
        <is>
          <t>Кино_СССР сводный каталог.xlsx: список телефильмов</t>
        </is>
      </c>
      <c r="M454" s="2">
        <f>HYPERLINK("https://ru.wikipedia.org/w/index.php?search=%D0%97%D0%BE%D0%BB%D0%BE%D1%82%D0%B0%D1%8F%20%D0%BC%D0%B8%D0%BD%D0%B0%201977%20%D1%84%D0%B8%D0%BB%D1%8C%D0%BC","искать")</f>
        <v/>
      </c>
      <c r="N454" s="3" t="n"/>
      <c r="O454" s="2" t="n"/>
    </row>
    <row r="455">
      <c r="A455" s="2" t="n">
        <v>454</v>
      </c>
      <c r="B455" s="2" t="inlineStr">
        <is>
          <t>обрыв</t>
        </is>
      </c>
      <c r="C455" s="2" t="n">
        <v>10722</v>
      </c>
      <c r="D455" s="3" t="inlineStr">
        <is>
          <t>Человек с ружьём</t>
        </is>
      </c>
      <c r="E455" s="2" t="n">
        <v>1977</v>
      </c>
      <c r="F455" s="2" t="inlineStr">
        <is>
          <t>фильм-спектакль</t>
        </is>
      </c>
      <c r="G455" s="2" t="n"/>
      <c r="H455" s="2" t="n">
        <v>304</v>
      </c>
      <c r="I455" s="2" t="inlineStr">
        <is>
          <t>да</t>
        </is>
      </c>
      <c r="J455" s="2" t="inlineStr"/>
      <c r="K455" s="3" t="inlineStr">
        <is>
          <t>Пьеса Николая Погодина в постановке Театра им. Е.Вахтангова.
1917 год. Солдат Иван Шадрин отправляется с фронта в революционный Петроград, с письмом к Ленину. Шадрин и его товарищи верят, что Ленин даст ответы на все вопросы, волнующие рабочих. В то время на Петроград наступает войско генерала Краснова…</t>
        </is>
      </c>
      <c r="L455" s="2" t="inlineStr">
        <is>
          <t>https://www.kino-teatr.ru/teatr/movie/15414/annot/</t>
        </is>
      </c>
      <c r="M455" s="2">
        <f>HYPERLINK("https://ru.wikipedia.org/w/index.php?search=%D0%A7%D0%B5%D0%BB%D0%BE%D0%B2%D0%B5%D0%BA%20%D1%81%20%D1%80%D1%83%D0%B6%D1%8C%D1%91%D0%BC%201977%20%D1%84%D0%B8%D0%BB%D1%8C%D0%BC","искать")</f>
        <v/>
      </c>
      <c r="N455" s="3" t="n"/>
      <c r="O455" s="2" t="n"/>
    </row>
    <row r="456">
      <c r="A456" s="2" t="n">
        <v>455</v>
      </c>
      <c r="B456" s="2" t="inlineStr">
        <is>
          <t>обрыв</t>
        </is>
      </c>
      <c r="C456" s="2" t="n">
        <v>8664</v>
      </c>
      <c r="D456" s="3" t="inlineStr">
        <is>
          <t>Волшебный мир балета</t>
        </is>
      </c>
      <c r="E456" s="2" t="n">
        <v>1988</v>
      </c>
      <c r="F456" s="2" t="inlineStr">
        <is>
          <t>кинофильм</t>
        </is>
      </c>
      <c r="G456" s="2" t="n"/>
      <c r="H456" s="2" t="n">
        <v>307</v>
      </c>
      <c r="I456" s="2" t="inlineStr">
        <is>
          <t>да</t>
        </is>
      </c>
      <c r="J456" s="2" t="inlineStr"/>
      <c r="K456" s="3" t="inlineStr">
        <is>
          <t>В многосерийном фильме «Волшебный мир балета» представлены: «Щелкунчик» на музыку П.И.Чайковского, «Конек-Горбунок» на музыку Родиона Щедрина, «Золушка» по мотивам сказки Ш.Перро на музыку С.Прокофьева, "Петя и Волк" на музыку С.Прокофьева, «Буря» на музыку оркестровой пьесы П.Чайковского по мотивам пьесы…</t>
        </is>
      </c>
      <c r="L456" s="2" t="inlineStr">
        <is>
          <t>Кино_СССР сводный каталог.xlsx: список фильмов (доп.)</t>
        </is>
      </c>
      <c r="M456" s="2">
        <f>HYPERLINK("https://ru.wikipedia.org/w/index.php?search=%D0%92%D0%BE%D0%BB%D1%88%D0%B5%D0%B1%D0%BD%D1%8B%D0%B9%20%D0%BC%D0%B8%D1%80%20%D0%B1%D0%B0%D0%BB%D0%B5%D1%82%D0%B0%201988%20%D1%84%D0%B8%D0%BB%D1%8C%D0%BC","искать")</f>
        <v/>
      </c>
      <c r="N456" s="3" t="n"/>
      <c r="O456" s="2" t="n"/>
    </row>
    <row r="457">
      <c r="A457" s="2" t="n">
        <v>456</v>
      </c>
      <c r="B457" s="2" t="inlineStr">
        <is>
          <t>обрыв</t>
        </is>
      </c>
      <c r="C457" s="2" t="n">
        <v>10824</v>
      </c>
      <c r="D457" s="3" t="inlineStr">
        <is>
          <t>Цветок душистый прерий</t>
        </is>
      </c>
      <c r="E457" s="2" t="n">
        <v>1979</v>
      </c>
      <c r="F457" s="2" t="inlineStr">
        <is>
          <t>фильм-спектакль</t>
        </is>
      </c>
      <c r="G457" s="2" t="inlineStr">
        <is>
          <t>Главная редакция музыкальных программ ЦТ</t>
        </is>
      </c>
      <c r="H457" s="2" t="n">
        <v>308</v>
      </c>
      <c r="I457" s="2" t="inlineStr">
        <is>
          <t>да</t>
        </is>
      </c>
      <c r="J457" s="2" t="inlineStr"/>
      <c r="K457" s="3" t="inlineStr">
        <is>
          <t>По оперетте "Роз-Мари" Р.Фримля и Г.Стотгарта.
История эта произошла в конце ХIХ века в Канаде во времена золотой лихорадки. Владелец золотых приисков намерен жениться на сестре своего секретаря - прекрасной Роз Мари. Но девушка влюблена в ковбоя и золотоискателя Джима Каньона, которого обвиняют в убийстве…</t>
        </is>
      </c>
      <c r="L457" s="2" t="inlineStr">
        <is>
          <t>https://www.kino-teatr.ru/teatr/movie/137880/annot/</t>
        </is>
      </c>
      <c r="M457" s="2">
        <f>HYPERLINK("https://ru.wikipedia.org/w/index.php?search=%D0%A6%D0%B2%D0%B5%D1%82%D0%BE%D0%BA%20%D0%B4%D1%83%D1%88%D0%B8%D1%81%D1%82%D1%8B%D0%B9%20%D0%BF%D1%80%D0%B5%D1%80%D0%B8%D0%B9%201979%20%D1%84%D0%B8%D0%BB%D1%8C%D0%BC","искать")</f>
        <v/>
      </c>
      <c r="N457" s="3" t="n"/>
      <c r="O457" s="2" t="n"/>
    </row>
    <row r="458">
      <c r="A458" s="2" t="n">
        <v>457</v>
      </c>
      <c r="B458" s="2" t="inlineStr">
        <is>
          <t>обрыв</t>
        </is>
      </c>
      <c r="C458" s="2" t="n">
        <v>10937</v>
      </c>
      <c r="D458" s="3" t="inlineStr">
        <is>
          <t>Джентльмены из Конгресса</t>
        </is>
      </c>
      <c r="E458" s="2" t="n">
        <v>1982</v>
      </c>
      <c r="F458" s="2" t="inlineStr">
        <is>
          <t>фильм-спектакль</t>
        </is>
      </c>
      <c r="G458" s="2" t="inlineStr">
        <is>
          <t>Гл. ред. лит-драм программ</t>
        </is>
      </c>
      <c r="H458" s="2" t="n">
        <v>310</v>
      </c>
      <c r="I458" s="2" t="inlineStr">
        <is>
          <t>да</t>
        </is>
      </c>
      <c r="J458" s="2" t="inlineStr"/>
      <c r="K458" s="3" t="inlineStr">
        <is>
          <t>По сюжету американского драматурга М.Андерсена "Оба ваши дома". Молодой конгрессмен Аллен Маклин, выбранный в комиссию по ассигнованиям конгресса США, узнает о многочисленных финансовых махинациях членов этой комиссии. Наивно полагая, что он сможет их разоблачить, Аллен сам попадает в ловушку конгрессменов...</t>
        </is>
      </c>
      <c r="L458" s="2" t="inlineStr">
        <is>
          <t>https://www.kino-teatr.ru/teatr/movie/81196/annot/</t>
        </is>
      </c>
      <c r="M458" s="2">
        <f>HYPERLINK("https://ru.wikipedia.org/w/index.php?search=%D0%94%D0%B6%D0%B5%D0%BD%D1%82%D0%BB%D1%8C%D0%BC%D0%B5%D0%BD%D1%8B%20%D0%B8%D0%B7%20%D0%9A%D0%BE%D0%BD%D0%B3%D1%80%D0%B5%D1%81%D1%81%D0%B0%201982%20%D1%84%D0%B8%D0%BB%D1%8C%D0%BC","искать")</f>
        <v/>
      </c>
      <c r="N458" s="3" t="n"/>
      <c r="O458" s="2" t="n"/>
    </row>
    <row r="459">
      <c r="A459" s="2" t="n">
        <v>458</v>
      </c>
      <c r="B459" s="2" t="inlineStr">
        <is>
          <t>обрыв</t>
        </is>
      </c>
      <c r="C459" s="2" t="n">
        <v>10010</v>
      </c>
      <c r="D459" s="3" t="inlineStr">
        <is>
          <t>Холода в начале весны</t>
        </is>
      </c>
      <c r="E459" s="2" t="n">
        <v>1985</v>
      </c>
      <c r="F459" s="2" t="inlineStr">
        <is>
          <t>кинофильм</t>
        </is>
      </c>
      <c r="G459" s="2" t="inlineStr">
        <is>
          <t>Беларусьфильм</t>
        </is>
      </c>
      <c r="H459" s="2" t="n">
        <v>311</v>
      </c>
      <c r="I459" s="2" t="inlineStr">
        <is>
          <t>да</t>
        </is>
      </c>
      <c r="J459" s="2" t="inlineStr"/>
      <c r="K459" s="3" t="inlineStr">
        <is>
          <t>По мотивам рассказа А.Кудравца. Действие происходит в годы Великой Отечественной войны в Белоруссии. Деревня, в которой жил мальчик Кастусь, находилась в партизанской зоне. Вскоре он подружился с партизанами, которые стали для него близкими людьми. Неожиданна и тяжела стала для Кастуся потеря старших друзей...</t>
        </is>
      </c>
      <c r="L459" s="2" t="inlineStr">
        <is>
          <t>https://www.kino-teatr.ru/short/movie/sov/106097/annot/</t>
        </is>
      </c>
      <c r="M459" s="2">
        <f>HYPERLINK("https://ru.wikipedia.org/w/index.php?search=%D0%A5%D0%BE%D0%BB%D0%BE%D0%B4%D0%B0%20%D0%B2%20%D0%BD%D0%B0%D1%87%D0%B0%D0%BB%D0%B5%20%D0%B2%D0%B5%D1%81%D0%BD%D1%8B%201985%20%D1%84%D0%B8%D0%BB%D1%8C%D0%BC","искать")</f>
        <v/>
      </c>
      <c r="N459" s="3" t="n"/>
      <c r="O459" s="2" t="n"/>
    </row>
    <row r="460">
      <c r="A460" s="2" t="n">
        <v>459</v>
      </c>
      <c r="B460" s="2" t="inlineStr">
        <is>
          <t>обрыв</t>
        </is>
      </c>
      <c r="C460" s="2" t="n">
        <v>10026</v>
      </c>
      <c r="D460" s="3" t="inlineStr">
        <is>
          <t>Билет в один конец</t>
        </is>
      </c>
      <c r="E460" s="2" t="n">
        <v>1988</v>
      </c>
      <c r="F460" s="2" t="inlineStr">
        <is>
          <t>телефильм</t>
        </is>
      </c>
      <c r="G460" s="2" t="inlineStr">
        <is>
          <t>Одесская к/ст по заказу Гостелерадио СССР</t>
        </is>
      </c>
      <c r="H460" s="2" t="n">
        <v>311</v>
      </c>
      <c r="I460" s="2" t="inlineStr">
        <is>
          <t>да</t>
        </is>
      </c>
      <c r="J460" s="2" t="inlineStr"/>
      <c r="K460" s="3" t="inlineStr">
        <is>
          <t>Четырнадцатилетний Мик за хулиганство попадает в отделение милиции. Здесь он сочиняет про себя, что будто бы занимается акробатикой у тренера Крылова. В милицию вызывают теперь и Крылова. Но странное дело, Крылов подтверждает показания подростка, дает за него поручительство и зачисляет мальчишку в свою группу…</t>
        </is>
      </c>
      <c r="L460" s="2" t="inlineStr">
        <is>
          <t>https://www.kino-teatr.ru/short/movie/sov/540/annot/</t>
        </is>
      </c>
      <c r="M460" s="2">
        <f>HYPERLINK("https://ru.wikipedia.org/w/index.php?search=%D0%91%D0%B8%D0%BB%D0%B5%D1%82%20%D0%B2%20%D0%BE%D0%B4%D0%B8%D0%BD%20%D0%BA%D0%BE%D0%BD%D0%B5%D1%86%201988%20%D1%84%D0%B8%D0%BB%D1%8C%D0%BC","искать")</f>
        <v/>
      </c>
      <c r="N460" s="3" t="n"/>
      <c r="O460" s="2" t="n"/>
    </row>
    <row r="461">
      <c r="A461" s="2" t="n">
        <v>460</v>
      </c>
      <c r="B461" s="2" t="inlineStr">
        <is>
          <t>обрыв</t>
        </is>
      </c>
      <c r="C461" s="2" t="n">
        <v>10551</v>
      </c>
      <c r="D461" s="3" t="inlineStr">
        <is>
          <t>Время и семья Конвей</t>
        </is>
      </c>
      <c r="E461" s="2" t="n">
        <v>1974</v>
      </c>
      <c r="F461" s="2" t="inlineStr">
        <is>
          <t>фильм-спектакль</t>
        </is>
      </c>
      <c r="G461" s="2" t="inlineStr">
        <is>
          <t>Гл. ред. лит-драм программ</t>
        </is>
      </c>
      <c r="H461" s="2" t="n">
        <v>312</v>
      </c>
      <c r="I461" s="2" t="inlineStr">
        <is>
          <t>да</t>
        </is>
      </c>
      <c r="J461" s="2" t="inlineStr"/>
      <c r="K461" s="3" t="inlineStr">
        <is>
          <t>По одноименной драме Дж.Пристли в постановке Московского театра им. М.Н.Ермоловой.
Действие происходит в одном из провинциальных городов Англии. Окончилась первая мировая война. Каждый из членов семьи Конвей мечтает об исполнении надежд. Однако выясняется, что финансовое состояние их матери крайне расстроено...</t>
        </is>
      </c>
      <c r="L461" s="2" t="inlineStr">
        <is>
          <t>https://www.kino-teatr.ru/teatr/movie/16331/annot/</t>
        </is>
      </c>
      <c r="M461" s="2">
        <f>HYPERLINK("https://ru.wikipedia.org/w/index.php?search=%D0%92%D1%80%D0%B5%D0%BC%D1%8F%20%D0%B8%20%D1%81%D0%B5%D0%BC%D1%8C%D1%8F%20%D0%9A%D0%BE%D0%BD%D0%B2%D0%B5%D0%B9%201974%20%D1%84%D0%B8%D0%BB%D1%8C%D0%BC","искать")</f>
        <v/>
      </c>
      <c r="N461" s="3" t="n"/>
      <c r="O461" s="2" t="n"/>
    </row>
    <row r="462">
      <c r="A462" s="2" t="n">
        <v>461</v>
      </c>
      <c r="B462" s="2" t="inlineStr">
        <is>
          <t>обрыв</t>
        </is>
      </c>
      <c r="C462" s="2" t="n">
        <v>10526</v>
      </c>
      <c r="D462" s="3" t="inlineStr">
        <is>
          <t>Так и будет</t>
        </is>
      </c>
      <c r="E462" s="2" t="n">
        <v>1973</v>
      </c>
      <c r="F462" s="2" t="inlineStr">
        <is>
          <t>фильм-спектакль</t>
        </is>
      </c>
      <c r="G462" s="2" t="inlineStr">
        <is>
          <t>Гл. ред. лит-драм программ</t>
        </is>
      </c>
      <c r="H462" s="2" t="n">
        <v>313</v>
      </c>
      <c r="I462" s="2" t="inlineStr">
        <is>
          <t>да</t>
        </is>
      </c>
      <c r="J462" s="2" t="inlineStr"/>
      <c r="K462" s="3" t="inlineStr">
        <is>
          <t>По одноименной пьесе К.Симонова в постановке Государственного академического Малого театра Союза ССР.
Описаны события сентября 1944 года, когда в Москву на несколько дней приезжает военный инженер Савельев. В своей квартире он застает новых жильцов – семью Воронцовых. Между ним и Олей вспыхивает взаимная любовь…</t>
        </is>
      </c>
      <c r="L462" s="2" t="inlineStr">
        <is>
          <t>https://www.kino-teatr.ru/teatr/movie/10677/annot/</t>
        </is>
      </c>
      <c r="M462" s="2">
        <f>HYPERLINK("https://ru.wikipedia.org/w/index.php?search=%D0%A2%D0%B0%D0%BA%20%D0%B8%20%D0%B1%D1%83%D0%B4%D0%B5%D1%82%201973%20%D1%84%D0%B8%D0%BB%D1%8C%D0%BC","искать")</f>
        <v/>
      </c>
      <c r="N462" s="3" t="n"/>
      <c r="O462" s="2" t="n"/>
    </row>
    <row r="463">
      <c r="A463" s="2" t="n">
        <v>462</v>
      </c>
      <c r="B463" s="2" t="inlineStr">
        <is>
          <t>обрыв</t>
        </is>
      </c>
      <c r="C463" s="2" t="n">
        <v>11095</v>
      </c>
      <c r="D463" s="3" t="inlineStr">
        <is>
          <t>Белая лошадь - горе не моё</t>
        </is>
      </c>
      <c r="E463" s="2" t="n">
        <v>1986</v>
      </c>
      <c r="F463" s="2" t="inlineStr">
        <is>
          <t>фильм-спектакль</t>
        </is>
      </c>
      <c r="G463" s="2" t="inlineStr">
        <is>
          <t>Главная редакция программ для детей Центральное телевидение</t>
        </is>
      </c>
      <c r="H463" s="2" t="n">
        <v>313</v>
      </c>
      <c r="I463" s="2" t="inlineStr">
        <is>
          <t>да</t>
        </is>
      </c>
      <c r="J463" s="2" t="inlineStr"/>
      <c r="K463" s="3" t="inlineStr">
        <is>
          <t>По одноименной повести Наталии Соломко.
О молодом учителе географии Александре Арсеньевиче, который пытается по-новому решать школьные проблемы. Однако отсутствие опыта мешает ему реализовать свои намерения. С помощью опытного педагога Матвея Ивановича герой старается постичь премудрости учительской профессии...</t>
        </is>
      </c>
      <c r="L463" s="2" t="inlineStr">
        <is>
          <t>https://www.kino-teatr.ru/teatr/movie/83733/annot/</t>
        </is>
      </c>
      <c r="M463" s="2">
        <f>HYPERLINK("https://ru.wikipedia.org/w/index.php?search=%D0%91%D0%B5%D0%BB%D0%B0%D1%8F%20%D0%BB%D0%BE%D1%88%D0%B0%D0%B4%D1%8C%20-%20%D0%B3%D0%BE%D1%80%D0%B5%20%D0%BD%D0%B5%20%D0%BC%D0%BE%D1%91%201986%20%D1%84%D0%B8%D0%BB%D1%8C%D0%BC","искать")</f>
        <v/>
      </c>
      <c r="N463" s="3" t="n"/>
      <c r="O463" s="2" t="n"/>
    </row>
    <row r="464">
      <c r="A464" s="2" t="n">
        <v>463</v>
      </c>
      <c r="B464" s="2" t="inlineStr">
        <is>
          <t>обрыв</t>
        </is>
      </c>
      <c r="C464" s="2" t="n">
        <v>7953</v>
      </c>
      <c r="D464" s="3" t="inlineStr">
        <is>
          <t>Насыпь</t>
        </is>
      </c>
      <c r="E464" s="2" t="n">
        <v>1970</v>
      </c>
      <c r="F464" s="2" t="inlineStr">
        <is>
          <t>телефильм</t>
        </is>
      </c>
      <c r="G464" s="2" t="n"/>
      <c r="H464" s="2" t="n">
        <v>314</v>
      </c>
      <c r="I464" s="2" t="inlineStr">
        <is>
          <t>да</t>
        </is>
      </c>
      <c r="J464" s="2" t="inlineStr"/>
      <c r="K464" s="3" t="inlineStr">
        <is>
          <t>Телефильм. Действие фильма происходит в годы Великой Отечественной войны на территории Латвии. Возле железнодорожной насыпи прячутся партизаны Андрей и Суровый. Они должны взорвать эшелон противника. Сюда же приезжает на покос Озолс со своей семьей. Андрей тяжело ранен, и Суровый просит латышскую семью им помочь…</t>
        </is>
      </c>
      <c r="L464" s="2" t="inlineStr">
        <is>
          <t>Кино_СССР сводный каталог.xlsx: список телефильмов</t>
        </is>
      </c>
      <c r="M464" s="2">
        <f>HYPERLINK("https://ru.wikipedia.org/w/index.php?search=%D0%9D%D0%B0%D1%81%D1%8B%D0%BF%D1%8C%201970%20%D1%84%D0%B8%D0%BB%D1%8C%D0%BC","искать")</f>
        <v/>
      </c>
      <c r="N464" s="3" t="n"/>
      <c r="O464" s="2" t="n"/>
    </row>
    <row r="465">
      <c r="A465" s="2" t="n">
        <v>464</v>
      </c>
      <c r="B465" s="2" t="inlineStr">
        <is>
          <t>обрыв</t>
        </is>
      </c>
      <c r="C465" s="2" t="n">
        <v>8910</v>
      </c>
      <c r="D465" s="3" t="inlineStr">
        <is>
          <t>Отстраненные (киноальманах)</t>
        </is>
      </c>
      <c r="E465" s="2" t="n">
        <v>1989</v>
      </c>
      <c r="F465" s="2" t="inlineStr">
        <is>
          <t>кинофильм</t>
        </is>
      </c>
      <c r="G465" s="2" t="n"/>
      <c r="H465" s="2" t="n">
        <v>314</v>
      </c>
      <c r="I465" s="2" t="inlineStr">
        <is>
          <t>да</t>
        </is>
      </c>
      <c r="J465" s="2" t="inlineStr"/>
      <c r="K465" s="3" t="inlineStr">
        <is>
          <t>Фильмы в составе: Отстраненные, Колодец, Торжество. В небольшой горной деревушке живет старик, которому до всего есть дело. Бесконечные советы и поучения, накопленные долгим житейским опытом, герой стремиться выплеснуть на каждого. Кого-то это раздражает, кто-то его не слышат, а кто-то просто не слушает чудака...</t>
        </is>
      </c>
      <c r="L465" s="2" t="inlineStr">
        <is>
          <t>Кино_СССР сводный каталог.xlsx: список фильмов (доп.)</t>
        </is>
      </c>
      <c r="M465" s="2">
        <f>HYPERLINK("https://ru.wikipedia.org/w/index.php?search=%D0%9E%D1%82%D1%81%D1%82%D1%80%D0%B0%D0%BD%D0%B5%D0%BD%D0%BD%D1%8B%D0%B5%20%28%D0%BA%D0%B8%D0%BD%D0%BE%D0%B0%D0%BB%D1%8C%D0%BC%D0%B0%D0%BD%D0%B0%D1%85%29%201989%20%D1%84%D0%B8%D0%BB%D1%8C%D0%BC","искать")</f>
        <v/>
      </c>
      <c r="N465" s="3" t="n"/>
      <c r="O465" s="2" t="n"/>
    </row>
    <row r="466">
      <c r="A466" s="2" t="n">
        <v>465</v>
      </c>
      <c r="B466" s="2" t="inlineStr">
        <is>
          <t>обрыв</t>
        </is>
      </c>
      <c r="C466" s="2" t="n">
        <v>10852</v>
      </c>
      <c r="D466" s="3" t="inlineStr">
        <is>
          <t>Незнакомец</t>
        </is>
      </c>
      <c r="E466" s="2" t="n">
        <v>1980</v>
      </c>
      <c r="F466" s="2" t="inlineStr">
        <is>
          <t>фильм-спектакль</t>
        </is>
      </c>
      <c r="G466" s="2" t="inlineStr">
        <is>
          <t>Центральное телевидение</t>
        </is>
      </c>
      <c r="H466" s="2" t="n">
        <v>319</v>
      </c>
      <c r="I466" s="2" t="inlineStr">
        <is>
          <t>да</t>
        </is>
      </c>
      <c r="J466" s="2" t="inlineStr"/>
      <c r="K466" s="3" t="inlineStr">
        <is>
          <t>По одноименной комедии Леонида Зорина. В некое учреждение врывается "таинственная фигура", сообщившая, что скоро начнется тестирование всех сотрудников с целью проверки соответствия занимаемым должностям. Это вносит смятение в "стоячее болото" учрежденческого быта и выявляет подлинную сущность каждого из персонажей...</t>
        </is>
      </c>
      <c r="L466" s="2" t="inlineStr">
        <is>
          <t>https://www.kino-teatr.ru/teatr/movie/16805/annot/</t>
        </is>
      </c>
      <c r="M466" s="2">
        <f>HYPERLINK("https://ru.wikipedia.org/w/index.php?search=%D0%9D%D0%B5%D0%B7%D0%BD%D0%B0%D0%BA%D0%BE%D0%BC%D0%B5%D1%86%201980%20%D1%84%D0%B8%D0%BB%D1%8C%D0%BC","искать")</f>
        <v/>
      </c>
      <c r="N466" s="3" t="n"/>
      <c r="O466" s="2" t="n"/>
    </row>
    <row r="467">
      <c r="A467" s="2" t="n">
        <v>466</v>
      </c>
      <c r="B467" s="2" t="inlineStr">
        <is>
          <t>обрыв</t>
        </is>
      </c>
      <c r="C467" s="2" t="n">
        <v>11185</v>
      </c>
      <c r="D467" s="3" t="inlineStr">
        <is>
          <t>Этот фантастический мир. Выпуск 13</t>
        </is>
      </c>
      <c r="E467" s="2" t="n">
        <v>1987</v>
      </c>
      <c r="F467" s="2" t="inlineStr">
        <is>
          <t>фильм-спектакль</t>
        </is>
      </c>
      <c r="G467" s="2" t="inlineStr">
        <is>
          <t>Главная редакция программ для детей и юношества ЦТ</t>
        </is>
      </c>
      <c r="H467" s="2" t="n">
        <v>319</v>
      </c>
      <c r="I467" s="2" t="inlineStr">
        <is>
          <t>да</t>
        </is>
      </c>
      <c r="J467" s="2" t="inlineStr"/>
      <c r="K467" s="3" t="inlineStr">
        <is>
          <t>По пьесе американского писателя-фантаста Р.Брэдбери "Чикагская бездна". Последствия ядерной войны - разрушения, голод. Оставшиеся в живых люди утратили даже память о былой цивилизации. В центре спектакля - Старик, единственный человек, который помнит о прошлом, ибо без прошлого у человечества не может быть будущего...</t>
        </is>
      </c>
      <c r="L467" s="2" t="inlineStr">
        <is>
          <t>https://www.kino-teatr.ru/teatr/movie/11511/annot/</t>
        </is>
      </c>
      <c r="M467" s="2">
        <f>HYPERLINK("https://ru.wikipedia.org/w/index.php?search=%D0%AD%D1%82%D0%BE%D1%82%20%D1%84%D0%B0%D0%BD%D1%82%D0%B0%D1%81%D1%82%D0%B8%D1%87%D0%B5%D1%81%D0%BA%D0%B8%D0%B9%20%D0%BC%D0%B8%D1%80.%20%D0%92%D1%8B%D0%BF%D1%83%D1%81%D0%BA%2013%201987%20%D1%84%D0%B8%D0%BB%D1%8C%D0%BC","искать")</f>
        <v/>
      </c>
      <c r="N467" s="3" t="n"/>
      <c r="O467" s="2" t="n"/>
    </row>
    <row r="468">
      <c r="A468" s="2" t="n">
        <v>467</v>
      </c>
      <c r="B468" s="2" t="inlineStr">
        <is>
          <t>обрыв</t>
        </is>
      </c>
      <c r="C468" s="2" t="n">
        <v>7313</v>
      </c>
      <c r="D468" s="3" t="inlineStr">
        <is>
          <t>Ваш специальный корреспондент</t>
        </is>
      </c>
      <c r="E468" s="2" t="n">
        <v>1987</v>
      </c>
      <c r="F468" s="2" t="inlineStr">
        <is>
          <t>телефильм</t>
        </is>
      </c>
      <c r="G468" s="2" t="n"/>
      <c r="H468" s="2" t="n">
        <v>324</v>
      </c>
      <c r="I468" s="2" t="inlineStr">
        <is>
          <t>да</t>
        </is>
      </c>
      <c r="J468" s="2" t="inlineStr"/>
      <c r="K468" s="3" t="inlineStr">
        <is>
          <t>Фильм снят по роману Михаила Чиботару "Пути-дороги".
Журналист республиканской газеты Браниште намеревается написать очерк о председателе передового колхоза. Вскоре герой убеждается в том, что методы руководства председателя сомнительны. Несмотря на давление, Браниште решается все-таки опубликовать разоблачительную статью…</t>
        </is>
      </c>
      <c r="L468" s="2" t="inlineStr">
        <is>
          <t>Кино_СССР сводный каталог.xlsx: список телефильмов</t>
        </is>
      </c>
      <c r="M468" s="2">
        <f>HYPERLINK("https://ru.wikipedia.org/w/index.php?search=%D0%92%D0%B0%D1%88%20%D1%81%D0%BF%D0%B5%D1%86%D0%B8%D0%B0%D0%BB%D1%8C%D0%BD%D1%8B%D0%B9%20%D0%BA%D0%BE%D1%80%D1%80%D0%B5%D1%81%D0%BF%D0%BE%D0%BD%D0%B4%D0%B5%D0%BD%D1%82%201987%20%D1%84%D0%B8%D0%BB%D1%8C%D0%BC","искать")</f>
        <v/>
      </c>
      <c r="N468" s="3" t="n"/>
      <c r="O468" s="2" t="n"/>
    </row>
    <row r="469">
      <c r="A469" s="2" t="n">
        <v>468</v>
      </c>
      <c r="B469" s="2" t="inlineStr">
        <is>
          <t>обрыв</t>
        </is>
      </c>
      <c r="C469" s="2" t="n">
        <v>10855</v>
      </c>
      <c r="D469" s="3" t="inlineStr">
        <is>
          <t>Окно во двор</t>
        </is>
      </c>
      <c r="E469" s="2" t="n">
        <v>1980</v>
      </c>
      <c r="F469" s="2" t="inlineStr">
        <is>
          <t>фильм-спектакль</t>
        </is>
      </c>
      <c r="G469" s="2" t="inlineStr">
        <is>
          <t>Ленинградское телевидение</t>
        </is>
      </c>
      <c r="H469" s="2" t="n">
        <v>324</v>
      </c>
      <c r="I469" s="2" t="inlineStr">
        <is>
          <t>да</t>
        </is>
      </c>
      <c r="J469" s="2" t="inlineStr"/>
      <c r="K469" s="3" t="inlineStr">
        <is>
          <t>Экранизация одноименного рассказа У.Айриша.
Детектив Джеффрис вынужден постоянно находиться в своей квартире из-за перелома ноги. Имея большое количество свободного времени, он начинает изучать жизнь обитателей дома напротив. Поведение одного из соседей постепенно вызывает у него подозрения. Джеффрис начинает их проверять…</t>
        </is>
      </c>
      <c r="L469" s="2" t="inlineStr">
        <is>
          <t>https://www.kino-teatr.ru/teatr/movie/90464/annot/</t>
        </is>
      </c>
      <c r="M469" s="2">
        <f>HYPERLINK("https://ru.wikipedia.org/w/index.php?search=%D0%9E%D0%BA%D0%BD%D0%BE%20%D0%B2%D0%BE%20%D0%B4%D0%B2%D0%BE%D1%80%201980%20%D1%84%D0%B8%D0%BB%D1%8C%D0%BC","искать")</f>
        <v/>
      </c>
      <c r="N469" s="3" t="n"/>
      <c r="O469" s="2" t="n"/>
    </row>
    <row r="470">
      <c r="A470" s="2" t="n">
        <v>469</v>
      </c>
      <c r="B470" s="2" t="inlineStr">
        <is>
          <t>обрыв</t>
        </is>
      </c>
      <c r="C470" s="2" t="n">
        <v>10999</v>
      </c>
      <c r="D470" s="3" t="inlineStr">
        <is>
          <t>Не заплачу!</t>
        </is>
      </c>
      <c r="E470" s="2" t="n">
        <v>1983</v>
      </c>
      <c r="F470" s="2" t="inlineStr">
        <is>
          <t>фильм-спектакль</t>
        </is>
      </c>
      <c r="G470" s="2" t="inlineStr">
        <is>
          <t>Главная редакция литературно-драматических программ</t>
        </is>
      </c>
      <c r="H470" s="2" t="n">
        <v>324</v>
      </c>
      <c r="I470" s="2" t="inlineStr">
        <is>
          <t>да</t>
        </is>
      </c>
      <c r="J470" s="2" t="inlineStr"/>
      <c r="K470" s="3" t="inlineStr">
        <is>
          <t>По мотивам комедии итальянского драматурга Эдуардо де Филиппо.
Действие происходит в Неаполе. Между владельцем небольшой лотерейной конторы и женихом его дочери, служащим этой же конторы, возникает тяжба, полная смешных перипетий. В ее основе - плутовство, связанное с лотерейным билетом, на который выпал крупный выигрыш...</t>
        </is>
      </c>
      <c r="L470" s="2" t="inlineStr">
        <is>
          <t>https://www.kino-teatr.ru/teatr/movie/16802/annot/</t>
        </is>
      </c>
      <c r="M470" s="2">
        <f>HYPERLINK("https://ru.wikipedia.org/w/index.php?search=%D0%9D%D0%B5%20%D0%B7%D0%B0%D0%BF%D0%BB%D0%B0%D1%87%D1%83%21%201983%20%D1%84%D0%B8%D0%BB%D1%8C%D0%BC","искать")</f>
        <v/>
      </c>
      <c r="N470" s="3" t="n"/>
      <c r="O470" s="2" t="n"/>
    </row>
    <row r="471">
      <c r="A471" s="2" t="n">
        <v>470</v>
      </c>
      <c r="B471" s="2" t="inlineStr">
        <is>
          <t>обрыв</t>
        </is>
      </c>
      <c r="C471" s="2" t="n">
        <v>10047</v>
      </c>
      <c r="D471" s="3" t="inlineStr">
        <is>
          <t>История болезни</t>
        </is>
      </c>
      <c r="E471" s="2" t="n">
        <v>1990</v>
      </c>
      <c r="F471" s="2" t="inlineStr">
        <is>
          <t>телефильм</t>
        </is>
      </c>
      <c r="G471" s="2" t="inlineStr">
        <is>
          <t>Лентелефильм</t>
        </is>
      </c>
      <c r="H471" s="2" t="n">
        <v>325</v>
      </c>
      <c r="I471" s="2" t="inlineStr">
        <is>
          <t>да</t>
        </is>
      </c>
      <c r="J471" s="2" t="inlineStr"/>
      <c r="K471" s="3" t="inlineStr">
        <is>
          <t>По мотивам рассказа Михаила Булгакова "Красная корона".
Действие фильма происходит в период гражданской войны.
Ночью в больнице слышатся шаги. Дверь палаты. Здесь лежит офицер, контуженный на фронте. Он получил удостоверение, что находится под покровительством врача и никто не может его взять. И вот он лежит и вспоминает...</t>
        </is>
      </c>
      <c r="L471" s="2" t="inlineStr">
        <is>
          <t>https://www.kino-teatr.ru/short/movie/sov/2768/annot/</t>
        </is>
      </c>
      <c r="M471" s="2">
        <f>HYPERLINK("https://ru.wikipedia.org/w/index.php?search=%D0%98%D1%81%D1%82%D0%BE%D1%80%D0%B8%D1%8F%20%D0%B1%D0%BE%D0%BB%D0%B5%D0%B7%D0%BD%D0%B8%201990%20%D1%84%D0%B8%D0%BB%D1%8C%D0%BC","искать")</f>
        <v/>
      </c>
      <c r="N471" s="3" t="n"/>
      <c r="O471" s="2" t="n"/>
    </row>
    <row r="472">
      <c r="A472" s="2" t="n">
        <v>471</v>
      </c>
      <c r="B472" s="2" t="inlineStr">
        <is>
          <t>обрыв</t>
        </is>
      </c>
      <c r="C472" s="2" t="n">
        <v>10084</v>
      </c>
      <c r="D472" s="3" t="inlineStr">
        <is>
          <t>Янтарное ожерелье</t>
        </is>
      </c>
      <c r="E472" s="2" t="n">
        <v>1960</v>
      </c>
      <c r="F472" s="2" t="inlineStr">
        <is>
          <t>фильм-спектакль</t>
        </is>
      </c>
      <c r="G472" s="2" t="n"/>
      <c r="H472" s="2" t="n">
        <v>325</v>
      </c>
      <c r="I472" s="2" t="inlineStr">
        <is>
          <t>да</t>
        </is>
      </c>
      <c r="J472" s="2" t="inlineStr"/>
      <c r="K472" s="3" t="inlineStr">
        <is>
          <t>Фильм-спектакль по роману Н.Погодина.
Окончив школу, девушка Ира хотела поступать в институт, но встреча с молодым строителем Володей привела ее на стройку. Прямота и добросовестное отношение девушки к работе не совсем нравились бригадиру Бляхину. Начались конфликты, за которыми последовали и её трудные отношения с любимым…</t>
        </is>
      </c>
      <c r="L472" s="2" t="inlineStr">
        <is>
          <t>https://www.kino-teatr.ru/teatr/movie/101565/annot/</t>
        </is>
      </c>
      <c r="M472" s="2">
        <f>HYPERLINK("https://ru.wikipedia.org/w/index.php?search=%D0%AF%D0%BD%D1%82%D0%B0%D1%80%D0%BD%D0%BE%D0%B5%20%D0%BE%D0%B6%D0%B5%D1%80%D0%B5%D0%BB%D1%8C%D0%B5%201960%20%D1%84%D0%B8%D0%BB%D1%8C%D0%BC","искать")</f>
        <v/>
      </c>
      <c r="N472" s="3" t="n"/>
      <c r="O472" s="2" t="n"/>
    </row>
    <row r="473">
      <c r="A473" s="2" t="n">
        <v>472</v>
      </c>
      <c r="B473" s="2" t="inlineStr">
        <is>
          <t>обрыв</t>
        </is>
      </c>
      <c r="C473" s="2" t="n">
        <v>9826</v>
      </c>
      <c r="D473" s="3" t="inlineStr">
        <is>
          <t>Арбузный рейс</t>
        </is>
      </c>
      <c r="E473" s="2" t="n">
        <v>1965</v>
      </c>
      <c r="F473" s="2" t="inlineStr">
        <is>
          <t>телефильм</t>
        </is>
      </c>
      <c r="G473" s="2" t="inlineStr">
        <is>
          <t>"Мосфильм", ТО "Экран" по заказу Центрального телевидения</t>
        </is>
      </c>
      <c r="H473" s="2" t="n">
        <v>332</v>
      </c>
      <c r="I473" s="2" t="inlineStr">
        <is>
          <t>да</t>
        </is>
      </c>
      <c r="J473" s="2" t="inlineStr"/>
      <c r="K473" s="3" t="inlineStr">
        <is>
          <t>Телефильм по мотивам одноименной повести А.Рекемчука.
Экспедитору Гайдамовичу поручают доставить через непроходимую тайгу на дальнюю буровую тонну арбузов. Как малых детей пестовал Гайдамович свой ценный груз: накрывал брезентом, подстилал солому, но на буровую он привез лишь гору разбитых арбузов. Но нефтяников это не огорчило...</t>
        </is>
      </c>
      <c r="L473" s="2" t="inlineStr">
        <is>
          <t>https://www.kino-teatr.ru/short/movie/sov/15666/annot/</t>
        </is>
      </c>
      <c r="M473" s="2">
        <f>HYPERLINK("https://ru.wikipedia.org/w/index.php?search=%D0%90%D1%80%D0%B1%D1%83%D0%B7%D0%BD%D1%8B%D0%B9%20%D1%80%D0%B5%D0%B9%D1%81%201965%20%D1%84%D0%B8%D0%BB%D1%8C%D0%BC","искать")</f>
        <v/>
      </c>
      <c r="N473" s="3" t="n"/>
      <c r="O473" s="2" t="n"/>
    </row>
    <row r="474">
      <c r="A474" s="2" t="n">
        <v>473</v>
      </c>
      <c r="B474" s="2" t="inlineStr">
        <is>
          <t>обрыв</t>
        </is>
      </c>
      <c r="C474" s="2" t="n">
        <v>10782</v>
      </c>
      <c r="D474" s="3" t="inlineStr">
        <is>
          <t>Ханума</t>
        </is>
      </c>
      <c r="E474" s="2" t="n">
        <v>1978</v>
      </c>
      <c r="F474" s="2" t="inlineStr">
        <is>
          <t>фильм-спектакль</t>
        </is>
      </c>
      <c r="G474" s="2" t="inlineStr">
        <is>
          <t>Ленфильм</t>
        </is>
      </c>
      <c r="H474" s="2" t="n">
        <v>333</v>
      </c>
      <c r="I474" s="2" t="inlineStr">
        <is>
          <t>да</t>
        </is>
      </c>
      <c r="J474" s="2" t="inlineStr"/>
      <c r="K474" s="3" t="inlineStr">
        <is>
          <t>Экранизация пьесы А.Цагарели "Ханума".
Спектакль Ленинградского академического Большого Драматического театра.
Веселая история о никогда не унывающей и предприимчивой свахе Хануме.
Тбилиси. Начало XX века. Князь Пантиашвили прокутил всё своё состояние. Выход один - срочно жениться на богатой девушке. За дело берется сваха Ханума...</t>
        </is>
      </c>
      <c r="L474" s="2" t="inlineStr">
        <is>
          <t>https://www.kino-teatr.ru/teatr/movie/7602/annot/</t>
        </is>
      </c>
      <c r="M474" s="2">
        <f>HYPERLINK("https://ru.wikipedia.org/w/index.php?search=%D0%A5%D0%B0%D0%BD%D1%83%D0%BC%D0%B0%201978%20%D1%84%D0%B8%D0%BB%D1%8C%D0%BC","искать")</f>
        <v/>
      </c>
      <c r="N474" s="3" t="n"/>
      <c r="O474" s="2" t="n"/>
    </row>
    <row r="475">
      <c r="A475" s="2" t="n">
        <v>474</v>
      </c>
      <c r="B475" s="2" t="inlineStr">
        <is>
          <t>обрыв</t>
        </is>
      </c>
      <c r="C475" s="2" t="n">
        <v>10123</v>
      </c>
      <c r="D475" s="3" t="inlineStr">
        <is>
          <t>Минута истории</t>
        </is>
      </c>
      <c r="E475" s="2" t="n">
        <v>1964</v>
      </c>
      <c r="F475" s="2" t="inlineStr">
        <is>
          <t>фильм-спектакль</t>
        </is>
      </c>
      <c r="G475" s="2" t="inlineStr">
        <is>
          <t>Гл. ред. лит-драм программ, Подборки фильмов, фильмы о Ленине</t>
        </is>
      </c>
      <c r="H475" s="2" t="n">
        <v>335</v>
      </c>
      <c r="I475" s="2" t="inlineStr">
        <is>
          <t>да</t>
        </is>
      </c>
      <c r="J475" s="2" t="inlineStr"/>
      <c r="K475" s="3" t="inlineStr">
        <is>
          <t>По одноименному произведению Николая Жданова. Действие происходит в 1917 году в Петрограде. Контрреволюционеры поручили юнкеру Сергею Ярославцеву совершить покушение на жизнь В.И.Ленина. Ему удается проникнуть в кабинет вождя, но беседа с Лениным производит на Сергея неизгладимое впечатление, и он отказывается совершить задуманное...</t>
        </is>
      </c>
      <c r="L475" s="2" t="inlineStr">
        <is>
          <t>https://www.kino-teatr.ru/teatr/movie/80896/annot/</t>
        </is>
      </c>
      <c r="M475" s="2">
        <f>HYPERLINK("https://ru.wikipedia.org/w/index.php?search=%D0%9C%D0%B8%D0%BD%D1%83%D1%82%D0%B0%20%D0%B8%D1%81%D1%82%D0%BE%D1%80%D0%B8%D0%B8%201964%20%D1%84%D0%B8%D0%BB%D1%8C%D0%BC","искать")</f>
        <v/>
      </c>
      <c r="N475" s="3" t="n"/>
      <c r="O475" s="2" t="n"/>
    </row>
    <row r="476">
      <c r="A476" s="2" t="n">
        <v>475</v>
      </c>
      <c r="B476" s="2" t="inlineStr">
        <is>
          <t>обрыв</t>
        </is>
      </c>
      <c r="C476" s="2" t="n">
        <v>10188</v>
      </c>
      <c r="D476" s="3" t="inlineStr">
        <is>
          <t>Вызывает 425</t>
        </is>
      </c>
      <c r="E476" s="2" t="n">
        <v>1967</v>
      </c>
      <c r="F476" s="2" t="inlineStr">
        <is>
          <t>фильм-спектакль</t>
        </is>
      </c>
      <c r="G476" s="2" t="inlineStr">
        <is>
          <t>Центральное телевидение</t>
        </is>
      </c>
      <c r="H476" s="2" t="n">
        <v>339</v>
      </c>
      <c r="I476" s="2" t="inlineStr">
        <is>
          <t>да</t>
        </is>
      </c>
      <c r="J476" s="2" t="inlineStr"/>
      <c r="K476" s="3" t="inlineStr">
        <is>
          <t>Фильм-спектакль Московского театра им. Моссовета посвящен памяти Героя Советского Союза Фёдора Фёдоровича Озмителя и славным делам его партизанского отряда.
События происходят в годы Великой Отечественной войны в Белоруссии. Командир отряда особого назначения «Гром» Фёдор был направлен в немецкий тыл для выполнения специальных заданий...</t>
        </is>
      </c>
      <c r="L476" s="2" t="inlineStr">
        <is>
          <t>https://www.kino-teatr.ru/teatr/movie/138585/annot/</t>
        </is>
      </c>
      <c r="M476" s="2">
        <f>HYPERLINK("https://ru.wikipedia.org/w/index.php?search=%D0%92%D1%8B%D0%B7%D1%8B%D0%B2%D0%B0%D0%B5%D1%82%20425%201967%20%D1%84%D0%B8%D0%BB%D1%8C%D0%BC","искать")</f>
        <v/>
      </c>
      <c r="N476" s="3" t="n"/>
      <c r="O476" s="2" t="n"/>
    </row>
    <row r="477">
      <c r="A477" s="2" t="n">
        <v>476</v>
      </c>
      <c r="B477" s="2" t="inlineStr">
        <is>
          <t>обрыв</t>
        </is>
      </c>
      <c r="C477" s="2" t="n">
        <v>11125</v>
      </c>
      <c r="D477" s="3" t="inlineStr">
        <is>
          <t>Пиросмани, Пиросмани...</t>
        </is>
      </c>
      <c r="E477" s="2" t="n">
        <v>1986</v>
      </c>
      <c r="F477" s="2" t="inlineStr">
        <is>
          <t>фильм-спектакль</t>
        </is>
      </c>
      <c r="G477" s="2" t="inlineStr">
        <is>
          <t>Синтез, Союзтеатр, Фонд СТД СССР</t>
        </is>
      </c>
      <c r="H477" s="2" t="n">
        <v>339</v>
      </c>
      <c r="I477" s="2" t="inlineStr">
        <is>
          <t>да</t>
        </is>
      </c>
      <c r="J477" s="2" t="inlineStr"/>
      <c r="K477" s="3" t="inlineStr">
        <is>
          <t>По пьесе Вадима Коростылёва "Праздник одиночества" (С.Шальтянис - сценическая редакция).
Видеозапись спектакля Государственного театра молодежи Литовской СССР.
Пьеса посвящена великому грузинскому художнику. О последних днях великого Нико Пиросманишвили, который умирал в одиночестве. И единственными собеседниками его были герои картин...</t>
        </is>
      </c>
      <c r="L477" s="2" t="inlineStr">
        <is>
          <t>https://www.kino-teatr.ru/teatr/movie/8549/annot/</t>
        </is>
      </c>
      <c r="M477" s="2">
        <f>HYPERLINK("https://ru.wikipedia.org/w/index.php?search=%D0%9F%D0%B8%D1%80%D0%BE%D1%81%D0%BC%D0%B0%D0%BD%D0%B8%2C%20%D0%9F%D0%B8%D1%80%D0%BE%D1%81%D0%BC%D0%B0%D0%BD%D0%B8...%201986%20%D1%84%D0%B8%D0%BB%D1%8C%D0%BC","искать")</f>
        <v/>
      </c>
      <c r="N477" s="3" t="n"/>
      <c r="O477" s="2" t="n"/>
    </row>
    <row r="478">
      <c r="A478" s="2" t="n">
        <v>477</v>
      </c>
      <c r="B478" s="2" t="inlineStr">
        <is>
          <t>обрыв</t>
        </is>
      </c>
      <c r="C478" s="2" t="n">
        <v>10747</v>
      </c>
      <c r="D478" s="3" t="inlineStr">
        <is>
          <t>Игроки</t>
        </is>
      </c>
      <c r="E478" s="2" t="n">
        <v>1978</v>
      </c>
      <c r="F478" s="2" t="inlineStr">
        <is>
          <t>фильм-спектакль</t>
        </is>
      </c>
      <c r="G478" s="2" t="inlineStr">
        <is>
          <t>Главная редакция литературно-драматический программ ЦТ</t>
        </is>
      </c>
      <c r="H478" s="2" t="n">
        <v>340</v>
      </c>
      <c r="I478" s="2" t="inlineStr">
        <is>
          <t>да</t>
        </is>
      </c>
      <c r="J478" s="2" t="inlineStr"/>
      <c r="K478" s="3" t="inlineStr">
        <is>
          <t>По одноименной комедии Н.В.Гоголя.
Пьеса об Игре, о творчестве, которое на этот раз отлилось в форму гениального крапа. Мастерски, талантливо и артистично объегоренная жертва таких же, как он сам, игроков, Ихарев не терпит катастрофы, потому что с ним остается его "Аделаида Ивановна". Инструмент и талисман его Игры. Его тайная рукопись...</t>
        </is>
      </c>
      <c r="L478" s="2" t="inlineStr">
        <is>
          <t>https://www.kino-teatr.ru/teatr/movie/2649/annot/</t>
        </is>
      </c>
      <c r="M478" s="2">
        <f>HYPERLINK("https://ru.wikipedia.org/w/index.php?search=%D0%98%D0%B3%D1%80%D0%BE%D0%BA%D0%B8%201978%20%D1%84%D0%B8%D0%BB%D1%8C%D0%BC","искать")</f>
        <v/>
      </c>
      <c r="N478" s="3" t="n"/>
      <c r="O478" s="2" t="n"/>
    </row>
    <row r="479">
      <c r="A479" s="2" t="n">
        <v>478</v>
      </c>
      <c r="B479" s="2" t="inlineStr">
        <is>
          <t>обрыв</t>
        </is>
      </c>
      <c r="C479" s="2" t="n">
        <v>7363</v>
      </c>
      <c r="D479" s="3" t="inlineStr">
        <is>
          <t>Володькина жизнь</t>
        </is>
      </c>
      <c r="E479" s="2" t="n">
        <v>1984</v>
      </c>
      <c r="F479" s="2" t="inlineStr">
        <is>
          <t>телефильм</t>
        </is>
      </c>
      <c r="G479" s="2" t="n"/>
      <c r="H479" s="2" t="n">
        <v>341</v>
      </c>
      <c r="I479" s="2" t="inlineStr">
        <is>
          <t>да</t>
        </is>
      </c>
      <c r="J479" s="2" t="inlineStr"/>
      <c r="K479" s="3" t="inlineStr">
        <is>
          <t>Теелфильм по роману Анатолия Буковского и Владимира Федорова "Вся Володькина жизнь".
О саратовском парне Володе Плесове. В шестнадцать лет мальчишка добровольцем ушел на фронт, воевал так, как воюют взрослые. Нашел много друзей, потерял любимую девушку. В канун Победы попал в госпиталь, получил орден и подумал, что надо возвращаться домой…</t>
        </is>
      </c>
      <c r="L479" s="2" t="inlineStr">
        <is>
          <t>Кино_СССР сводный каталог.xlsx: список телефильмов</t>
        </is>
      </c>
      <c r="M479" s="2">
        <f>HYPERLINK("https://ru.wikipedia.org/w/index.php?search=%D0%92%D0%BE%D0%BB%D0%BE%D0%B4%D1%8C%D0%BA%D0%B8%D0%BD%D0%B0%20%D0%B6%D0%B8%D0%B7%D0%BD%D1%8C%201984%20%D1%84%D0%B8%D0%BB%D1%8C%D0%BC","искать")</f>
        <v/>
      </c>
      <c r="N479" s="3" t="n"/>
      <c r="O479" s="2" t="n"/>
    </row>
    <row r="480">
      <c r="A480" s="2" t="n">
        <v>479</v>
      </c>
      <c r="B480" s="2" t="inlineStr">
        <is>
          <t>обрыв</t>
        </is>
      </c>
      <c r="C480" s="2" t="n">
        <v>10650</v>
      </c>
      <c r="D480" s="3" t="inlineStr">
        <is>
          <t>Клеверок-пятилистник</t>
        </is>
      </c>
      <c r="E480" s="2" t="n">
        <v>1976</v>
      </c>
      <c r="F480" s="2" t="inlineStr">
        <is>
          <t>фильм-спектакль</t>
        </is>
      </c>
      <c r="G480" s="2" t="inlineStr">
        <is>
          <t>LTV</t>
        </is>
      </c>
      <c r="H480" s="2" t="n">
        <v>341</v>
      </c>
      <c r="I480" s="2" t="inlineStr">
        <is>
          <t>да</t>
        </is>
      </c>
      <c r="J480" s="2" t="inlineStr"/>
      <c r="K480" s="3" t="inlineStr">
        <is>
          <t>Фильм-спектакль поставлен по одноименной комедии литовского драматурга, писателя, поэта и переводчика Балиса Сруоги (1896-1947).
Есть такое поверье, что если найдёшь клевер пятилистный, то тебя ожидает счастливый брак... Несколько мужчин из Союза холостяков хотят жениться, чтобы избежать высоких налогов, а подходящая невеста только одна...</t>
        </is>
      </c>
      <c r="L480" s="2" t="inlineStr">
        <is>
          <t>https://www.kino-teatr.ru/teatr/movie/95529/annot/</t>
        </is>
      </c>
      <c r="M480" s="2">
        <f>HYPERLINK("https://ru.wikipedia.org/w/index.php?search=%D0%9A%D0%BB%D0%B5%D0%B2%D0%B5%D1%80%D0%BE%D0%BA-%D0%BF%D1%8F%D1%82%D0%B8%D0%BB%D0%B8%D1%81%D1%82%D0%BD%D0%B8%D0%BA%201976%20%D1%84%D0%B8%D0%BB%D1%8C%D0%BC","искать")</f>
        <v/>
      </c>
      <c r="N480" s="3" t="n"/>
      <c r="O480" s="2" t="n"/>
    </row>
    <row r="481">
      <c r="A481" s="2" t="n">
        <v>480</v>
      </c>
      <c r="B481" s="2" t="inlineStr">
        <is>
          <t>обрыв</t>
        </is>
      </c>
      <c r="C481" s="2" t="n">
        <v>11097</v>
      </c>
      <c r="D481" s="3" t="inlineStr">
        <is>
          <t>Ваша дочь Александра</t>
        </is>
      </c>
      <c r="E481" s="2" t="n">
        <v>1986</v>
      </c>
      <c r="F481" s="2" t="inlineStr">
        <is>
          <t>фильм-спектакль</t>
        </is>
      </c>
      <c r="G481" s="2" t="inlineStr">
        <is>
          <t>ГЛАВНАЯ РЕДАКЦИЯ ЛИТЕРАТУРНО-ДРАМАТИЧЕСКИХ ПРОГРАММ ЦТ</t>
        </is>
      </c>
      <c r="H481" s="2" t="n">
        <v>342</v>
      </c>
      <c r="I481" s="2" t="inlineStr">
        <is>
          <t>да</t>
        </is>
      </c>
      <c r="J481" s="2" t="inlineStr"/>
      <c r="K481" s="3" t="inlineStr">
        <is>
          <t>По одноименной пьесе В.Ольшанского
Шестнадцатилетняя Александра, воспитывающаяся без отца, находит старое письмо мамы на имя Михаила Максимовича. Девушка решает, что это ее отец, узнает в адресном столе адреса всех Михаилов Максимовичей, проживающих в городе, и отправляет им письма с приглашением прийти к ней в гости в одно и то же время...</t>
        </is>
      </c>
      <c r="L481" s="2" t="inlineStr">
        <is>
          <t>https://www.kino-teatr.ru/teatr/movie/833/annot/</t>
        </is>
      </c>
      <c r="M481" s="2">
        <f>HYPERLINK("https://ru.wikipedia.org/w/index.php?search=%D0%92%D0%B0%D1%88%D0%B0%20%D0%B4%D0%BE%D1%87%D1%8C%20%D0%90%D0%BB%D0%B5%D0%BA%D1%81%D0%B0%D0%BD%D0%B4%D1%80%D0%B0%201986%20%D1%84%D0%B8%D0%BB%D1%8C%D0%BC","искать")</f>
        <v/>
      </c>
      <c r="N481" s="3" t="n"/>
      <c r="O481" s="2" t="n"/>
    </row>
    <row r="482">
      <c r="A482" s="2" t="n">
        <v>481</v>
      </c>
      <c r="B482" s="2" t="inlineStr">
        <is>
          <t>обрыв</t>
        </is>
      </c>
      <c r="C482" s="2" t="n">
        <v>10360</v>
      </c>
      <c r="D482" s="3" t="inlineStr">
        <is>
          <t>Зыковы</t>
        </is>
      </c>
      <c r="E482" s="2" t="n">
        <v>1970</v>
      </c>
      <c r="F482" s="2" t="inlineStr">
        <is>
          <t>фильм-спектакль</t>
        </is>
      </c>
      <c r="G482" s="2" t="inlineStr">
        <is>
          <t>Главная редакция литературно-драматических программ ЦТ</t>
        </is>
      </c>
      <c r="H482" s="2" t="n">
        <v>344</v>
      </c>
      <c r="I482" s="2" t="inlineStr">
        <is>
          <t>да</t>
        </is>
      </c>
      <c r="J482" s="2" t="inlineStr">
        <is>
          <t>да</t>
        </is>
      </c>
      <c r="K482" s="3" t="inlineStr">
        <is>
          <t>Фильм-спектакль по одноименной пьесе М.Горького в постановке Московского драматического театра имени А.С.Пушкина.
Пьеса “Зыковы” написана в 1912 году, в пору растерянности и депрессии русского общества, в период предвоенного духовного и нравственного упадка. Состояние мира обрисовано здесь одной лишь фразой: “образовалось смятение понятий”...</t>
        </is>
      </c>
      <c r="L482" s="2" t="inlineStr">
        <is>
          <t>https://www.kino-teatr.ru/teatr/movie/79518/annot/</t>
        </is>
      </c>
      <c r="M482" s="2">
        <f>HYPERLINK("https://ru.wikipedia.org/w/index.php?search=%D0%97%D1%8B%D0%BA%D0%BE%D0%B2%D1%8B%201970%20%D1%84%D0%B8%D0%BB%D1%8C%D0%BC","искать")</f>
        <v/>
      </c>
      <c r="N482" s="3" t="n"/>
      <c r="O482" s="2" t="n"/>
    </row>
    <row r="483">
      <c r="A483" s="2" t="n">
        <v>482</v>
      </c>
      <c r="B483" s="2" t="inlineStr">
        <is>
          <t>обрыв</t>
        </is>
      </c>
      <c r="C483" s="2" t="n">
        <v>10234</v>
      </c>
      <c r="D483" s="3" t="inlineStr">
        <is>
          <t>В тихой станице</t>
        </is>
      </c>
      <c r="E483" s="2" t="n">
        <v>1968</v>
      </c>
      <c r="F483" s="2" t="inlineStr">
        <is>
          <t>фильм-спектакль</t>
        </is>
      </c>
      <c r="G483" s="2" t="inlineStr">
        <is>
          <t>Гл. ред. литературно-драматических программ</t>
        </is>
      </c>
      <c r="H483" s="2" t="n">
        <v>348</v>
      </c>
      <c r="I483" s="2" t="inlineStr">
        <is>
          <t>да</t>
        </is>
      </c>
      <c r="J483" s="2" t="inlineStr"/>
      <c r="K483" s="3" t="inlineStr">
        <is>
          <t>Телеспектакль по повести Сергея Антонова.
Василиса Михайловна и её внучка живут в станице на окраине райцентра. К ним в гости часто заходит побеседовать Никодим Павлович, который ухаживает за Людой. Но не лежит душа у неё к этому скучному и очень "правильному" человеку. Однажды в сильную грозу в их доме появляется молодой гидростроитель Володя...</t>
        </is>
      </c>
      <c r="L483" s="2" t="inlineStr">
        <is>
          <t>https://www.kino-teatr.ru/teatr/movie/136942/annot/</t>
        </is>
      </c>
      <c r="M483" s="2">
        <f>HYPERLINK("https://ru.wikipedia.org/w/index.php?search=%D0%92%20%D1%82%D0%B8%D1%85%D0%BE%D0%B9%20%D1%81%D1%82%D0%B0%D0%BD%D0%B8%D1%86%D0%B5%201968%20%D1%84%D0%B8%D0%BB%D1%8C%D0%BC","искать")</f>
        <v/>
      </c>
      <c r="N483" s="3" t="n"/>
      <c r="O483" s="2" t="n"/>
    </row>
    <row r="484">
      <c r="A484" s="2" t="n">
        <v>483</v>
      </c>
      <c r="B484" s="2" t="inlineStr">
        <is>
          <t>обрыв</t>
        </is>
      </c>
      <c r="C484" s="2" t="n">
        <v>10545</v>
      </c>
      <c r="D484" s="3" t="inlineStr">
        <is>
          <t>Бесприданница</t>
        </is>
      </c>
      <c r="E484" s="2" t="n">
        <v>1974</v>
      </c>
      <c r="F484" s="2" t="inlineStr">
        <is>
          <t>фильм-спектакль</t>
        </is>
      </c>
      <c r="G484" s="2" t="inlineStr">
        <is>
          <t>Центральное телевидение</t>
        </is>
      </c>
      <c r="H484" s="2" t="n">
        <v>349</v>
      </c>
      <c r="I484" s="2" t="inlineStr">
        <is>
          <t>да</t>
        </is>
      </c>
      <c r="J484" s="2" t="inlineStr"/>
      <c r="K484" s="3" t="inlineStr">
        <is>
          <t>Телеэкранизация пьесы А.Н.Островского.
История Ларисы Огудаловой, полюбившей Сергея Сергеевича Паратова - человека, привыкшего жить на широкую ногу, импозантного помещика, не скупящегося на проявления чувств и не считающего деньги. Но Паратов смотрел на нее, как на забаву, и променял искреннее девичье чувство на деньги. Сердце Ларисы было разбито…</t>
        </is>
      </c>
      <c r="L484" s="2" t="inlineStr">
        <is>
          <t>https://www.kino-teatr.ru/teatr/movie/100124/annot/</t>
        </is>
      </c>
      <c r="M484" s="2">
        <f>HYPERLINK("https://ru.wikipedia.org/w/index.php?search=%D0%91%D0%B5%D1%81%D0%BF%D1%80%D0%B8%D0%B4%D0%B0%D0%BD%D0%BD%D0%B8%D1%86%D0%B0%201974%20%D1%84%D0%B8%D0%BB%D1%8C%D0%BC","искать")</f>
        <v/>
      </c>
      <c r="N484" s="3" t="n"/>
      <c r="O484" s="2" t="n"/>
    </row>
    <row r="485">
      <c r="A485" s="2" t="n">
        <v>484</v>
      </c>
      <c r="B485" s="2" t="inlineStr">
        <is>
          <t>обрыв</t>
        </is>
      </c>
      <c r="C485" s="2" t="n">
        <v>9417</v>
      </c>
      <c r="D485" s="3" t="inlineStr">
        <is>
          <t>Клещ</t>
        </is>
      </c>
      <c r="E485" s="2" t="n">
        <v>1990</v>
      </c>
      <c r="F485" s="2" t="inlineStr">
        <is>
          <t>кинофильм</t>
        </is>
      </c>
      <c r="G485" s="2" t="n"/>
      <c r="H485" s="2" t="n">
        <v>350</v>
      </c>
      <c r="I485" s="2" t="inlineStr">
        <is>
          <t>да</t>
        </is>
      </c>
      <c r="J485" s="2" t="inlineStr"/>
      <c r="K485" s="3" t="inlineStr">
        <is>
          <t>Капитана милиции Адиля Ахтанова по прозвищу Клещ подозревают в убийстве — таковы улики и показания подсудимого очередного дела, которое вел капитан. Тем не менее непосредственный шеф Ахтанова поручает ему провести неофициальное расследование гибели работников ГАИ. Клещ берется за новое дело — и очень скоро выносит приговор своему шефу, главе мафии…</t>
        </is>
      </c>
      <c r="L485" s="2" t="inlineStr">
        <is>
          <t>Кино_СССР сводный каталог.xlsx: список фильмов (доп.)</t>
        </is>
      </c>
      <c r="M485" s="2">
        <f>HYPERLINK("https://ru.wikipedia.org/w/index.php?search=%D0%9A%D0%BB%D0%B5%D1%89%201990%20%D1%84%D0%B8%D0%BB%D1%8C%D0%BC","искать")</f>
        <v/>
      </c>
      <c r="N485" s="3" t="n"/>
      <c r="O485" s="2" t="n"/>
    </row>
    <row r="486">
      <c r="A486" s="2" t="n">
        <v>485</v>
      </c>
      <c r="B486" s="2" t="inlineStr">
        <is>
          <t>обрыв</t>
        </is>
      </c>
      <c r="C486" s="2" t="n">
        <v>10532</v>
      </c>
      <c r="D486" s="3" t="inlineStr">
        <is>
          <t>Фредерик Моро</t>
        </is>
      </c>
      <c r="E486" s="2" t="n">
        <v>1973</v>
      </c>
      <c r="F486" s="2" t="inlineStr">
        <is>
          <t>фильм-спектакль</t>
        </is>
      </c>
      <c r="G486" s="2" t="inlineStr">
        <is>
          <t>Гл. ред. лит-драм программ</t>
        </is>
      </c>
      <c r="H486" s="2" t="n">
        <v>350</v>
      </c>
      <c r="I486" s="2" t="inlineStr">
        <is>
          <t>да</t>
        </is>
      </c>
      <c r="J486" s="2" t="inlineStr"/>
      <c r="K486" s="3" t="inlineStr">
        <is>
          <t>По роману Г.Флобера "Воспитание чувств".
Главный герой телеспектакля - Фредерик Моро - молодой писатель, романтик, мечтатель - живет ожиданием радужных перемен. Любовь к госпоже Арну наполняет его сердце. Но нет у него четкой жизненной позиции, настойчивости в достижении цели. Поэтому, великим писателем он не стал, любовь потеряна, мечты разбиты...</t>
        </is>
      </c>
      <c r="L486" s="2" t="inlineStr">
        <is>
          <t>https://www.kino-teatr.ru/teatr/movie/16786/annot/</t>
        </is>
      </c>
      <c r="M486" s="2">
        <f>HYPERLINK("https://ru.wikipedia.org/w/index.php?search=%D0%A4%D1%80%D0%B5%D0%B4%D0%B5%D1%80%D0%B8%D0%BA%20%D0%9C%D0%BE%D1%80%D0%BE%201973%20%D1%84%D0%B8%D0%BB%D1%8C%D0%BC","искать")</f>
        <v/>
      </c>
      <c r="N486" s="3" t="n"/>
      <c r="O486" s="2" t="n"/>
    </row>
    <row r="487">
      <c r="A487" s="2" t="n">
        <v>486</v>
      </c>
      <c r="B487" s="2" t="inlineStr">
        <is>
          <t>обрыв</t>
        </is>
      </c>
      <c r="C487" s="2" t="n">
        <v>10657</v>
      </c>
      <c r="D487" s="3" t="inlineStr">
        <is>
          <t>Мы - мужчины</t>
        </is>
      </c>
      <c r="E487" s="2" t="n">
        <v>1976</v>
      </c>
      <c r="F487" s="2" t="inlineStr">
        <is>
          <t>фильм-спектакль</t>
        </is>
      </c>
      <c r="G487" s="2" t="n"/>
      <c r="H487" s="2" t="n">
        <v>352</v>
      </c>
      <c r="I487" s="2" t="inlineStr">
        <is>
          <t>да</t>
        </is>
      </c>
      <c r="J487" s="2" t="inlineStr"/>
      <c r="K487" s="3" t="inlineStr">
        <is>
          <t>Главный герой спектакля — учитель труда и военного дела — человек немолодой, прошедший войну и воспитавший двоих детей.
Случайно ему в руки попадает любовное послание старинного друга семьи, которое адресовано его жене. И наш герой решает защитить свою честь старомодным способом — вызвать соперника на дуэль. И как это ни странно — вызов был принят...</t>
        </is>
      </c>
      <c r="L487" s="2" t="inlineStr">
        <is>
          <t>https://www.kino-teatr.ru/teatr/movie/93593/annot/</t>
        </is>
      </c>
      <c r="M487" s="2">
        <f>HYPERLINK("https://ru.wikipedia.org/w/index.php?search=%D0%9C%D1%8B%20-%20%D0%BC%D1%83%D0%B6%D1%87%D0%B8%D0%BD%D1%8B%201976%20%D1%84%D0%B8%D0%BB%D1%8C%D0%BC","искать")</f>
        <v/>
      </c>
      <c r="N487" s="3" t="n"/>
      <c r="O487" s="2" t="n"/>
    </row>
    <row r="488">
      <c r="A488" s="2" t="n">
        <v>487</v>
      </c>
      <c r="B488" s="2" t="inlineStr">
        <is>
          <t>обрыв</t>
        </is>
      </c>
      <c r="C488" s="2" t="n">
        <v>11239</v>
      </c>
      <c r="D488" s="3" t="inlineStr">
        <is>
          <t>Этот фантастический мир. Выпуск 14</t>
        </is>
      </c>
      <c r="E488" s="2" t="n">
        <v>1988</v>
      </c>
      <c r="F488" s="2" t="inlineStr">
        <is>
          <t>фильм-спектакль</t>
        </is>
      </c>
      <c r="G488" s="2" t="inlineStr">
        <is>
          <t>Главная редакция программ для детей и юношества ЦТ</t>
        </is>
      </c>
      <c r="H488" s="2" t="n">
        <v>353</v>
      </c>
      <c r="I488" s="2" t="inlineStr">
        <is>
          <t>да</t>
        </is>
      </c>
      <c r="J488" s="2" t="inlineStr"/>
      <c r="K488" s="3" t="inlineStr">
        <is>
          <t>В основе сюжета - произведения Кира Булычева: рассказ «Летнее утро» и повесть «Умение кидать мяч».
Совершенно заурядной личности, Коленкину, в порядке эксперимента вводят в кровь препарат, который делает его необыкновенно метким при броске мяча. Получив такие возможности, он попадает в баскетбольную команду и участвует в ответственных соревнованиях...</t>
        </is>
      </c>
      <c r="L488" s="2" t="inlineStr">
        <is>
          <t>https://www.kino-teatr.ru/teatr/movie/78749/annot/</t>
        </is>
      </c>
      <c r="M488" s="2">
        <f>HYPERLINK("https://ru.wikipedia.org/w/index.php?search=%D0%AD%D1%82%D0%BE%D1%82%20%D1%84%D0%B0%D0%BD%D1%82%D0%B0%D1%81%D1%82%D0%B8%D1%87%D0%B5%D1%81%D0%BA%D0%B8%D0%B9%20%D0%BC%D0%B8%D1%80.%20%D0%92%D1%8B%D0%BF%D1%83%D1%81%D0%BA%2014%201988%20%D1%84%D0%B8%D0%BB%D1%8C%D0%BC","искать")</f>
        <v/>
      </c>
      <c r="N488" s="3" t="n"/>
      <c r="O488" s="2" t="n"/>
    </row>
    <row r="489">
      <c r="A489" s="2" t="n">
        <v>488</v>
      </c>
      <c r="B489" s="2" t="inlineStr">
        <is>
          <t>обрыв</t>
        </is>
      </c>
      <c r="C489" s="2" t="n">
        <v>11276</v>
      </c>
      <c r="D489" s="3" t="inlineStr">
        <is>
          <t>Приговор</t>
        </is>
      </c>
      <c r="E489" s="2" t="n">
        <v>1989</v>
      </c>
      <c r="F489" s="2" t="inlineStr">
        <is>
          <t>фильм-спектакль</t>
        </is>
      </c>
      <c r="G489" s="2" t="inlineStr">
        <is>
          <t>Гл. ред. лит-драм программ</t>
        </is>
      </c>
      <c r="H489" s="2" t="n">
        <v>353</v>
      </c>
      <c r="I489" s="2" t="inlineStr">
        <is>
          <t>да</t>
        </is>
      </c>
      <c r="J489" s="2" t="inlineStr"/>
      <c r="K489" s="3" t="inlineStr">
        <is>
          <t>В центре телеспектакля - судебный процесс над бывшим председателем облисполкома Кругловым, человеком, снискавшим своей грубостью, жестокостью и барством неприязнь населения. Судья приходит к выводу, что обвинение Круглова во взяточничестве, материалами дела не доказано. Осудить же его на основании сложившегося общественного мнения он не имеет права...</t>
        </is>
      </c>
      <c r="L489" s="2" t="inlineStr">
        <is>
          <t>https://www.kino-teatr.ru/teatr/movie/17232/annot/</t>
        </is>
      </c>
      <c r="M489" s="2">
        <f>HYPERLINK("https://ru.wikipedia.org/w/index.php?search=%D0%9F%D1%80%D0%B8%D0%B3%D0%BE%D0%B2%D0%BE%D1%80%201989%20%D1%84%D0%B8%D0%BB%D1%8C%D0%BC","искать")</f>
        <v/>
      </c>
      <c r="N489" s="3" t="n"/>
      <c r="O489" s="2" t="n"/>
    </row>
    <row r="490">
      <c r="A490" s="2" t="n">
        <v>489</v>
      </c>
      <c r="B490" s="2" t="inlineStr">
        <is>
          <t>обрыв</t>
        </is>
      </c>
      <c r="C490" s="2" t="n">
        <v>10154</v>
      </c>
      <c r="D490" s="3" t="inlineStr">
        <is>
          <t>Сказка</t>
        </is>
      </c>
      <c r="E490" s="2" t="n">
        <v>1965</v>
      </c>
      <c r="F490" s="2" t="inlineStr">
        <is>
          <t>фильм-спектакль</t>
        </is>
      </c>
      <c r="G490" s="2" t="inlineStr">
        <is>
          <t>Ленинградская студия телевидения</t>
        </is>
      </c>
      <c r="H490" s="2" t="n">
        <v>354</v>
      </c>
      <c r="I490" s="2" t="inlineStr">
        <is>
          <t>да</t>
        </is>
      </c>
      <c r="J490" s="2" t="inlineStr"/>
      <c r="K490" s="3" t="inlineStr">
        <is>
          <t>Телеспектакль по романтической пьесе Михаила Светлова "Сказка" о воспитании молодежи.
Герои, стремятся ценою любых испытаний и жертв найти необходимые стране золотоносные жилы и россыпи, а рядом с ними действуют отъявленные злодеи, всячески пытающиеся сорвать их планы и замыслы: это определяет сюжетную напряженность и драматические события спектакля...</t>
        </is>
      </c>
      <c r="L490" s="2" t="inlineStr">
        <is>
          <t>https://www.kino-teatr.ru/teatr/movie/123886/annot/</t>
        </is>
      </c>
      <c r="M490" s="2">
        <f>HYPERLINK("https://ru.wikipedia.org/w/index.php?search=%D0%A1%D0%BA%D0%B0%D0%B7%D0%BA%D0%B0%201965%20%D1%84%D0%B8%D0%BB%D1%8C%D0%BC","искать")</f>
        <v/>
      </c>
      <c r="N490" s="3" t="n"/>
      <c r="O490" s="2" t="n"/>
    </row>
    <row r="491">
      <c r="A491" s="2" t="n">
        <v>490</v>
      </c>
      <c r="B491" s="2" t="inlineStr">
        <is>
          <t>обрыв</t>
        </is>
      </c>
      <c r="C491" s="2" t="n">
        <v>10393</v>
      </c>
      <c r="D491" s="3" t="inlineStr">
        <is>
          <t>Заговор</t>
        </is>
      </c>
      <c r="E491" s="2" t="n">
        <v>1971</v>
      </c>
      <c r="F491" s="2" t="inlineStr">
        <is>
          <t>фильм-спектакль</t>
        </is>
      </c>
      <c r="G491" s="2" t="inlineStr">
        <is>
          <t>Главная редакция литературно-драматических программ ЦТ</t>
        </is>
      </c>
      <c r="H491" s="2" t="n">
        <v>355</v>
      </c>
      <c r="I491" s="2" t="inlineStr">
        <is>
          <t>да</t>
        </is>
      </c>
      <c r="J491" s="2" t="inlineStr"/>
      <c r="K491" s="3" t="inlineStr">
        <is>
          <t>По мотивам романа американских журналистов Ф.Нибеля и Ч.Бейли "Семь дней в мае".
О вымышленных событиях, которые могли бы произойти в 1974 году в США. Высшие чины Пентагона готовят заговор против Президента Лимена с целью захвата власти. Об этом становится известно сторонникам президента, которые намечают контрмеры. Но спасти Лимена все же не удается...</t>
        </is>
      </c>
      <c r="L491" s="2" t="inlineStr">
        <is>
          <t>https://www.kino-teatr.ru/teatr/movie/17650/annot/</t>
        </is>
      </c>
      <c r="M491" s="2">
        <f>HYPERLINK("https://ru.wikipedia.org/w/index.php?search=%D0%97%D0%B0%D0%B3%D0%BE%D0%B2%D0%BE%D1%80%201971%20%D1%84%D0%B8%D0%BB%D1%8C%D0%BC","искать")</f>
        <v/>
      </c>
      <c r="N491" s="3" t="n"/>
      <c r="O491" s="2" t="n"/>
    </row>
    <row r="492">
      <c r="A492" s="2" t="n">
        <v>491</v>
      </c>
      <c r="B492" s="2" t="inlineStr">
        <is>
          <t>обрыв</t>
        </is>
      </c>
      <c r="C492" s="2" t="n">
        <v>11278</v>
      </c>
      <c r="D492" s="3" t="inlineStr">
        <is>
          <t>Самоубийца</t>
        </is>
      </c>
      <c r="E492" s="2" t="n">
        <v>1989</v>
      </c>
      <c r="F492" s="2" t="inlineStr">
        <is>
          <t>фильм-спектакль</t>
        </is>
      </c>
      <c r="G492" s="2" t="inlineStr">
        <is>
          <t>Гл. ред. лит-драм программ</t>
        </is>
      </c>
      <c r="H492" s="2" t="n">
        <v>355</v>
      </c>
      <c r="I492" s="2" t="inlineStr">
        <is>
          <t>да</t>
        </is>
      </c>
      <c r="J492" s="2" t="inlineStr"/>
      <c r="K492" s="3" t="inlineStr">
        <is>
          <t>Телеспектакль по одноименной пьесе Н.Эрдмана в постановке Московского академического театра Сатиры.
Середина 1920-х годов, расцвет НЭПа.
Подсекальников - недалекий человек, нигде не работающий и постоянно скандалящий с женой и тещей, подумывает о самоубийстве, так как жить за счёт жены и тёщи невозможно. Его сосед Калабушкин решает на этом заработать...</t>
        </is>
      </c>
      <c r="L492" s="2" t="inlineStr">
        <is>
          <t>https://www.kino-teatr.ru/teatr/movie/6190/annot/</t>
        </is>
      </c>
      <c r="M492" s="2">
        <f>HYPERLINK("https://ru.wikipedia.org/w/index.php?search=%D0%A1%D0%B0%D0%BC%D0%BE%D1%83%D0%B1%D0%B8%D0%B9%D1%86%D0%B0%201989%20%D1%84%D0%B8%D0%BB%D1%8C%D0%BC","искать")</f>
        <v/>
      </c>
      <c r="N492" s="3" t="n"/>
      <c r="O492" s="2" t="n"/>
    </row>
    <row r="493">
      <c r="A493" s="2" t="n">
        <v>492</v>
      </c>
      <c r="B493" s="2" t="inlineStr">
        <is>
          <t>обрыв</t>
        </is>
      </c>
      <c r="C493" s="2" t="n">
        <v>10334</v>
      </c>
      <c r="D493" s="3" t="inlineStr">
        <is>
          <t>Студент</t>
        </is>
      </c>
      <c r="E493" s="2" t="n">
        <v>1969</v>
      </c>
      <c r="F493" s="2" t="inlineStr">
        <is>
          <t>фильм-спектакль</t>
        </is>
      </c>
      <c r="G493" s="2" t="inlineStr">
        <is>
          <t>Главная редакция литературно-драматических программ ЦТ</t>
        </is>
      </c>
      <c r="H493" s="2" t="n">
        <v>356</v>
      </c>
      <c r="I493" s="2" t="inlineStr">
        <is>
          <t>да</t>
        </is>
      </c>
      <c r="J493" s="2" t="inlineStr"/>
      <c r="K493" s="3" t="inlineStr">
        <is>
          <t>По одноименной комедии А.Грибоедова, написанной совместно с П.Катениным.
Молодой провинциал Беневольский, окончивший курс Казанского университета, появляется в Петербурге в доме знатного вельможи Звездова, обещавшего когда-то оказать ему протекцию и женить на своей воспитаннице Вареньке. Беневольский полон надежд и мечтаний, которым не суждено сбыться...</t>
        </is>
      </c>
      <c r="L493" s="2" t="inlineStr">
        <is>
          <t>https://www.kino-teatr.ru/teatr/movie/16364/annot/</t>
        </is>
      </c>
      <c r="M493" s="2">
        <f>HYPERLINK("https://ru.wikipedia.org/w/index.php?search=%D0%A1%D1%82%D1%83%D0%B4%D0%B5%D0%BD%D1%82%201969%20%D1%84%D0%B8%D0%BB%D1%8C%D0%BC","искать")</f>
        <v/>
      </c>
      <c r="N493" s="3" t="n"/>
      <c r="O493" s="2" t="n"/>
    </row>
    <row r="494">
      <c r="A494" s="2" t="n">
        <v>493</v>
      </c>
      <c r="B494" s="2" t="inlineStr">
        <is>
          <t>обрыв</t>
        </is>
      </c>
      <c r="C494" s="2" t="n">
        <v>10451</v>
      </c>
      <c r="D494" s="3" t="inlineStr">
        <is>
          <t>Моби Дик</t>
        </is>
      </c>
      <c r="E494" s="2" t="n">
        <v>1972</v>
      </c>
      <c r="F494" s="2" t="inlineStr">
        <is>
          <t>фильм-спектакль</t>
        </is>
      </c>
      <c r="G494" s="2" t="n"/>
      <c r="H494" s="2" t="n">
        <v>360</v>
      </c>
      <c r="I494" s="2" t="inlineStr">
        <is>
          <t>да</t>
        </is>
      </c>
      <c r="J494" s="2" t="inlineStr"/>
      <c r="K494" s="3" t="inlineStr">
        <is>
          <t>Телевизионный спектакль по роману Германа Мелвилла "Моби Дик, или Белый кит". Телеспектакль начинается рассказом американского моряка Измаила, ушедшего в рейс на китобойном судне, капитан которого, Ахав, одержим идеей мести гигантскому белому киту, известному как Моби Дик (в предыдущем плавании он откусил Ахаве ногу, и с тех пор капитан использует протез)...</t>
        </is>
      </c>
      <c r="L494" s="2" t="inlineStr">
        <is>
          <t>https://www.kino-teatr.ru/teatr/movie/101081/annot/</t>
        </is>
      </c>
      <c r="M494" s="2">
        <f>HYPERLINK("https://ru.wikipedia.org/w/index.php?search=%D0%9C%D0%BE%D0%B1%D0%B8%20%D0%94%D0%B8%D0%BA%201972%20%D1%84%D0%B8%D0%BB%D1%8C%D0%BC","искать")</f>
        <v/>
      </c>
      <c r="N494" s="3" t="n"/>
      <c r="O494" s="2" t="n"/>
    </row>
    <row r="495">
      <c r="A495" s="2" t="n">
        <v>494</v>
      </c>
      <c r="B495" s="2" t="inlineStr">
        <is>
          <t>обрыв</t>
        </is>
      </c>
      <c r="C495" s="2" t="n">
        <v>11298</v>
      </c>
      <c r="D495" s="3" t="inlineStr">
        <is>
          <t>Долой огуречного короля</t>
        </is>
      </c>
      <c r="E495" s="2" t="n">
        <v>1990</v>
      </c>
      <c r="F495" s="2" t="inlineStr">
        <is>
          <t>фильм-спектакль</t>
        </is>
      </c>
      <c r="G495" s="2" t="inlineStr">
        <is>
          <t>Центральное телевидение (Главная редакция программ для детей ()</t>
        </is>
      </c>
      <c r="H495" s="2" t="n">
        <v>361</v>
      </c>
      <c r="I495" s="2" t="inlineStr">
        <is>
          <t>да</t>
        </is>
      </c>
      <c r="J495" s="2" t="inlineStr"/>
      <c r="K495" s="3" t="inlineStr">
        <is>
          <t>По одноименной повести австрийской писательницы К.Нестлингер.
В семье Хогельманов неожиданно появился огуречный король Куми-Ори, злой правитель подземного царства, которого прогнали его подданные. С появлением Куми-Ори в семье начались раздоры. Дети Вольф и Ник попытались перевоспитать огуречного короля и своего отца Мартина, попавшего под влияние Куми-Ори...</t>
        </is>
      </c>
      <c r="L495" s="2" t="inlineStr">
        <is>
          <t>https://www.kino-teatr.ru/teatr/movie/1938/annot/</t>
        </is>
      </c>
      <c r="M495" s="2">
        <f>HYPERLINK("https://ru.wikipedia.org/w/index.php?search=%D0%94%D0%BE%D0%BB%D0%BE%D0%B9%20%D0%BE%D0%B3%D1%83%D1%80%D0%B5%D1%87%D0%BD%D0%BE%D0%B3%D0%BE%20%D0%BA%D0%BE%D1%80%D0%BE%D0%BB%D1%8F%201990%20%D1%84%D0%B8%D0%BB%D1%8C%D0%BC","искать")</f>
        <v/>
      </c>
      <c r="N495" s="3" t="n"/>
      <c r="O495" s="2" t="n"/>
    </row>
    <row r="496">
      <c r="A496" s="2" t="n">
        <v>495</v>
      </c>
      <c r="B496" s="2" t="inlineStr">
        <is>
          <t>обрыв</t>
        </is>
      </c>
      <c r="C496" s="2" t="n">
        <v>8399</v>
      </c>
      <c r="D496" s="3" t="inlineStr">
        <is>
          <t>Старые друзья</t>
        </is>
      </c>
      <c r="E496" s="2" t="n">
        <v>1977</v>
      </c>
      <c r="F496" s="2" t="inlineStr">
        <is>
          <t>телефильм</t>
        </is>
      </c>
      <c r="G496" s="2" t="inlineStr">
        <is>
          <t>Лентелефильм</t>
        </is>
      </c>
      <c r="H496" s="2" t="n">
        <v>366</v>
      </c>
      <c r="I496" s="2" t="inlineStr">
        <is>
          <t>да</t>
        </is>
      </c>
      <c r="J496" s="2" t="inlineStr"/>
      <c r="K496" s="3" t="inlineStr">
        <is>
          <t>Телефильм по одноименной пьесе Л. Малюгина.
О ленинградских школьниках, окончивших школу в 1941 году. Придя на день рождения к бывшей однокласснице, они веселятся, поют, читают стихи, признаются ей в любви и пьют за то, чтобы каждый год в этот день встречаться. А на следующий день началась война, отодвинув надолго, а для кого-то – навсегда - планы, мечты, надежды…</t>
        </is>
      </c>
      <c r="L496" s="2" t="inlineStr">
        <is>
          <t>Кино_СССР сводный каталог.xlsx: список телефильмов</t>
        </is>
      </c>
      <c r="M496" s="2">
        <f>HYPERLINK("https://ru.wikipedia.org/w/index.php?search=%D0%A1%D1%82%D0%B0%D1%80%D1%8B%D0%B5%20%D0%B4%D1%80%D1%83%D0%B7%D1%8C%D1%8F%201977%20%D1%84%D0%B8%D0%BB%D1%8C%D0%BC","искать")</f>
        <v/>
      </c>
      <c r="N496" s="3" t="n"/>
      <c r="O496" s="2" t="n"/>
    </row>
    <row r="497">
      <c r="A497" s="2" t="n">
        <v>496</v>
      </c>
      <c r="B497" s="2" t="inlineStr">
        <is>
          <t>обрыв</t>
        </is>
      </c>
      <c r="C497" s="2" t="n">
        <v>10624</v>
      </c>
      <c r="D497" s="3" t="inlineStr">
        <is>
          <t>Свадьба Кречинского</t>
        </is>
      </c>
      <c r="E497" s="2" t="n">
        <v>1975</v>
      </c>
      <c r="F497" s="2" t="inlineStr">
        <is>
          <t>фильм-спектакль</t>
        </is>
      </c>
      <c r="G497" s="2" t="inlineStr">
        <is>
          <t>Творческое объединение "Экран"</t>
        </is>
      </c>
      <c r="H497" s="2" t="n">
        <v>369</v>
      </c>
      <c r="I497" s="2" t="inlineStr">
        <is>
          <t>да</t>
        </is>
      </c>
      <c r="J497" s="2" t="inlineStr"/>
      <c r="K497" s="3" t="inlineStr">
        <is>
          <t>Телеспектакль по одноименной пьесе А. Сухово-Кобылина. Телевизионная запись спектакля Малого театра в Москве.
Заядлый картежник и шулер Михаил Васильевич Кречинский проигрывает крупную сумму денег. Кредиторы одолевают его со всех сторон. Единственный выход - женитьба на богатой девушке. Чтобы получить благословение отца и ускорить свадьбу, Кречинский идет на обман...</t>
        </is>
      </c>
      <c r="L497" s="2" t="inlineStr">
        <is>
          <t>https://www.kino-teatr.ru/teatr/movie/16438/annot/</t>
        </is>
      </c>
      <c r="M497" s="2">
        <f>HYPERLINK("https://ru.wikipedia.org/w/index.php?search=%D0%A1%D0%B2%D0%B0%D0%B4%D1%8C%D0%B1%D0%B0%20%D0%9A%D1%80%D0%B5%D1%87%D0%B8%D0%BD%D1%81%D0%BA%D0%BE%D0%B3%D0%BE%201975%20%D1%84%D0%B8%D0%BB%D1%8C%D0%BC","искать")</f>
        <v/>
      </c>
      <c r="N497" s="3" t="n"/>
      <c r="O497" s="2" t="n"/>
    </row>
    <row r="498">
      <c r="A498" s="2" t="n">
        <v>497</v>
      </c>
      <c r="B498" s="2" t="inlineStr">
        <is>
          <t>обрыв</t>
        </is>
      </c>
      <c r="C498" s="2" t="n">
        <v>10834</v>
      </c>
      <c r="D498" s="3" t="inlineStr">
        <is>
          <t>Берег</t>
        </is>
      </c>
      <c r="E498" s="2" t="n">
        <v>1980</v>
      </c>
      <c r="F498" s="2" t="inlineStr">
        <is>
          <t>фильм-спектакль</t>
        </is>
      </c>
      <c r="G498" s="2" t="inlineStr">
        <is>
          <t>Центральное телевидение</t>
        </is>
      </c>
      <c r="H498" s="2" t="n">
        <v>371</v>
      </c>
      <c r="I498" s="2" t="inlineStr">
        <is>
          <t>да</t>
        </is>
      </c>
      <c r="J498" s="2" t="inlineStr"/>
      <c r="K498" s="3" t="inlineStr">
        <is>
          <t>Телевизионная запись спектакля, поставленного по роману Ю.Бондарева в Малом театре.
Писатель Вадим Никитин приехал в Гамбург, где издается его роман. В памяти Никитина воскресает Германия, последние бои за победу в 1945 году. И был тогда короткий отдых в немецком городке, и была Эмма, молодая немка, в которую он был влюблен... Спустя сорок лет, они встречаются вновь...</t>
        </is>
      </c>
      <c r="L498" s="2" t="inlineStr">
        <is>
          <t>https://www.kino-teatr.ru/teatr/movie/15085/annot/</t>
        </is>
      </c>
      <c r="M498" s="2">
        <f>HYPERLINK("https://ru.wikipedia.org/w/index.php?search=%D0%91%D0%B5%D1%80%D0%B5%D0%B3%201980%20%D1%84%D0%B8%D0%BB%D1%8C%D0%BC","искать")</f>
        <v/>
      </c>
      <c r="N498" s="3" t="n"/>
      <c r="O498" s="2" t="n"/>
    </row>
    <row r="499">
      <c r="A499" s="2" t="n">
        <v>498</v>
      </c>
      <c r="B499" s="2" t="inlineStr">
        <is>
          <t>обрыв</t>
        </is>
      </c>
      <c r="C499" s="2" t="n">
        <v>8921</v>
      </c>
      <c r="D499" s="3" t="inlineStr">
        <is>
          <t>Пегий пес, бегущий краем моря</t>
        </is>
      </c>
      <c r="E499" s="2" t="n">
        <v>1990</v>
      </c>
      <c r="F499" s="2" t="inlineStr">
        <is>
          <t>кинофильм</t>
        </is>
      </c>
      <c r="G499" s="2" t="n"/>
      <c r="H499" s="2" t="n">
        <v>372</v>
      </c>
      <c r="I499" s="2" t="inlineStr">
        <is>
          <t>да</t>
        </is>
      </c>
      <c r="J499" s="2" t="inlineStr"/>
      <c r="K499" s="3" t="inlineStr">
        <is>
          <t>По одноименной повести Чингиза Айтматова. Герои фильма - нивхи, представители маленькой северной народности. Десятилетний мальчик вместе с дедом, отцом и дядей впервые выходит на промысел. Hо охотников на тюленей подстерегает беда: на море опускается туман, и они теряют берег. Когда запасы пищи подходят к концу, мужчины решают ценой своей жизни сохранить жизнь мальчика…</t>
        </is>
      </c>
      <c r="L499" s="2" t="inlineStr">
        <is>
          <t>Кино_СССР сводный каталог.xlsx: список фильмов (доп.)</t>
        </is>
      </c>
      <c r="M499" s="2">
        <f>HYPERLINK("https://ru.wikipedia.org/w/index.php?search=%D0%9F%D0%B5%D0%B3%D0%B8%D0%B9%20%D0%BF%D0%B5%D1%81%2C%20%D0%B1%D0%B5%D0%B3%D1%83%D1%89%D0%B8%D0%B9%20%D0%BA%D1%80%D0%B0%D0%B5%D0%BC%20%D0%BC%D0%BE%D1%80%D1%8F%201990%20%D1%84%D0%B8%D0%BB%D1%8C%D0%BC","искать")</f>
        <v/>
      </c>
      <c r="N499" s="3" t="n"/>
      <c r="O499" s="2" t="n"/>
    </row>
    <row r="500">
      <c r="A500" s="2" t="n">
        <v>499</v>
      </c>
      <c r="B500" s="2" t="inlineStr">
        <is>
          <t>обрыв</t>
        </is>
      </c>
      <c r="C500" s="2" t="n">
        <v>10930</v>
      </c>
      <c r="D500" s="3" t="inlineStr">
        <is>
          <t>Америка в бане</t>
        </is>
      </c>
      <c r="E500" s="2" t="n">
        <v>1982</v>
      </c>
      <c r="F500" s="2" t="inlineStr">
        <is>
          <t>фильм-спектакль</t>
        </is>
      </c>
      <c r="G500" s="2" t="n"/>
      <c r="H500" s="2" t="n">
        <v>372</v>
      </c>
      <c r="I500" s="2" t="inlineStr">
        <is>
          <t>да</t>
        </is>
      </c>
      <c r="J500" s="2" t="inlineStr"/>
      <c r="K500" s="3" t="inlineStr">
        <is>
          <t>Весёлый водевиль А.Кятуракиса, главный герой которого – изворотливый сельский портной Винцас – предлагает зажиточному, но прижимистому землевладельцу Антанасу одолжить своему обедневшему соседу пару тысяч рублей и за это получить в жёны с большим приданым его дочь Аготу. Затем Винцас без труда уговаривает Аготу украсть у отца одолженные деньги и вместе бежать в Америку…</t>
        </is>
      </c>
      <c r="L500" s="2" t="inlineStr">
        <is>
          <t>https://www.kino-teatr.ru/teatr/movie/103639/annot/</t>
        </is>
      </c>
      <c r="M500" s="2">
        <f>HYPERLINK("https://ru.wikipedia.org/w/index.php?search=%D0%90%D0%BC%D0%B5%D1%80%D0%B8%D0%BA%D0%B0%20%D0%B2%20%D0%B1%D0%B0%D0%BD%D0%B5%201982%20%D1%84%D0%B8%D0%BB%D1%8C%D0%BC","искать")</f>
        <v/>
      </c>
      <c r="N500" s="3" t="n"/>
      <c r="O500" s="2" t="n"/>
    </row>
    <row r="501">
      <c r="A501" s="2" t="n">
        <v>500</v>
      </c>
      <c r="B501" s="2" t="inlineStr">
        <is>
          <t>обрыв</t>
        </is>
      </c>
      <c r="C501" s="2" t="n">
        <v>11240</v>
      </c>
      <c r="D501" s="3" t="inlineStr">
        <is>
          <t>Эшелон</t>
        </is>
      </c>
      <c r="E501" s="2" t="n">
        <v>1988</v>
      </c>
      <c r="F501" s="2" t="inlineStr">
        <is>
          <t>фильм-спектакль</t>
        </is>
      </c>
      <c r="G501" s="2" t="inlineStr">
        <is>
          <t>Главная редакция литературно-драматических программ ЦТ</t>
        </is>
      </c>
      <c r="H501" s="2" t="n">
        <v>373</v>
      </c>
      <c r="I501" s="2" t="inlineStr">
        <is>
          <t>да</t>
        </is>
      </c>
      <c r="J501" s="2" t="inlineStr"/>
      <c r="K501" s="3" t="inlineStr">
        <is>
          <t>По одноименной пьесе М.Рощина в постановке Московского театра "Современник" (1976 год, постановка Г.Волчек, И.Райхельгауз).
Действие происходит осенью 1941 года. В эшелоне, который медленно движется на восток, едут эвакуированные семьи рабочих и служащих одного из московских заводов. Постепенно страх и отчужденность сменяются теплом человеческого участия и содружества...</t>
        </is>
      </c>
      <c r="L501" s="2" t="inlineStr">
        <is>
          <t>https://www.kino-teatr.ru/teatr/movie/17055/annot/</t>
        </is>
      </c>
      <c r="M501" s="2">
        <f>HYPERLINK("https://ru.wikipedia.org/w/index.php?search=%D0%AD%D1%88%D0%B5%D0%BB%D0%BE%D0%BD%201988%20%D1%84%D0%B8%D0%BB%D1%8C%D0%BC","искать")</f>
        <v/>
      </c>
      <c r="N501" s="3" t="n"/>
      <c r="O501" s="2" t="n"/>
    </row>
    <row r="502">
      <c r="A502" s="2" t="n">
        <v>501</v>
      </c>
      <c r="B502" s="2" t="inlineStr">
        <is>
          <t>обрыв</t>
        </is>
      </c>
      <c r="C502" s="2" t="n">
        <v>9842</v>
      </c>
      <c r="D502" s="3" t="inlineStr">
        <is>
          <t>Стюардесса</t>
        </is>
      </c>
      <c r="E502" s="2" t="n">
        <v>1967</v>
      </c>
      <c r="F502" s="2" t="inlineStr">
        <is>
          <t>телефильм</t>
        </is>
      </c>
      <c r="G502" s="2" t="inlineStr">
        <is>
          <t>ТО "Телефильм"</t>
        </is>
      </c>
      <c r="H502" s="2" t="n">
        <v>374</v>
      </c>
      <c r="I502" s="2" t="inlineStr">
        <is>
          <t>да</t>
        </is>
      </c>
      <c r="J502" s="2" t="inlineStr"/>
      <c r="K502" s="3" t="inlineStr">
        <is>
          <t>По мотивам одноименного рассказа Юрия Нагибина.
Молодая сотрудница библиотечного института Ольга Ивановна (Алла Демидова), чтобы хотя бы изредка видеться на сибирском аэродроме с любимым человеком, который работает геологом, становится стюардессой на северных линиях. В полёте ей приходится общаться со множеством людей. У каждого - свой характер, свои привычки и капризы...</t>
        </is>
      </c>
      <c r="L502" s="2" t="inlineStr">
        <is>
          <t>https://www.kino-teatr.ru/short/movie/sov/6862/annot/</t>
        </is>
      </c>
      <c r="M502" s="2">
        <f>HYPERLINK("https://ru.wikipedia.org/w/index.php?search=%D0%A1%D1%82%D1%8E%D0%B0%D1%80%D0%B4%D0%B5%D1%81%D1%81%D0%B0%201967%20%D1%84%D0%B8%D0%BB%D1%8C%D0%BC","искать")</f>
        <v/>
      </c>
      <c r="N502" s="3" t="n"/>
      <c r="O502" s="2" t="n"/>
    </row>
    <row r="503">
      <c r="A503" s="2" t="n">
        <v>502</v>
      </c>
      <c r="B503" s="2" t="inlineStr">
        <is>
          <t>обрыв</t>
        </is>
      </c>
      <c r="C503" s="2" t="n">
        <v>10676</v>
      </c>
      <c r="D503" s="3" t="inlineStr">
        <is>
          <t>Фиалка</t>
        </is>
      </c>
      <c r="E503" s="2" t="n">
        <v>1976</v>
      </c>
      <c r="F503" s="2" t="inlineStr">
        <is>
          <t>фильм-спектакль</t>
        </is>
      </c>
      <c r="G503" s="2" t="inlineStr">
        <is>
          <t>Главная редакция литературно-драматический программ ЦТ</t>
        </is>
      </c>
      <c r="H503" s="2" t="n">
        <v>374</v>
      </c>
      <c r="I503" s="2" t="inlineStr">
        <is>
          <t>да</t>
        </is>
      </c>
      <c r="J503" s="2" t="inlineStr"/>
      <c r="K503" s="3" t="inlineStr">
        <is>
          <t>По одноименному рассказу Валентина Катаева.
Дом для старых большевиков. Екатерину Герасимовну Новоселову навещает нежданный гость — бывший муж. Когда-то Новоселов оклеветал Катю, чтобы жениться на другой женщине. Однако его жизнь сложилась так, что единственно Катя была его настоящей любовью. И вот, когда жизнь подошла к концу, он приехал, чтобы вымолить у нее прощение...</t>
        </is>
      </c>
      <c r="L503" s="2" t="inlineStr">
        <is>
          <t>https://www.kino-teatr.ru/teatr/movie/9796/annot/</t>
        </is>
      </c>
      <c r="M503" s="2">
        <f>HYPERLINK("https://ru.wikipedia.org/w/index.php?search=%D0%A4%D0%B8%D0%B0%D0%BB%D0%BA%D0%B0%201976%20%D1%84%D0%B8%D0%BB%D1%8C%D0%BC","искать")</f>
        <v/>
      </c>
      <c r="N503" s="3" t="n"/>
      <c r="O503" s="2" t="n"/>
    </row>
    <row r="504">
      <c r="A504" s="2" t="n">
        <v>503</v>
      </c>
      <c r="B504" s="2" t="inlineStr">
        <is>
          <t>обрыв</t>
        </is>
      </c>
      <c r="C504" s="2" t="n">
        <v>10698</v>
      </c>
      <c r="D504" s="3" t="inlineStr">
        <is>
          <t>Между небом и землёй</t>
        </is>
      </c>
      <c r="E504" s="2" t="n">
        <v>1977</v>
      </c>
      <c r="F504" s="2" t="inlineStr">
        <is>
          <t>фильм-спектакль</t>
        </is>
      </c>
      <c r="G504" s="2" t="inlineStr">
        <is>
          <t>Главная редакция литературно-драматических программ ЦТ</t>
        </is>
      </c>
      <c r="H504" s="2" t="n">
        <v>374</v>
      </c>
      <c r="I504" s="2" t="inlineStr">
        <is>
          <t>да</t>
        </is>
      </c>
      <c r="J504" s="2" t="inlineStr"/>
      <c r="K504" s="3" t="inlineStr">
        <is>
          <t>По мотивам повести Виктории Токаревой "Ехал грека".
Известный музыкант Климов эгоистичен и самолюбив. Он безразличен к бывшей жене и сыну, к любящей его женщине, пренебрежительно относится к коллегам и родным. Однажды самолёт, на котором он должен был лететь на отдых в Симферополь, терпит катастрофу. Климов опаздывает к вылету и остаётся жив, но для близких он разбился...</t>
        </is>
      </c>
      <c r="L504" s="2" t="inlineStr">
        <is>
          <t>https://www.kino-teatr.ru/teatr/movie/11914/annot/</t>
        </is>
      </c>
      <c r="M504" s="2">
        <f>HYPERLINK("https://ru.wikipedia.org/w/index.php?search=%D0%9C%D0%B5%D0%B6%D0%B4%D1%83%20%D0%BD%D0%B5%D0%B1%D0%BE%D0%BC%20%D0%B8%20%D0%B7%D0%B5%D0%BC%D0%BB%D1%91%D0%B9%201977%20%D1%84%D0%B8%D0%BB%D1%8C%D0%BC","искать")</f>
        <v/>
      </c>
      <c r="N504" s="3" t="n"/>
      <c r="O504" s="2" t="n"/>
    </row>
    <row r="505">
      <c r="A505" s="2" t="n">
        <v>504</v>
      </c>
      <c r="B505" s="2" t="inlineStr">
        <is>
          <t>обрыв</t>
        </is>
      </c>
      <c r="C505" s="2" t="n">
        <v>10715</v>
      </c>
      <c r="D505" s="3" t="inlineStr">
        <is>
          <t>Семейная история</t>
        </is>
      </c>
      <c r="E505" s="2" t="n">
        <v>1977</v>
      </c>
      <c r="F505" s="2" t="inlineStr">
        <is>
          <t>фильм-спектакль</t>
        </is>
      </c>
      <c r="G505" s="2" t="inlineStr">
        <is>
          <t>Центральное телевидение</t>
        </is>
      </c>
      <c r="H505" s="2" t="n">
        <v>378</v>
      </c>
      <c r="I505" s="2" t="inlineStr">
        <is>
          <t>да</t>
        </is>
      </c>
      <c r="J505" s="2" t="inlineStr"/>
      <c r="K505" s="3" t="inlineStr">
        <is>
          <t>Из цикла "Наши соседи".
По сценарию Анатолия Трушкина.
Конфликты, возникающие в семье, чуть было не привели к разрыву родственных отношений. После двенадцатилетнего отсутствия в родной дом возвращается отец, но он не находит общего языка с девятнадцатилетним сыном Володей, который не может простить его и ведет себя вызывающе. Отец понимая, что он здесь лишний, снова уходит...</t>
        </is>
      </c>
      <c r="L505" s="2" t="inlineStr">
        <is>
          <t>https://www.kino-teatr.ru/teatr/movie/104394/annot/</t>
        </is>
      </c>
      <c r="M505" s="2">
        <f>HYPERLINK("https://ru.wikipedia.org/w/index.php?search=%D0%A1%D0%B5%D0%BC%D0%B5%D0%B9%D0%BD%D0%B0%D1%8F%20%D0%B8%D1%81%D1%82%D0%BE%D1%80%D0%B8%D1%8F%201977%20%D1%84%D0%B8%D0%BB%D1%8C%D0%BC","искать")</f>
        <v/>
      </c>
      <c r="N505" s="3" t="n"/>
      <c r="O505" s="2" t="n"/>
    </row>
    <row r="506">
      <c r="A506" s="2" t="n">
        <v>505</v>
      </c>
      <c r="B506" s="2" t="inlineStr">
        <is>
          <t>обрыв</t>
        </is>
      </c>
      <c r="C506" s="2" t="n">
        <v>11260</v>
      </c>
      <c r="D506" s="3" t="inlineStr">
        <is>
          <t>История лошади</t>
        </is>
      </c>
      <c r="E506" s="2" t="n">
        <v>1989</v>
      </c>
      <c r="F506" s="2" t="inlineStr">
        <is>
          <t>фильм-спектакль</t>
        </is>
      </c>
      <c r="G506" s="2" t="inlineStr">
        <is>
          <t>Ленфильм</t>
        </is>
      </c>
      <c r="H506" s="2" t="n">
        <v>378</v>
      </c>
      <c r="I506" s="2" t="inlineStr">
        <is>
          <t>да</t>
        </is>
      </c>
      <c r="J506" s="2" t="inlineStr">
        <is>
          <t>да</t>
        </is>
      </c>
      <c r="K506" s="3" t="inlineStr">
        <is>
          <t>По мотивам одноименной повести Льва Николаевича Толстого "Холстомер" в постановке Ленинградского государственного академического Большого драматического театра имени М. Горького. Историю лошади рассказали как трагедию человека. Евгений Лебедев, блистательно сыгравший Холстомера, поведал о судьбе целого народа, страны, где постоянно присутствует конфликт личности и "табуна"...</t>
        </is>
      </c>
      <c r="L506" s="2" t="inlineStr">
        <is>
          <t>https://www.kino-teatr.ru/teatr/movie/16553/annot/</t>
        </is>
      </c>
      <c r="M506" s="2">
        <f>HYPERLINK("https://ru.wikipedia.org/w/index.php?search=%D0%98%D1%81%D1%82%D0%BE%D1%80%D0%B8%D1%8F%20%D0%BB%D0%BE%D1%88%D0%B0%D0%B4%D0%B8%201989%20%D1%84%D0%B8%D0%BB%D1%8C%D0%BC","искать")</f>
        <v/>
      </c>
      <c r="N506" s="3" t="n"/>
      <c r="O506" s="2" t="n"/>
    </row>
    <row r="507">
      <c r="A507" s="2" t="n">
        <v>506</v>
      </c>
      <c r="B507" s="2" t="inlineStr">
        <is>
          <t>обрыв</t>
        </is>
      </c>
      <c r="C507" s="2" t="n">
        <v>10399</v>
      </c>
      <c r="D507" s="3" t="inlineStr">
        <is>
          <t>Когда море смеётся</t>
        </is>
      </c>
      <c r="E507" s="2" t="n">
        <v>1971</v>
      </c>
      <c r="F507" s="2" t="inlineStr">
        <is>
          <t>фильм-спектакль</t>
        </is>
      </c>
      <c r="G507" s="2" t="n"/>
      <c r="H507" s="2" t="n">
        <v>380</v>
      </c>
      <c r="I507" s="2" t="inlineStr">
        <is>
          <t>да</t>
        </is>
      </c>
      <c r="J507" s="2" t="inlineStr"/>
      <c r="K507" s="3" t="inlineStr">
        <is>
          <t>Телеспектакль по мотивам романа О.Генри "Короли и капуста".
Действие фильма разворачивается в условной стране Анчурии, где каждый год выбирают нового президента. Так бы все и шло своим чередом в островной Анчурии, если бы не чемоданчик с сотнями тысяч долларов, вдруг обнаружившийся у местного брадобрея, и таинственный незнакомец, однажды выброшенный волной на анчурский берег...</t>
        </is>
      </c>
      <c r="L507" s="2" t="inlineStr">
        <is>
          <t>https://www.kino-teatr.ru/teatr/movie/82118/annot/</t>
        </is>
      </c>
      <c r="M507" s="2">
        <f>HYPERLINK("https://ru.wikipedia.org/w/index.php?search=%D0%9A%D0%BE%D0%B3%D0%B4%D0%B0%20%D0%BC%D0%BE%D1%80%D0%B5%20%D1%81%D0%BC%D0%B5%D1%91%D1%82%D1%81%D1%8F%201971%20%D1%84%D0%B8%D0%BB%D1%8C%D0%BC","искать")</f>
        <v/>
      </c>
      <c r="N507" s="3" t="n"/>
      <c r="O507" s="2" t="n"/>
    </row>
    <row r="508">
      <c r="A508" s="2" t="n">
        <v>507</v>
      </c>
      <c r="B508" s="2" t="inlineStr">
        <is>
          <t>обрыв</t>
        </is>
      </c>
      <c r="C508" s="2" t="n">
        <v>10489</v>
      </c>
      <c r="D508" s="3" t="inlineStr">
        <is>
          <t>Василий Тёркин</t>
        </is>
      </c>
      <c r="E508" s="2" t="n">
        <v>1973</v>
      </c>
      <c r="F508" s="2" t="inlineStr">
        <is>
          <t>фильм-спектакль</t>
        </is>
      </c>
      <c r="G508" s="2" t="n"/>
      <c r="H508" s="2" t="n">
        <v>383</v>
      </c>
      <c r="I508" s="2" t="inlineStr">
        <is>
          <t>да</t>
        </is>
      </c>
      <c r="J508" s="2" t="inlineStr">
        <is>
          <t>да</t>
        </is>
      </c>
      <c r="K508" s="3" t="inlineStr">
        <is>
          <t>По одноименной поэме А.Твардовского в постановке Государственного академического театра имени Моссовета.
Режиссер Б. Щедрин предложил интересное сценическое решение для знаменитой книги А. Твардовского - главного героя, русского солдата Теркина играют сразу несколько исполнителей : ведь прототип литературного Василия Теркина - бравый боец, заводила и балагур был в каждом взводе...</t>
        </is>
      </c>
      <c r="L508" s="2" t="inlineStr">
        <is>
          <t>https://www.kino-teatr.ru/teatr/movie/81471/annot/</t>
        </is>
      </c>
      <c r="M508" s="2">
        <f>HYPERLINK("https://ru.wikipedia.org/w/index.php?search=%D0%92%D0%B0%D1%81%D0%B8%D0%BB%D0%B8%D0%B9%20%D0%A2%D1%91%D1%80%D0%BA%D0%B8%D0%BD%201973%20%D1%84%D0%B8%D0%BB%D1%8C%D0%BC","искать")</f>
        <v/>
      </c>
      <c r="N508" s="3" t="n"/>
      <c r="O508" s="2" t="n"/>
    </row>
    <row r="509">
      <c r="A509" s="2" t="n">
        <v>508</v>
      </c>
      <c r="B509" s="2" t="inlineStr">
        <is>
          <t>обрыв</t>
        </is>
      </c>
      <c r="C509" s="2" t="n">
        <v>11121</v>
      </c>
      <c r="D509" s="3" t="inlineStr">
        <is>
          <t>Орфей спускается в ад</t>
        </is>
      </c>
      <c r="E509" s="2" t="n">
        <v>1986</v>
      </c>
      <c r="F509" s="2" t="inlineStr">
        <is>
          <t>фильм-спектакль</t>
        </is>
      </c>
      <c r="G509" s="2" t="inlineStr">
        <is>
          <t>Экран</t>
        </is>
      </c>
      <c r="H509" s="2" t="n">
        <v>385</v>
      </c>
      <c r="I509" s="2" t="inlineStr">
        <is>
          <t>да</t>
        </is>
      </c>
      <c r="J509" s="2" t="inlineStr"/>
      <c r="K509" s="3" t="inlineStr">
        <is>
          <t>Пьеса Теннесси Уильямса (перевод с английского Я.Березницкого) в постановке Центрального академического театра Российской Армии.
Много лет героиня прожила с убийцей ее отца. Теперь муж смертельно болен - она же полюбила другого. Чтобы удержать возлюбленного, она сообщает, что ждет от него ребенка. Муж оказывается тайным свидетелем этого разговора, и совершается новое преступление...</t>
        </is>
      </c>
      <c r="L509" s="2" t="inlineStr">
        <is>
          <t>https://www.kino-teatr.ru/teatr/movie/81409/annot/</t>
        </is>
      </c>
      <c r="M509" s="2">
        <f>HYPERLINK("https://ru.wikipedia.org/w/index.php?search=%D0%9E%D1%80%D1%84%D0%B5%D0%B9%20%D1%81%D0%BF%D1%83%D1%81%D0%BA%D0%B0%D0%B5%D1%82%D1%81%D1%8F%20%D0%B2%20%D0%B0%D0%B4%201986%20%D1%84%D0%B8%D0%BB%D1%8C%D0%BC","искать")</f>
        <v/>
      </c>
      <c r="N509" s="3" t="n"/>
      <c r="O509" s="2" t="n"/>
    </row>
    <row r="510">
      <c r="A510" s="2" t="n">
        <v>509</v>
      </c>
      <c r="B510" s="2" t="inlineStr">
        <is>
          <t>обрыв</t>
        </is>
      </c>
      <c r="C510" s="2" t="n">
        <v>10224</v>
      </c>
      <c r="D510" s="3" t="inlineStr">
        <is>
          <t>Якорная площадь</t>
        </is>
      </c>
      <c r="E510" s="2" t="n">
        <v>1967</v>
      </c>
      <c r="F510" s="2" t="inlineStr">
        <is>
          <t>фильм-спектакль</t>
        </is>
      </c>
      <c r="G510" s="2" t="inlineStr">
        <is>
          <t>Ленинградское ТВ</t>
        </is>
      </c>
      <c r="H510" s="2" t="n">
        <v>388</v>
      </c>
      <c r="I510" s="2" t="inlineStr">
        <is>
          <t>да</t>
        </is>
      </c>
      <c r="J510" s="2" t="inlineStr"/>
      <c r="K510" s="3" t="inlineStr">
        <is>
          <t>По одноименной пьесе Исидора Штока.
Матрос Сергей Селянин будучи в увольнении приходит на свидание к Татьяне, дочери контр-адмирала Чемизова. Они влюблены друг в друга и Сергей опаздывает на час из увольнения. В это время подводная лодка, на которой он служит, по тревоге выходит в море. Из-за случившегося ЧП, на посту, где должен был находиться Сергей, погибает его товарищ - Валерий...</t>
        </is>
      </c>
      <c r="L510" s="2" t="inlineStr">
        <is>
          <t>https://www.kino-teatr.ru/teatr/movie/92798/annot/</t>
        </is>
      </c>
      <c r="M510" s="2">
        <f>HYPERLINK("https://ru.wikipedia.org/w/index.php?search=%D0%AF%D0%BA%D0%BE%D1%80%D0%BD%D0%B0%D1%8F%20%D0%BF%D0%BB%D0%BE%D1%89%D0%B0%D0%B4%D1%8C%201967%20%D1%84%D0%B8%D0%BB%D1%8C%D0%BC","искать")</f>
        <v/>
      </c>
      <c r="N510" s="3" t="n"/>
      <c r="O510" s="2" t="n"/>
    </row>
    <row r="511">
      <c r="A511" s="2" t="n">
        <v>510</v>
      </c>
      <c r="B511" s="2" t="inlineStr">
        <is>
          <t>обрыв</t>
        </is>
      </c>
      <c r="C511" s="2" t="n">
        <v>10083</v>
      </c>
      <c r="D511" s="3" t="inlineStr">
        <is>
          <t>Собака на сене</t>
        </is>
      </c>
      <c r="E511" s="2" t="n">
        <v>1960</v>
      </c>
      <c r="F511" s="2" t="inlineStr">
        <is>
          <t>фильм-спектакль</t>
        </is>
      </c>
      <c r="G511" s="2" t="inlineStr">
        <is>
          <t>Radiotelevisão Portuguesa (RTP)</t>
        </is>
      </c>
      <c r="H511" s="2" t="n">
        <v>390</v>
      </c>
      <c r="I511" s="2" t="inlineStr">
        <is>
          <t>да</t>
        </is>
      </c>
      <c r="J511" s="2" t="inlineStr"/>
      <c r="K511" s="3" t="inlineStr">
        <is>
          <t>Телеспектакль по одноимённой пьесе Лопе де Вега.
Теодоро, секретарь гордой графини Дианы, вместе со своим товарищем Тристаном проникает в особняк на свидание с её служанкой Марселой, однако об его визите узнает хозяйка и начинает ревновать красивого и умного молодого человека. Оказывается, что она сама в него влюблена, однако сословная спесь мешает ей преодолеть классовые предрассудки...</t>
        </is>
      </c>
      <c r="L511" s="2" t="inlineStr">
        <is>
          <t>https://www.kino-teatr.ru/teatr/movie/130487/annot/</t>
        </is>
      </c>
      <c r="M511" s="2">
        <f>HYPERLINK("https://ru.wikipedia.org/w/index.php?search=%D0%A1%D0%BE%D0%B1%D0%B0%D0%BA%D0%B0%20%D0%BD%D0%B0%20%D1%81%D0%B5%D0%BD%D0%B5%201960%20%D1%84%D0%B8%D0%BB%D1%8C%D0%BC","искать")</f>
        <v/>
      </c>
      <c r="N511" s="3" t="n"/>
      <c r="O511" s="2" t="n"/>
    </row>
    <row r="512">
      <c r="A512" s="2" t="n">
        <v>511</v>
      </c>
      <c r="B512" s="2" t="inlineStr">
        <is>
          <t>обрыв</t>
        </is>
      </c>
      <c r="C512" s="2" t="n">
        <v>10527</v>
      </c>
      <c r="D512" s="3" t="inlineStr">
        <is>
          <t>Твоя юность</t>
        </is>
      </c>
      <c r="E512" s="2" t="n">
        <v>1973</v>
      </c>
      <c r="F512" s="2" t="inlineStr">
        <is>
          <t>фильм-спектакль</t>
        </is>
      </c>
      <c r="G512" s="2" t="n"/>
      <c r="H512" s="2" t="n">
        <v>391</v>
      </c>
      <c r="I512" s="2" t="inlineStr">
        <is>
          <t>да</t>
        </is>
      </c>
      <c r="J512" s="2" t="inlineStr"/>
      <c r="K512" s="3" t="inlineStr">
        <is>
          <t>По пьесе Тамары Ян "Твои шестнадцать".
Действие спектакля происходит в 70-е годы прошлого века. Главными героями являются подростки, заканчивающие школу и выбирающие свой дальнейший жизненный путь.
Главная героиня пьесы Майка Малышева, девушка, которая готова взяться за всё подряд — от астрономии до самбо. При этом девушка очень дорожит своими друзьями и лучшей подругой Ольгой Зайцевой...</t>
        </is>
      </c>
      <c r="L512" s="2" t="inlineStr">
        <is>
          <t>https://www.kino-teatr.ru/teatr/movie/135113/annot/</t>
        </is>
      </c>
      <c r="M512" s="2">
        <f>HYPERLINK("https://ru.wikipedia.org/w/index.php?search=%D0%A2%D0%B2%D0%BE%D1%8F%20%D1%8E%D0%BD%D0%BE%D1%81%D1%82%D1%8C%201973%20%D1%84%D0%B8%D0%BB%D1%8C%D0%BC","искать")</f>
        <v/>
      </c>
      <c r="N512" s="3" t="n"/>
      <c r="O512" s="2" t="n"/>
    </row>
    <row r="513">
      <c r="A513" s="2" t="n">
        <v>512</v>
      </c>
      <c r="B513" s="2" t="inlineStr">
        <is>
          <t>обрыв</t>
        </is>
      </c>
      <c r="C513" s="2" t="n">
        <v>10585</v>
      </c>
      <c r="D513" s="3" t="inlineStr">
        <is>
          <t>Проснись и пой</t>
        </is>
      </c>
      <c r="E513" s="2" t="n">
        <v>1974</v>
      </c>
      <c r="F513" s="2" t="inlineStr">
        <is>
          <t>фильм-спектакль</t>
        </is>
      </c>
      <c r="G513" s="2" t="inlineStr">
        <is>
          <t>Гл. ред. лит-драм программ</t>
        </is>
      </c>
      <c r="H513" s="2" t="n">
        <v>392</v>
      </c>
      <c r="I513" s="2" t="inlineStr">
        <is>
          <t>да</t>
        </is>
      </c>
      <c r="J513" s="2" t="inlineStr">
        <is>
          <t>да</t>
        </is>
      </c>
      <c r="K513" s="3" t="inlineStr">
        <is>
          <t>Телеверсия спектакля Московского академического театра Сатиры (1974).
По пьесе венгерского драматурга Миклоша Дярфаша.
Дюла, сын четы Орбак - молодой человек, как все в его возрасте ищущий любви и одновременно мечтающий о полной свободе. Он любит родителей, но ему ужасно надоели нотации и поучения. И по большому счету, как и многие молодые люди, они сам не очень хорошо знает, чего хочет...</t>
        </is>
      </c>
      <c r="L513" s="2" t="inlineStr">
        <is>
          <t>https://www.kino-teatr.ru/teatr/movie/5768/annot/</t>
        </is>
      </c>
      <c r="M513" s="2">
        <f>HYPERLINK("https://ru.wikipedia.org/w/index.php?search=%D0%9F%D1%80%D0%BE%D1%81%D0%BD%D0%B8%D1%81%D1%8C%20%D0%B8%20%D0%BF%D0%BE%D0%B9%201974%20%D1%84%D0%B8%D0%BB%D1%8C%D0%BC","искать")</f>
        <v/>
      </c>
      <c r="N513" s="3" t="n"/>
      <c r="O513" s="2" t="n"/>
    </row>
    <row r="514">
      <c r="A514" s="2" t="n">
        <v>513</v>
      </c>
      <c r="B514" s="2" t="inlineStr">
        <is>
          <t>обрыв</t>
        </is>
      </c>
      <c r="C514" s="2" t="n">
        <v>10798</v>
      </c>
      <c r="D514" s="3" t="inlineStr">
        <is>
          <t>Господа Глембаи</t>
        </is>
      </c>
      <c r="E514" s="2" t="n">
        <v>1979</v>
      </c>
      <c r="F514" s="2" t="inlineStr">
        <is>
          <t>фильм-спектакль</t>
        </is>
      </c>
      <c r="G514" s="2" t="inlineStr">
        <is>
          <t>Экран</t>
        </is>
      </c>
      <c r="H514" s="2" t="n">
        <v>392</v>
      </c>
      <c r="I514" s="2" t="inlineStr">
        <is>
          <t>да</t>
        </is>
      </c>
      <c r="J514" s="2" t="inlineStr"/>
      <c r="K514" s="3" t="inlineStr">
        <is>
          <t>По одноименной пьесе М. Крлежи в постановке Государственного академического театра имени Евг. Вахтангова. Воздействие происходит в Загребе в 1913 году. Казалось, что все благополучно в семье банкира Глембая. Но случайное происшествие делает явным то, что в течение многих лет было тайным. Потрясенный Глембай умирает. Наследники узнают, что он - банкрот, оставивший после себя большой долг...</t>
        </is>
      </c>
      <c r="L514" s="2" t="inlineStr">
        <is>
          <t>https://www.kino-teatr.ru/teatr/movie/81526/annot/</t>
        </is>
      </c>
      <c r="M514" s="2">
        <f>HYPERLINK("https://ru.wikipedia.org/w/index.php?search=%D0%93%D0%BE%D1%81%D0%BF%D0%BE%D0%B4%D0%B0%20%D0%93%D0%BB%D0%B5%D0%BC%D0%B1%D0%B0%D0%B8%201979%20%D1%84%D0%B8%D0%BB%D1%8C%D0%BC","искать")</f>
        <v/>
      </c>
      <c r="N514" s="3" t="n"/>
      <c r="O514" s="2" t="n"/>
    </row>
    <row r="515">
      <c r="A515" s="2" t="n">
        <v>514</v>
      </c>
      <c r="B515" s="2" t="inlineStr">
        <is>
          <t>обрыв</t>
        </is>
      </c>
      <c r="C515" s="2" t="n">
        <v>11215</v>
      </c>
      <c r="D515" s="3" t="inlineStr">
        <is>
          <t>Мера за меру</t>
        </is>
      </c>
      <c r="E515" s="2" t="n">
        <v>1988</v>
      </c>
      <c r="F515" s="2" t="inlineStr">
        <is>
          <t>фильм-спектакль</t>
        </is>
      </c>
      <c r="G515" s="2" t="inlineStr">
        <is>
          <t>Главная редакция литературно-драматических программ ЦТ</t>
        </is>
      </c>
      <c r="H515" s="2" t="n">
        <v>392</v>
      </c>
      <c r="I515" s="2" t="inlineStr">
        <is>
          <t>да</t>
        </is>
      </c>
      <c r="J515" s="2" t="inlineStr"/>
      <c r="K515" s="3" t="inlineStr">
        <is>
          <t>По одноименной пьесе У.Шекспира в постановке Государственного русского драматического театра Литовской ССР.
Сестра приговорённого к смертной казни просит судью о помиловании. Девушку ставят перед выбором: жизнь брата в обмен за девственность. Как ни странно это звучит для нашего времени, она предпочитает сохранить невинность. И только комедийный жанр спасает историю от трагедии в финале...</t>
        </is>
      </c>
      <c r="L515" s="2" t="inlineStr">
        <is>
          <t>https://www.kino-teatr.ru/teatr/movie/81604/annot/</t>
        </is>
      </c>
      <c r="M515" s="2">
        <f>HYPERLINK("https://ru.wikipedia.org/w/index.php?search=%D0%9C%D0%B5%D1%80%D0%B0%20%D0%B7%D0%B0%20%D0%BC%D0%B5%D1%80%D1%83%201988%20%D1%84%D0%B8%D0%BB%D1%8C%D0%BC","искать")</f>
        <v/>
      </c>
      <c r="N515" s="3" t="n"/>
      <c r="O515" s="2" t="n"/>
    </row>
    <row r="516">
      <c r="A516" s="2" t="n">
        <v>515</v>
      </c>
      <c r="B516" s="2" t="inlineStr">
        <is>
          <t>обрыв</t>
        </is>
      </c>
      <c r="C516" s="2" t="n">
        <v>11237</v>
      </c>
      <c r="D516" s="3" t="inlineStr">
        <is>
          <t>Энергичные люди</t>
        </is>
      </c>
      <c r="E516" s="2" t="n">
        <v>1988</v>
      </c>
      <c r="F516" s="2" t="inlineStr">
        <is>
          <t>фильм-спектакль</t>
        </is>
      </c>
      <c r="G516" s="2" t="inlineStr">
        <is>
          <t>Главная редакция литературно-драматических программ ЦТ</t>
        </is>
      </c>
      <c r="H516" s="2" t="n">
        <v>392</v>
      </c>
      <c r="I516" s="2" t="inlineStr">
        <is>
          <t>да</t>
        </is>
      </c>
      <c r="J516" s="2" t="inlineStr"/>
      <c r="K516" s="3" t="inlineStr">
        <is>
          <t>По одноименной сатирической повести для театра Василия Шукшина.
У заведующего магазином Аристарха Петровича Кузькина большая неприятность: его жена Вера, обнаружив письмо некой Сони, адресованное мужу, решила отомстить и написала прокурору о его махинациях. Как ни пытались убедить жену, что письмо Сони не более чем шутка, избежать ареста Аристарху Петровичу и его соучастникам не удалось...</t>
        </is>
      </c>
      <c r="L516" s="2" t="inlineStr">
        <is>
          <t>https://www.kino-teatr.ru/teatr/movie/17095/annot/</t>
        </is>
      </c>
      <c r="M516" s="2">
        <f>HYPERLINK("https://ru.wikipedia.org/w/index.php?search=%D0%AD%D0%BD%D0%B5%D1%80%D0%B3%D0%B8%D1%87%D0%BD%D1%8B%D0%B5%20%D0%BB%D1%8E%D0%B4%D0%B8%201988%20%D1%84%D0%B8%D0%BB%D1%8C%D0%BC","искать")</f>
        <v/>
      </c>
      <c r="N516" s="3" t="n"/>
      <c r="O516" s="2" t="n"/>
    </row>
    <row r="517">
      <c r="A517" s="2" t="n">
        <v>516</v>
      </c>
      <c r="B517" s="2" t="inlineStr">
        <is>
          <t>обрыв</t>
        </is>
      </c>
      <c r="C517" s="2" t="n">
        <v>10632</v>
      </c>
      <c r="D517" s="3" t="inlineStr">
        <is>
          <t>Шагреневая кожа</t>
        </is>
      </c>
      <c r="E517" s="2" t="n">
        <v>1975</v>
      </c>
      <c r="F517" s="2" t="inlineStr">
        <is>
          <t>фильм-спектакль</t>
        </is>
      </c>
      <c r="G517" s="2" t="inlineStr">
        <is>
          <t>Гл. ред. лит-драм программ ЦТ</t>
        </is>
      </c>
      <c r="H517" s="2" t="n">
        <v>393</v>
      </c>
      <c r="I517" s="2" t="inlineStr">
        <is>
          <t>да</t>
        </is>
      </c>
      <c r="J517" s="2" t="inlineStr"/>
      <c r="K517" s="3" t="inlineStr">
        <is>
          <t>По повести Оноре де Бальзака. Философская притча о разрушительной силе безудержных наслаждений. Молодой поэт Рафаэль де Валантен проигрывает последние деньги и собирается покончить с собой, но в лавке древностей он получает от хозяина шагреневую кожу, способную исполнить любое его желание. Однако с каждым исполнением кожа уменьшается в размерах, а вместе с ней сокращается и жизнь Рафаэля...</t>
        </is>
      </c>
      <c r="L517" s="2" t="inlineStr">
        <is>
          <t>https://www.kino-teatr.ru/teatr/movie/13680/annot/</t>
        </is>
      </c>
      <c r="M517" s="2">
        <f>HYPERLINK("https://ru.wikipedia.org/w/index.php?search=%D0%A8%D0%B0%D0%B3%D1%80%D0%B5%D0%BD%D0%B5%D0%B2%D0%B0%D1%8F%20%D0%BA%D0%BE%D0%B6%D0%B0%201975%20%D1%84%D0%B8%D0%BB%D1%8C%D0%BC","искать")</f>
        <v/>
      </c>
      <c r="N517" s="3" t="n"/>
      <c r="O517" s="2" t="n"/>
    </row>
    <row r="518">
      <c r="A518" s="2" t="n">
        <v>517</v>
      </c>
      <c r="B518" s="2" t="inlineStr">
        <is>
          <t>обрыв</t>
        </is>
      </c>
      <c r="C518" s="2" t="n">
        <v>10787</v>
      </c>
      <c r="D518" s="3" t="inlineStr">
        <is>
          <t>Эцитоны Бурчелли</t>
        </is>
      </c>
      <c r="E518" s="2" t="n">
        <v>1978</v>
      </c>
      <c r="F518" s="2" t="inlineStr">
        <is>
          <t>фильм-спектакль</t>
        </is>
      </c>
      <c r="G518" s="2" t="inlineStr">
        <is>
          <t>Гл. ред. лит-драм программ</t>
        </is>
      </c>
      <c r="H518" s="2" t="n">
        <v>394</v>
      </c>
      <c r="I518" s="2" t="inlineStr">
        <is>
          <t>да</t>
        </is>
      </c>
      <c r="J518" s="2" t="inlineStr"/>
      <c r="K518" s="3" t="inlineStr">
        <is>
          <t>По мотивам одноименной пьесы Сергея Михалкова. Ученый Деревушкин в день своего 60-летия собирается совершить необычный поступок - прыжок с парашютом. Узнав об этом, его семейство обеспокоено только одним: если Деревушкин погибнет, то кому достанется наследство. Однако прыжок прошел удачно и все завершилось благополучно. А для героя наступает прозрение, он понимает с кем прожил долгие годы...</t>
        </is>
      </c>
      <c r="L518" s="2" t="inlineStr">
        <is>
          <t>https://www.kino-teatr.ru/teatr/movie/10523/annot/</t>
        </is>
      </c>
      <c r="M518" s="2">
        <f>HYPERLINK("https://ru.wikipedia.org/w/index.php?search=%D0%AD%D1%86%D0%B8%D1%82%D0%BE%D0%BD%D1%8B%20%D0%91%D1%83%D1%80%D1%87%D0%B5%D0%BB%D0%BB%D0%B8%201978%20%D1%84%D0%B8%D0%BB%D1%8C%D0%BC","искать")</f>
        <v/>
      </c>
      <c r="N518" s="3" t="n"/>
      <c r="O518" s="2" t="n"/>
    </row>
    <row r="519">
      <c r="A519" s="2" t="n">
        <v>518</v>
      </c>
      <c r="B519" s="2" t="inlineStr">
        <is>
          <t>обрыв</t>
        </is>
      </c>
      <c r="C519" s="2" t="n">
        <v>10214</v>
      </c>
      <c r="D519" s="3" t="inlineStr">
        <is>
          <t>Пропавший чиновник</t>
        </is>
      </c>
      <c r="E519" s="2" t="n">
        <v>1967</v>
      </c>
      <c r="F519" s="2" t="inlineStr">
        <is>
          <t>фильм-спектакль</t>
        </is>
      </c>
      <c r="G519" s="2" t="inlineStr">
        <is>
          <t>Центральное ТВ</t>
        </is>
      </c>
      <c r="H519" s="2" t="n">
        <v>395</v>
      </c>
      <c r="I519" s="2" t="inlineStr">
        <is>
          <t>да</t>
        </is>
      </c>
      <c r="J519" s="2" t="inlineStr"/>
      <c r="K519" s="3" t="inlineStr">
        <is>
          <t>По роману датского писателя Ганса Шерфига.
В столице одного европейского государства исчезли два человека. Один из них - преуспевающий чиновник, отец семейства и довольно обеспеченный человек - Теодор Амстед. Другой - странный, нелюдимый чудак, живущий в бедности - Михаэль Могинсон. Вскоре на военном полигоне находят труп человека, погибшего при взрыве бомбы. Полиция начинает расследование...</t>
        </is>
      </c>
      <c r="L519" s="2" t="inlineStr">
        <is>
          <t>https://www.kino-teatr.ru/teatr/movie/92816/annot/</t>
        </is>
      </c>
      <c r="M519" s="2">
        <f>HYPERLINK("https://ru.wikipedia.org/w/index.php?search=%D0%9F%D1%80%D0%BE%D0%BF%D0%B0%D0%B2%D1%88%D0%B8%D0%B9%20%D1%87%D0%B8%D0%BD%D0%BE%D0%B2%D0%BD%D0%B8%D0%BA%201967%20%D1%84%D0%B8%D0%BB%D1%8C%D0%BC","искать")</f>
        <v/>
      </c>
      <c r="N519" s="3" t="n"/>
      <c r="O519" s="2" t="n"/>
    </row>
    <row r="520">
      <c r="A520" s="2" t="n">
        <v>519</v>
      </c>
      <c r="B520" s="2" t="inlineStr">
        <is>
          <t>обрыв</t>
        </is>
      </c>
      <c r="C520" s="2" t="n">
        <v>10956</v>
      </c>
      <c r="D520" s="3" t="inlineStr">
        <is>
          <t>Понедельник - день тяжёлый</t>
        </is>
      </c>
      <c r="E520" s="2" t="n">
        <v>1982</v>
      </c>
      <c r="F520" s="2" t="inlineStr">
        <is>
          <t>фильм-спектакль</t>
        </is>
      </c>
      <c r="G520" s="2" t="inlineStr">
        <is>
          <t>Главная редакция литературно-драматических программ ЦТ</t>
        </is>
      </c>
      <c r="H520" s="2" t="n">
        <v>395</v>
      </c>
      <c r="I520" s="2" t="inlineStr">
        <is>
          <t>да</t>
        </is>
      </c>
      <c r="J520" s="2" t="inlineStr"/>
      <c r="K520" s="3" t="inlineStr">
        <is>
          <t>По мотивам комедии Валентина Катаева "Понедельник".
Член Союза писателей, автор единственной и давно забытой книги Евтихий Корнеплодов собирается праздновать юбилей. Но накануне выясняется, что потерян членский билет. Заявление Корнеплодова о выдаче ему нового билета напоминает работникам правления Союза писателей, что "маститый" участник различных торжеств фактически не является писателем...</t>
        </is>
      </c>
      <c r="L520" s="2" t="inlineStr">
        <is>
          <t>https://www.kino-teatr.ru/teatr/movie/81735/annot/</t>
        </is>
      </c>
      <c r="M520" s="2">
        <f>HYPERLINK("https://ru.wikipedia.org/w/index.php?search=%D0%9F%D0%BE%D0%BD%D0%B5%D0%B4%D0%B5%D0%BB%D1%8C%D0%BD%D0%B8%D0%BA%20-%20%D0%B4%D0%B5%D0%BD%D1%8C%20%D1%82%D1%8F%D0%B6%D1%91%D0%BB%D1%8B%D0%B9%201982%20%D1%84%D0%B8%D0%BB%D1%8C%D0%BC","искать")</f>
        <v/>
      </c>
      <c r="N520" s="3" t="n"/>
      <c r="O520" s="2" t="n"/>
    </row>
    <row r="521">
      <c r="A521" s="2" t="n">
        <v>520</v>
      </c>
      <c r="B521" s="2" t="inlineStr">
        <is>
          <t>обрыв</t>
        </is>
      </c>
      <c r="C521" s="2" t="n">
        <v>11023</v>
      </c>
      <c r="D521" s="3" t="inlineStr">
        <is>
          <t>Этот милый старый дом</t>
        </is>
      </c>
      <c r="E521" s="2" t="n">
        <v>1983</v>
      </c>
      <c r="F521" s="2" t="inlineStr">
        <is>
          <t>фильм-спектакль</t>
        </is>
      </c>
      <c r="G521" s="2" t="inlineStr">
        <is>
          <t>Лентелефильм</t>
        </is>
      </c>
      <c r="H521" s="2" t="n">
        <v>398</v>
      </c>
      <c r="I521" s="2" t="inlineStr">
        <is>
          <t>да</t>
        </is>
      </c>
      <c r="J521" s="2" t="inlineStr"/>
      <c r="K521" s="3" t="inlineStr">
        <is>
          <t>Фильм-спектакль Ленинградского Государственного Академического театра комедии. Постановка Петра Фоменко по одноименной пьесе Алексея Арбузова.
В гостинице в одном номере поселяют двух женщин. Одна из них приехала, чтобы выйти замуж за человека, которого любит. Другая - чтобы навестить мужа и детей, которых когда-то бросила. Они не предполагают, что скоро обе появятся в одном милом старом доме...</t>
        </is>
      </c>
      <c r="L521" s="2" t="inlineStr">
        <is>
          <t>https://www.kino-teatr.ru/teatr/movie/11282/annot/</t>
        </is>
      </c>
      <c r="M521" s="2">
        <f>HYPERLINK("https://ru.wikipedia.org/w/index.php?search=%D0%AD%D1%82%D0%BE%D1%82%20%D0%BC%D0%B8%D0%BB%D1%8B%D0%B9%20%D1%81%D1%82%D0%B0%D1%80%D1%8B%D0%B9%20%D0%B4%D0%BE%D0%BC%201983%20%D1%84%D0%B8%D0%BB%D1%8C%D0%BC","искать")</f>
        <v/>
      </c>
      <c r="N521" s="3" t="n"/>
      <c r="O521" s="2" t="n"/>
    </row>
    <row r="522">
      <c r="A522" s="2" t="n">
        <v>521</v>
      </c>
      <c r="B522" s="2" t="inlineStr">
        <is>
          <t>обрыв</t>
        </is>
      </c>
      <c r="C522" s="2" t="n">
        <v>10398</v>
      </c>
      <c r="D522" s="3" t="inlineStr">
        <is>
          <t>Клоун</t>
        </is>
      </c>
      <c r="E522" s="2" t="n">
        <v>1971</v>
      </c>
      <c r="F522" s="2" t="inlineStr">
        <is>
          <t>фильм-спектакль</t>
        </is>
      </c>
      <c r="G522" s="2" t="inlineStr">
        <is>
          <t>Главная редакция литературно-драматических программ ЦТ</t>
        </is>
      </c>
      <c r="H522" s="2" t="n">
        <v>401</v>
      </c>
      <c r="I522" s="2" t="inlineStr">
        <is>
          <t>да</t>
        </is>
      </c>
      <c r="J522" s="2" t="inlineStr"/>
      <c r="K522" s="3" t="inlineStr">
        <is>
          <t>По мотивам повести Виктора Драгунского «Сегодня и ежедневно».
Известный клоун Анатолий Ветров возвращается после длительных гастролей в Московский цирк, где работал долгие годы. Он узнаёт, что его любимая собирается выйти замуж за другого. Личные переживания усугубляются трагедией, происшедшей в цирке: во время репетиции погибает гимнастка Ирина. Только работа возвращает герою фильма смысл жизни...</t>
        </is>
      </c>
      <c r="L522" s="2" t="inlineStr">
        <is>
          <t>https://www.kino-teatr.ru/teatr/movie/2999/annot/</t>
        </is>
      </c>
      <c r="M522" s="2">
        <f>HYPERLINK("https://ru.wikipedia.org/w/index.php?search=%D0%9A%D0%BB%D0%BE%D1%83%D0%BD%201971%20%D1%84%D0%B8%D0%BB%D1%8C%D0%BC","искать")</f>
        <v/>
      </c>
      <c r="N522" s="3" t="n"/>
      <c r="O522" s="2" t="n"/>
    </row>
    <row r="523">
      <c r="A523" s="2" t="n">
        <v>522</v>
      </c>
      <c r="B523" s="2" t="inlineStr">
        <is>
          <t>обрыв</t>
        </is>
      </c>
      <c r="C523" s="2" t="n">
        <v>10431</v>
      </c>
      <c r="D523" s="3" t="inlineStr">
        <is>
          <t>Будденброки</t>
        </is>
      </c>
      <c r="E523" s="2" t="n">
        <v>1972</v>
      </c>
      <c r="F523" s="2" t="inlineStr">
        <is>
          <t>фильм-спектакль</t>
        </is>
      </c>
      <c r="G523" s="2" t="n"/>
      <c r="H523" s="2" t="n">
        <v>402</v>
      </c>
      <c r="I523" s="2" t="inlineStr">
        <is>
          <t>да</t>
        </is>
      </c>
      <c r="J523" s="2" t="inlineStr"/>
      <c r="K523" s="3" t="inlineStr">
        <is>
          <t>По мотивам Томаса Манна "Будденброки. История гибели одного семейства"
Об истории жизни и упадка четырёх поколений известной и богатой семьи торговцев.
Любек, 1835 год. В огромном, недавно приобретенном доме торговцев Будденброков на Менкштрассе родилась Клара, четвертый ребенок. Через семь лет после кончины жены отец семейства Иоганн Будденброк отошел от дел, передав бразды правления сыну Томасу...</t>
        </is>
      </c>
      <c r="L523" s="2" t="inlineStr">
        <is>
          <t>https://www.kino-teatr.ru/teatr/movie/81485/annot/</t>
        </is>
      </c>
      <c r="M523" s="2">
        <f>HYPERLINK("https://ru.wikipedia.org/w/index.php?search=%D0%91%D1%83%D0%B4%D0%B4%D0%B5%D0%BD%D0%B1%D1%80%D0%BE%D0%BA%D0%B8%201972%20%D1%84%D0%B8%D0%BB%D1%8C%D0%BC","искать")</f>
        <v/>
      </c>
      <c r="N523" s="3" t="n"/>
      <c r="O523" s="2" t="n"/>
    </row>
    <row r="524">
      <c r="A524" s="2" t="n">
        <v>523</v>
      </c>
      <c r="B524" s="2" t="inlineStr">
        <is>
          <t>обрыв</t>
        </is>
      </c>
      <c r="C524" s="2" t="n">
        <v>9803</v>
      </c>
      <c r="D524" s="3" t="inlineStr">
        <is>
          <t>Вишнёвый омут</t>
        </is>
      </c>
      <c r="E524" s="2" t="n">
        <v>1985</v>
      </c>
      <c r="F524" s="2" t="inlineStr">
        <is>
          <t>кинофильм</t>
        </is>
      </c>
      <c r="G524" s="2" t="inlineStr">
        <is>
          <t>Мосфильм</t>
        </is>
      </c>
      <c r="H524" s="2" t="n">
        <v>404</v>
      </c>
      <c r="I524" s="2" t="inlineStr">
        <is>
          <t>да</t>
        </is>
      </c>
      <c r="J524" s="2" t="inlineStr"/>
      <c r="K524" s="3" t="inlineStr">
        <is>
          <t>С десяти лет батрак Миша Харламов мечтал о собственном яблоневом саде. Ульяна, дочь хозяина, любила Мишу и верила в его мечту. Когда девушку выдали замуж за нелюбимого, она потеряла рассудок и ушла из деревни. Не найдя Ульяны, посадил Михаил в память о любимой яблоневый сад. Однажды лютой зимой он отдал сад людям, чтобы они могли затопить печи. А весной на обрубленных стволах появились новые побеги...</t>
        </is>
      </c>
      <c r="L524" s="2" t="inlineStr">
        <is>
          <t>https://www.kino-teatr.ru/kino/movie/sov/974/annot/</t>
        </is>
      </c>
      <c r="M524" s="2">
        <f>HYPERLINK("https://ru.wikipedia.org/w/index.php?search=%D0%92%D0%B8%D1%88%D0%BD%D1%91%D0%B2%D1%8B%D0%B9%20%D0%BE%D0%BC%D1%83%D1%82%201985%20%D1%84%D0%B8%D0%BB%D1%8C%D0%BC","искать")</f>
        <v/>
      </c>
      <c r="N524" s="3" t="n"/>
      <c r="O524" s="2" t="n"/>
    </row>
    <row r="525">
      <c r="A525" s="2" t="n">
        <v>524</v>
      </c>
      <c r="B525" s="2" t="inlineStr">
        <is>
          <t>обрыв</t>
        </is>
      </c>
      <c r="C525" s="2" t="n">
        <v>11116</v>
      </c>
      <c r="D525" s="3" t="inlineStr">
        <is>
          <t>Мой любимый клоун</t>
        </is>
      </c>
      <c r="E525" s="2" t="n">
        <v>1986</v>
      </c>
      <c r="F525" s="2" t="inlineStr">
        <is>
          <t>фильм-спектакль</t>
        </is>
      </c>
      <c r="G525" s="2" t="n"/>
      <c r="H525" s="2" t="n">
        <v>406</v>
      </c>
      <c r="I525" s="2" t="inlineStr">
        <is>
          <t>да</t>
        </is>
      </c>
      <c r="J525" s="2" t="inlineStr"/>
      <c r="K525" s="3" t="inlineStr">
        <is>
          <t>Телеспектакль Малого театра.
По одноименной повести Василия Ливанова.
Молодой артист цирка, клоун Сергей Синицын, решает со своей женой, страдающей бесплодием, усыновить шестилетнего детдомовца Ваньку. Однако, когда документы были оформлены, она отступает под натиском своей матери и уезжает. Сергей всё равно забирает Ваньку из детского дома, и мальчик в цирковом клоуне находит веселого и доброго папу...</t>
        </is>
      </c>
      <c r="L525" s="2" t="inlineStr">
        <is>
          <t>https://www.kino-teatr.ru/teatr/movie/94877/annot/</t>
        </is>
      </c>
      <c r="M525" s="2">
        <f>HYPERLINK("https://ru.wikipedia.org/w/index.php?search=%D0%9C%D0%BE%D0%B9%20%D0%BB%D1%8E%D0%B1%D0%B8%D0%BC%D1%8B%D0%B9%20%D0%BA%D0%BB%D0%BE%D1%83%D0%BD%201986%20%D1%84%D0%B8%D0%BB%D1%8C%D0%BC","искать")</f>
        <v/>
      </c>
      <c r="N525" s="3" t="n"/>
      <c r="O525" s="2" t="n"/>
    </row>
    <row r="526">
      <c r="A526" s="2" t="n">
        <v>525</v>
      </c>
      <c r="B526" s="2" t="inlineStr">
        <is>
          <t>обрыв</t>
        </is>
      </c>
      <c r="C526" s="2" t="n">
        <v>11250</v>
      </c>
      <c r="D526" s="3" t="inlineStr">
        <is>
          <t>Бутерброд</t>
        </is>
      </c>
      <c r="E526" s="2" t="n">
        <v>1989</v>
      </c>
      <c r="F526" s="2" t="inlineStr">
        <is>
          <t>фильм-спектакль</t>
        </is>
      </c>
      <c r="G526" s="2" t="inlineStr">
        <is>
          <t>Главная редакция литературно-драматических программ ЦТ</t>
        </is>
      </c>
      <c r="H526" s="2" t="n">
        <v>407</v>
      </c>
      <c r="I526" s="2" t="inlineStr">
        <is>
          <t>да</t>
        </is>
      </c>
      <c r="J526" s="2" t="inlineStr"/>
      <c r="K526" s="3" t="inlineStr">
        <is>
          <t>Телепостановка по мотивам рассказа Станислава Лема «Существуете ли Вы, мистер Джонс?».
Во время автогонок пилот Джонс попал в серьезную аварию, жертвами которой стали и несколько зрителей, включая собаку. Самого автогонщика хирурги «сшили» буквально по кусочкам, попавшим под руку. Но оказалось, что изменения претерпело не только тело Джонса: на его сознание «наслоились» личности и жертв автокатастрофы...</t>
        </is>
      </c>
      <c r="L526" s="2" t="inlineStr">
        <is>
          <t>https://www.kino-teatr.ru/teatr/movie/80068/annot/</t>
        </is>
      </c>
      <c r="M526" s="2">
        <f>HYPERLINK("https://ru.wikipedia.org/w/index.php?search=%D0%91%D1%83%D1%82%D0%B5%D1%80%D0%B1%D1%80%D0%BE%D0%B4%201989%20%D1%84%D0%B8%D0%BB%D1%8C%D0%BC","искать")</f>
        <v/>
      </c>
      <c r="N526" s="3" t="n"/>
      <c r="O526" s="2" t="n"/>
    </row>
    <row r="527">
      <c r="A527" s="2" t="n">
        <v>526</v>
      </c>
      <c r="B527" s="2" t="inlineStr">
        <is>
          <t>обрыв</t>
        </is>
      </c>
      <c r="C527" s="2" t="n">
        <v>10250</v>
      </c>
      <c r="D527" s="3" t="inlineStr">
        <is>
          <t>Инвалид</t>
        </is>
      </c>
      <c r="E527" s="2" t="n">
        <v>1968</v>
      </c>
      <c r="F527" s="2" t="inlineStr">
        <is>
          <t>фильм-спектакль</t>
        </is>
      </c>
      <c r="G527" s="2" t="inlineStr">
        <is>
          <t>Центральное ТВ</t>
        </is>
      </c>
      <c r="H527" s="2" t="n">
        <v>409</v>
      </c>
      <c r="I527" s="2" t="inlineStr">
        <is>
          <t>да</t>
        </is>
      </c>
      <c r="J527" s="2" t="inlineStr"/>
      <c r="K527" s="3" t="inlineStr">
        <is>
          <t>Телеспектакль по одноименному рассказу Александра Серафимовича, написанному в 1897 году.
Семен Поликарпович Семизоров, по прозванию Шестиглаз, тридцать лет проработал наборщиком, десятилетним мальчишкой пришел он в типографию и всего здесь повидал. Работал не покладая рук, не жалея сил и здоровья, а теперь старость пришла, износился, и его, как старую тряпку, гонят вон. И никакой надежды на лучшую жизнь...</t>
        </is>
      </c>
      <c r="L527" s="2" t="inlineStr">
        <is>
          <t>https://www.kino-teatr.ru/teatr/movie/92887/annot/</t>
        </is>
      </c>
      <c r="M527" s="2">
        <f>HYPERLINK("https://ru.wikipedia.org/w/index.php?search=%D0%98%D0%BD%D0%B2%D0%B0%D0%BB%D0%B8%D0%B4%201968%20%D1%84%D0%B8%D0%BB%D1%8C%D0%BC","искать")</f>
        <v/>
      </c>
      <c r="N527" s="3" t="n"/>
      <c r="O527" s="2" t="n"/>
    </row>
    <row r="528">
      <c r="A528" s="2" t="n">
        <v>527</v>
      </c>
      <c r="B528" s="2" t="inlineStr">
        <is>
          <t>обрыв</t>
        </is>
      </c>
      <c r="C528" s="2" t="n">
        <v>9808</v>
      </c>
      <c r="D528" s="3" t="inlineStr">
        <is>
          <t>Москва</t>
        </is>
      </c>
      <c r="E528" s="2" t="n">
        <v>1991</v>
      </c>
      <c r="F528" s="2" t="inlineStr">
        <is>
          <t>кинофильм</t>
        </is>
      </c>
      <c r="G528" s="2" t="inlineStr">
        <is>
          <t>Filmax grupo ivex, Damar cinematografic, Television productions s.r.l.</t>
        </is>
      </c>
      <c r="H528" s="2" t="n">
        <v>416</v>
      </c>
      <c r="I528" s="2" t="inlineStr">
        <is>
          <t>да</t>
        </is>
      </c>
      <c r="J528" s="2" t="inlineStr"/>
      <c r="K528" s="3" t="inlineStr">
        <is>
          <t>Москва, годы перестройки. Спокойная жизнь Эдуарда и Павлы однажды превращается в кошмар. Эдуард случайно убивает нападавшего, защищая своего товарища в драке. Оба попадают в тюрьму, а его друг совершает самоубийство. Неожиданно герою фильма предлагают сделку, чтобы вытащить его из тюрьмы. Задача вроде бы проста - нужно доставить таинственный чемоданчик. Вскоре Эдуард понимает, что становится участником теракта...</t>
        </is>
      </c>
      <c r="L528" s="2" t="inlineStr">
        <is>
          <t>https://www.kino-teatr.ru/kino/movie/euro/120144/annot/</t>
        </is>
      </c>
      <c r="M528" s="2">
        <f>HYPERLINK("https://ru.wikipedia.org/w/index.php?search=%D0%9C%D0%BE%D1%81%D0%BA%D0%B2%D0%B0%201991%20%D1%84%D0%B8%D0%BB%D1%8C%D0%BC","искать")</f>
        <v/>
      </c>
      <c r="N528" s="3" t="n"/>
      <c r="O528" s="2" t="n"/>
    </row>
    <row r="529">
      <c r="A529" s="2" t="n">
        <v>528</v>
      </c>
      <c r="B529" s="2" t="inlineStr">
        <is>
          <t>обрыв</t>
        </is>
      </c>
      <c r="C529" s="2" t="n">
        <v>10807</v>
      </c>
      <c r="D529" s="3" t="inlineStr">
        <is>
          <t>Коньки. Воспоминания о школе</t>
        </is>
      </c>
      <c r="E529" s="2" t="n">
        <v>1979</v>
      </c>
      <c r="F529" s="2" t="inlineStr">
        <is>
          <t>фильм-спектакль</t>
        </is>
      </c>
      <c r="G529" s="2" t="inlineStr">
        <is>
          <t>ТО "Экран"</t>
        </is>
      </c>
      <c r="H529" s="2" t="n">
        <v>416</v>
      </c>
      <c r="I529" s="2" t="inlineStr">
        <is>
          <t>да</t>
        </is>
      </c>
      <c r="J529" s="2" t="inlineStr"/>
      <c r="K529" s="3" t="inlineStr">
        <is>
          <t>По одноименной пьесе С.Михалкова в постановке Государственного Центрального детского театра.
Герои спектакля - школьники 30-х годов. Шестиклассник Вася Петров нашел кошелек с большой суммой денег и отдал его владельцу. Об этом благородном поступке написала газета "Пионерская правда", и в школе очень гордились Васей. Но оказалось, что подросток тайком взял из кошелька недостающую сумму, чтобы купить себе коньки...</t>
        </is>
      </c>
      <c r="L529" s="2" t="inlineStr">
        <is>
          <t>https://www.kino-teatr.ru/teatr/movie/16825/annot/</t>
        </is>
      </c>
      <c r="M529" s="2">
        <f>HYPERLINK("https://ru.wikipedia.org/w/index.php?search=%D0%9A%D0%BE%D0%BD%D1%8C%D0%BA%D0%B8.%20%D0%92%D0%BE%D1%81%D0%BF%D0%BE%D0%BC%D0%B8%D0%BD%D0%B0%D0%BD%D0%B8%D1%8F%20%D0%BE%20%D1%88%D0%BA%D0%BE%D0%BB%D0%B5%201979%20%D1%84%D0%B8%D0%BB%D1%8C%D0%BC","искать")</f>
        <v/>
      </c>
      <c r="N529" s="3" t="n"/>
      <c r="O529" s="2" t="n"/>
    </row>
    <row r="530">
      <c r="A530" s="2" t="n">
        <v>529</v>
      </c>
      <c r="B530" s="2" t="inlineStr">
        <is>
          <t>обрыв</t>
        </is>
      </c>
      <c r="C530" s="2" t="n">
        <v>11210</v>
      </c>
      <c r="D530" s="3" t="inlineStr">
        <is>
          <t>Колея</t>
        </is>
      </c>
      <c r="E530" s="2" t="n">
        <v>1988</v>
      </c>
      <c r="F530" s="2" t="inlineStr">
        <is>
          <t>фильм-спектакль</t>
        </is>
      </c>
      <c r="G530" s="2" t="inlineStr">
        <is>
          <t>Главная редакция литературно-драматических программ ЦТ</t>
        </is>
      </c>
      <c r="H530" s="2" t="n">
        <v>417</v>
      </c>
      <c r="I530" s="2" t="inlineStr">
        <is>
          <t>да</t>
        </is>
      </c>
      <c r="J530" s="2" t="inlineStr"/>
      <c r="K530" s="3" t="inlineStr">
        <is>
          <t>По одноименной пьесе В.Арро в постановке Московского областного драматического театра города Ногинска.
Нелли, редактор одного из издательств, видит смысл своей жизни в любимой работе и заботе о детях и отце. Неожиданно выясняется, что семейное благополучие было иллюзорным. Многого не замечала Нелли в поведении сына, совершившего серьезное правонарушение. Вовремя не заметила она и то, что утратила доверие дочери...</t>
        </is>
      </c>
      <c r="L530" s="2" t="inlineStr">
        <is>
          <t>https://www.kino-teatr.ru/teatr/movie/81592/annot/</t>
        </is>
      </c>
      <c r="M530" s="2">
        <f>HYPERLINK("https://ru.wikipedia.org/w/index.php?search=%D0%9A%D0%BE%D0%BB%D0%B5%D1%8F%201988%20%D1%84%D0%B8%D0%BB%D1%8C%D0%BC","искать")</f>
        <v/>
      </c>
      <c r="N530" s="3" t="n"/>
      <c r="O530" s="2" t="n"/>
    </row>
    <row r="531">
      <c r="A531" s="2" t="n">
        <v>530</v>
      </c>
      <c r="B531" s="2" t="inlineStr">
        <is>
          <t>обрыв</t>
        </is>
      </c>
      <c r="C531" s="2" t="n">
        <v>10071</v>
      </c>
      <c r="D531" s="3" t="inlineStr">
        <is>
          <t>Живет на свете женщина</t>
        </is>
      </c>
      <c r="E531" s="2" t="n">
        <v>1959</v>
      </c>
      <c r="F531" s="2" t="inlineStr">
        <is>
          <t>фильм-спектакль</t>
        </is>
      </c>
      <c r="G531" s="2" t="inlineStr">
        <is>
          <t>Ленинградское телевидение</t>
        </is>
      </c>
      <c r="H531" s="2" t="n">
        <v>419</v>
      </c>
      <c r="I531" s="2" t="inlineStr">
        <is>
          <t>да</t>
        </is>
      </c>
      <c r="J531" s="2" t="inlineStr"/>
      <c r="K531" s="3" t="inlineStr">
        <is>
          <t>По пьесе Захара Аграненко.
В прядильном цеху меланжевого комбината произошла авария. Работница Зоя Семенова получила тяжелую травму. В происшедшем некоторые коллеги обвинили начальника цеха - Галину Демидову, началось следствие.
Дело поручили следователю Сухобоковой, человеку честному и принципиальному. В ходе следствия Сухобокова встречается с работницами цеха и друзьями Демидовой, которые не верят в вину Галины...</t>
        </is>
      </c>
      <c r="L531" s="2" t="inlineStr">
        <is>
          <t>https://www.kino-teatr.ru/teatr/movie/104069/annot/</t>
        </is>
      </c>
      <c r="M531" s="2">
        <f>HYPERLINK("https://ru.wikipedia.org/w/index.php?search=%D0%96%D0%B8%D0%B2%D0%B5%D1%82%20%D0%BD%D0%B0%20%D1%81%D0%B2%D0%B5%D1%82%D0%B5%20%D0%B6%D0%B5%D0%BD%D1%89%D0%B8%D0%BD%D0%B0%201959%20%D1%84%D0%B8%D0%BB%D1%8C%D0%BC","искать")</f>
        <v/>
      </c>
      <c r="N531" s="3" t="n"/>
      <c r="O531" s="2" t="n"/>
    </row>
    <row r="532">
      <c r="A532" s="2" t="n">
        <v>531</v>
      </c>
      <c r="B532" s="2" t="inlineStr">
        <is>
          <t>обрыв</t>
        </is>
      </c>
      <c r="C532" s="2" t="n">
        <v>10298</v>
      </c>
      <c r="D532" s="3" t="inlineStr">
        <is>
          <t>Винтовки Тересы Каррар</t>
        </is>
      </c>
      <c r="E532" s="2" t="n">
        <v>1969</v>
      </c>
      <c r="F532" s="2" t="inlineStr">
        <is>
          <t>фильм-спектакль</t>
        </is>
      </c>
      <c r="G532" s="2" t="inlineStr">
        <is>
          <t>Центральное телевидение</t>
        </is>
      </c>
      <c r="H532" s="2" t="n">
        <v>420</v>
      </c>
      <c r="I532" s="2" t="inlineStr">
        <is>
          <t>да</t>
        </is>
      </c>
      <c r="J532" s="2" t="inlineStr"/>
      <c r="K532" s="3" t="inlineStr">
        <is>
          <t>Телеверсия спектакля Центрального академического театра Советской Армии (ЦАТСА, ныне — ЦАТРА).
По одноименной пьесе немецкого драматурга Б.Брехта. Действие происходит в 1937 году в Испании. Муж Тересы Каррар погиб в боях против фашистов. Она пытается оградить себя и детей от действительности, полагая, что этого можно достичь, не вмешиваясь в происходящие события. Однако жизнь властно вторгается в ее закрытый мирок...</t>
        </is>
      </c>
      <c r="L532" s="2" t="inlineStr">
        <is>
          <t>https://www.kino-teatr.ru/teatr/movie/963/annot/</t>
        </is>
      </c>
      <c r="M532" s="2">
        <f>HYPERLINK("https://ru.wikipedia.org/w/index.php?search=%D0%92%D0%B8%D0%BD%D1%82%D0%BE%D0%B2%D0%BA%D0%B8%20%D0%A2%D0%B5%D1%80%D0%B5%D1%81%D1%8B%20%D0%9A%D0%B0%D1%80%D1%80%D0%B0%D1%80%201969%20%D1%84%D0%B8%D0%BB%D1%8C%D0%BC","искать")</f>
        <v/>
      </c>
      <c r="N532" s="3" t="n"/>
      <c r="O532" s="2" t="n"/>
    </row>
    <row r="533">
      <c r="A533" s="2" t="n">
        <v>532</v>
      </c>
      <c r="B533" s="2" t="inlineStr">
        <is>
          <t>обрыв</t>
        </is>
      </c>
      <c r="C533" s="2" t="n">
        <v>10541</v>
      </c>
      <c r="D533" s="3" t="inlineStr">
        <is>
          <t>Атлантика</t>
        </is>
      </c>
      <c r="E533" s="2" t="n">
        <v>1974</v>
      </c>
      <c r="F533" s="2" t="inlineStr">
        <is>
          <t>фильм-спектакль</t>
        </is>
      </c>
      <c r="G533" s="2" t="inlineStr">
        <is>
          <t>Центральное телевидение</t>
        </is>
      </c>
      <c r="H533" s="2" t="n">
        <v>421</v>
      </c>
      <c r="I533" s="2" t="inlineStr">
        <is>
          <t>да</t>
        </is>
      </c>
      <c r="J533" s="2" t="inlineStr"/>
      <c r="K533" s="3" t="inlineStr">
        <is>
          <t>По одноименной пьесе Руслана Киреева о жизни советских моряков.
Транспортное судно "Памир" прибыло в район промыслов. Из-за погодных условий положение на промыслах сложилось тяжелое. У капитана транспортного судна Родиона Елисеева сын служит на промысловом траулере. Но у них уже более десяти лет длятся сложные отношения, Валентин до сих пор не может простить отцу уход из семьи. И вот отец с сыном встречаются в море...</t>
        </is>
      </c>
      <c r="L533" s="2" t="inlineStr">
        <is>
          <t>https://www.kino-teatr.ru/teatr/movie/93002/annot/</t>
        </is>
      </c>
      <c r="M533" s="2">
        <f>HYPERLINK("https://ru.wikipedia.org/w/index.php?search=%D0%90%D1%82%D0%BB%D0%B0%D0%BD%D1%82%D0%B8%D0%BA%D0%B0%201974%20%D1%84%D0%B8%D0%BB%D1%8C%D0%BC","искать")</f>
        <v/>
      </c>
      <c r="N533" s="3" t="n"/>
      <c r="O533" s="2" t="n"/>
    </row>
    <row r="534">
      <c r="A534" s="2" t="n">
        <v>533</v>
      </c>
      <c r="B534" s="2" t="inlineStr">
        <is>
          <t>обрыв</t>
        </is>
      </c>
      <c r="C534" s="2" t="n">
        <v>11051</v>
      </c>
      <c r="D534" s="3" t="inlineStr">
        <is>
          <t>Белая палатка</t>
        </is>
      </c>
      <c r="E534" s="2" t="n">
        <v>1985</v>
      </c>
      <c r="F534" s="2" t="inlineStr">
        <is>
          <t>фильм-спектакль</t>
        </is>
      </c>
      <c r="G534" s="2" t="inlineStr">
        <is>
          <t>Главная редакция литературно-драматических программ</t>
        </is>
      </c>
      <c r="H534" s="2" t="n">
        <v>423</v>
      </c>
      <c r="I534" s="2" t="inlineStr">
        <is>
          <t>да</t>
        </is>
      </c>
      <c r="J534" s="2" t="inlineStr"/>
      <c r="K534" s="3" t="inlineStr">
        <is>
          <t>По повести И.Стаднюка "Плевелы зла" в постановке Центрального академического театра Советской Армии.
У начальника полевого госпиталя Ступакова умерла жена. Всю свою любовь он безраздельно отдает дочери Вере, которая работает в том же госпитале медсестрой. Однако любовь Ступакова эгоистична. Не считаясь с чувствами Веры, он пытается разлучить ее с любимым человеком, но Вера, наперекор всему, уходит в действующую часть...</t>
        </is>
      </c>
      <c r="L534" s="2" t="inlineStr">
        <is>
          <t>https://www.kino-teatr.ru/teatr/movie/81340/annot/</t>
        </is>
      </c>
      <c r="M534" s="2">
        <f>HYPERLINK("https://ru.wikipedia.org/w/index.php?search=%D0%91%D0%B5%D0%BB%D0%B0%D1%8F%20%D0%BF%D0%B0%D0%BB%D0%B0%D1%82%D0%BA%D0%B0%201985%20%D1%84%D0%B8%D0%BB%D1%8C%D0%BC","искать")</f>
        <v/>
      </c>
      <c r="N534" s="3" t="n"/>
      <c r="O534" s="2" t="n"/>
    </row>
    <row r="535">
      <c r="A535" s="2" t="n">
        <v>534</v>
      </c>
      <c r="B535" s="2" t="inlineStr">
        <is>
          <t>обрыв</t>
        </is>
      </c>
      <c r="C535" s="2" t="n">
        <v>10776</v>
      </c>
      <c r="D535" s="3" t="inlineStr">
        <is>
          <t>Старомодная комедия</t>
        </is>
      </c>
      <c r="E535" s="2" t="n">
        <v>1978</v>
      </c>
      <c r="F535" s="2" t="inlineStr">
        <is>
          <t>фильм-спектакль</t>
        </is>
      </c>
      <c r="G535" s="2" t="inlineStr">
        <is>
          <t>Гл. ред. литературно-драматических программ</t>
        </is>
      </c>
      <c r="H535" s="2" t="n">
        <v>427</v>
      </c>
      <c r="I535" s="2" t="inlineStr">
        <is>
          <t>да</t>
        </is>
      </c>
      <c r="J535" s="2" t="inlineStr"/>
      <c r="K535" s="3" t="inlineStr">
        <is>
          <t>По одноименной пьесе А.Арбузова в постановке Московского академического театра имени Вл.Маяковского.
Трогательная и эксцентричная кассирша цирка вечно нарушает чинный распорядок санатория. Главврач устал уже делать ей предупреждения, но постепенно он обнаруживает, что испытывает к недисциплинированной пациентке чувство, вовсе не похожее на раздражение. Так начинается история взаимоотношений двух одиноких немолодых людей ...</t>
        </is>
      </c>
      <c r="L535" s="2" t="inlineStr">
        <is>
          <t>https://www.kino-teatr.ru/teatr/movie/80329/annot/</t>
        </is>
      </c>
      <c r="M535" s="2">
        <f>HYPERLINK("https://ru.wikipedia.org/w/index.php?search=%D0%A1%D1%82%D0%B0%D1%80%D0%BE%D0%BC%D0%BE%D0%B4%D0%BD%D0%B0%D1%8F%20%D0%BA%D0%BE%D0%BC%D0%B5%D0%B4%D0%B8%D1%8F%201978%20%D1%84%D0%B8%D0%BB%D1%8C%D0%BC","искать")</f>
        <v/>
      </c>
      <c r="N535" s="3" t="n"/>
      <c r="O535" s="2" t="n"/>
    </row>
    <row r="536">
      <c r="A536" s="2" t="n">
        <v>535</v>
      </c>
      <c r="B536" s="2" t="inlineStr">
        <is>
          <t>обрыв</t>
        </is>
      </c>
      <c r="C536" s="2" t="n">
        <v>11168</v>
      </c>
      <c r="D536" s="3" t="inlineStr">
        <is>
          <t>Малыш</t>
        </is>
      </c>
      <c r="E536" s="2" t="n">
        <v>1987</v>
      </c>
      <c r="F536" s="2" t="inlineStr">
        <is>
          <t>фильм-спектакль</t>
        </is>
      </c>
      <c r="G536" s="2" t="inlineStr">
        <is>
          <t>Главная редакция программ для детей и юношества ЦТ</t>
        </is>
      </c>
      <c r="H536" s="2" t="n">
        <v>427</v>
      </c>
      <c r="I536" s="2" t="inlineStr">
        <is>
          <t>да</t>
        </is>
      </c>
      <c r="J536" s="2" t="inlineStr"/>
      <c r="K536" s="3" t="inlineStr">
        <is>
          <t>По одноименной научно-фантастической повести Аркадия и Бориса Стругацких в постановке Государственного академического центрального детского театра.
На пустынной планете космонавты-земляне встретили Малыша, похожего на обычного ребенка. Со временем они пришли к выводу, что он - единственный, кто остался в живых после катастрофы, которую потерпел земной космический корабль. Малыша усыновила невидимая загадочная цивилизация...</t>
        </is>
      </c>
      <c r="L536" s="2" t="inlineStr">
        <is>
          <t>https://www.kino-teatr.ru/teatr/movie/79923/annot/</t>
        </is>
      </c>
      <c r="M536" s="2">
        <f>HYPERLINK("https://ru.wikipedia.org/w/index.php?search=%D0%9C%D0%B0%D0%BB%D1%8B%D1%88%201987%20%D1%84%D0%B8%D0%BB%D1%8C%D0%BC","искать")</f>
        <v/>
      </c>
      <c r="N536" s="3" t="n"/>
      <c r="O536" s="2" t="n"/>
    </row>
    <row r="537">
      <c r="A537" s="2" t="n">
        <v>536</v>
      </c>
      <c r="B537" s="2" t="inlineStr">
        <is>
          <t>обрыв</t>
        </is>
      </c>
      <c r="C537" s="2" t="n">
        <v>10714</v>
      </c>
      <c r="D537" s="3" t="inlineStr">
        <is>
          <t>Разлом</t>
        </is>
      </c>
      <c r="E537" s="2" t="n">
        <v>1977</v>
      </c>
      <c r="F537" s="2" t="inlineStr">
        <is>
          <t>фильм-спектакль</t>
        </is>
      </c>
      <c r="G537" s="2" t="inlineStr">
        <is>
          <t>Главная редакция литературно-драматических программ ЦТ</t>
        </is>
      </c>
      <c r="H537" s="2" t="n">
        <v>429</v>
      </c>
      <c r="I537" s="2" t="inlineStr">
        <is>
          <t>да</t>
        </is>
      </c>
      <c r="J537" s="2" t="inlineStr"/>
      <c r="K537" s="3" t="inlineStr">
        <is>
          <t>Телеспектакль по одноименной пьесе Б.Лавренева в постановке Московского театра имени М.Н.Ермоловой.
Кронштадт 1917 года. Матросы революционного крейсера «Заря» во главе с большевиком Артемом Годуном готовятся к всеобщему вооруженному восстанию. Команда корабля отказывается подчиняться Временному правительству и командир крейсера Берсенев переходит на сторону матросов. По-разному воспринимают это решение все члены его семьи...</t>
        </is>
      </c>
      <c r="L537" s="2" t="inlineStr">
        <is>
          <t>https://www.kino-teatr.ru/teatr/movie/79233/annot/</t>
        </is>
      </c>
      <c r="M537" s="2">
        <f>HYPERLINK("https://ru.wikipedia.org/w/index.php?search=%D0%A0%D0%B0%D0%B7%D0%BB%D0%BE%D0%BC%201977%20%D1%84%D0%B8%D0%BB%D1%8C%D0%BC","искать")</f>
        <v/>
      </c>
      <c r="N537" s="3" t="n"/>
      <c r="O537" s="2" t="n"/>
    </row>
    <row r="538">
      <c r="A538" s="2" t="n">
        <v>537</v>
      </c>
      <c r="B538" s="2" t="inlineStr">
        <is>
          <t>обрыв</t>
        </is>
      </c>
      <c r="C538" s="2" t="n">
        <v>11188</v>
      </c>
      <c r="D538" s="3" t="inlineStr">
        <is>
          <t>Автобус</t>
        </is>
      </c>
      <c r="E538" s="2" t="n">
        <v>1988</v>
      </c>
      <c r="F538" s="2" t="inlineStr">
        <is>
          <t>фильм-спектакль</t>
        </is>
      </c>
      <c r="G538" s="2" t="inlineStr">
        <is>
          <t>Главная редакция литературно-драматических программ ЦТ</t>
        </is>
      </c>
      <c r="H538" s="2" t="n">
        <v>434</v>
      </c>
      <c r="I538" s="2" t="inlineStr">
        <is>
          <t>да</t>
        </is>
      </c>
      <c r="J538" s="2" t="inlineStr"/>
      <c r="K538" s="3" t="inlineStr">
        <is>
          <t>По одноименной пьесе болгарского писателя Станислава Стратиева в постановке Ереванского драматического театра.
Изменив маршрут, водитель автобуса по непонятной для пассажиров причине совершает по городским улицам один круг за другим. Приближается полночь. У пассажиров возникает опасение, что они никогда не доедут до дома. В этой ситуации проявляются разные черты характеров людей, оказавшихся волею случая в одном салоне автобуса...</t>
        </is>
      </c>
      <c r="L538" s="2" t="inlineStr">
        <is>
          <t>https://www.kino-teatr.ru/teatr/movie/81484/annot/</t>
        </is>
      </c>
      <c r="M538" s="2">
        <f>HYPERLINK("https://ru.wikipedia.org/w/index.php?search=%D0%90%D0%B2%D1%82%D0%BE%D0%B1%D1%83%D1%81%201988%20%D1%84%D0%B8%D0%BB%D1%8C%D0%BC","искать")</f>
        <v/>
      </c>
      <c r="N538" s="3" t="n"/>
      <c r="O538" s="2" t="n"/>
    </row>
    <row r="539">
      <c r="A539" s="2" t="n">
        <v>538</v>
      </c>
      <c r="B539" s="2" t="inlineStr">
        <is>
          <t>обрыв</t>
        </is>
      </c>
      <c r="C539" s="2" t="n">
        <v>10125</v>
      </c>
      <c r="D539" s="3" t="inlineStr">
        <is>
          <t>Перестань, Мадлен!</t>
        </is>
      </c>
      <c r="E539" s="2" t="n">
        <v>1964</v>
      </c>
      <c r="F539" s="2" t="inlineStr">
        <is>
          <t>фильм-спектакль</t>
        </is>
      </c>
      <c r="G539" s="2" t="inlineStr">
        <is>
          <t>Главная редакция литературно-драматических программ ЦТ</t>
        </is>
      </c>
      <c r="H539" s="2" t="n">
        <v>435</v>
      </c>
      <c r="I539" s="2" t="inlineStr">
        <is>
          <t>да</t>
        </is>
      </c>
      <c r="J539" s="2" t="inlineStr"/>
      <c r="K539" s="3" t="inlineStr">
        <is>
          <t>Телеспектакль по одноименному произведению Татьяны Тэсс.
Действие происходит в купе поезда. Француженка, бывшая узница концлагеря для детей едет на встречу в Чехословакию. В руках у неё кукла по имени Мадлен, с которой пассажирка постоянно разговаривает. По этой игрушке её должны узнать, ведь женщина не расставалась с ней все годы пребывания в лагере. До войны у девочки было всё - родители, дом, игрушки... А осталась одна Мадлен...</t>
        </is>
      </c>
      <c r="L539" s="2" t="inlineStr">
        <is>
          <t>https://www.kino-teatr.ru/teatr/movie/14094/annot/</t>
        </is>
      </c>
      <c r="M539" s="2">
        <f>HYPERLINK("https://ru.wikipedia.org/w/index.php?search=%D0%9F%D0%B5%D1%80%D0%B5%D1%81%D1%82%D0%B0%D0%BD%D1%8C%2C%20%D0%9C%D0%B0%D0%B4%D0%BB%D0%B5%D0%BD%21%201964%20%D1%84%D0%B8%D0%BB%D1%8C%D0%BC","искать")</f>
        <v/>
      </c>
      <c r="N539" s="3" t="n"/>
      <c r="O539" s="2" t="n"/>
    </row>
    <row r="540">
      <c r="A540" s="2" t="n">
        <v>539</v>
      </c>
      <c r="B540" s="2" t="inlineStr">
        <is>
          <t>обрыв</t>
        </is>
      </c>
      <c r="C540" s="2" t="n">
        <v>9987</v>
      </c>
      <c r="D540" s="3" t="inlineStr">
        <is>
          <t>Необыкновенный рейс</t>
        </is>
      </c>
      <c r="E540" s="2" t="n">
        <v>1982</v>
      </c>
      <c r="F540" s="2" t="inlineStr">
        <is>
          <t>телефильм</t>
        </is>
      </c>
      <c r="G540" s="2" t="inlineStr">
        <is>
          <t>Грузия-фильм, по заказу Гостелерадио</t>
        </is>
      </c>
      <c r="H540" s="2" t="n">
        <v>438</v>
      </c>
      <c r="I540" s="2" t="inlineStr">
        <is>
          <t>да</t>
        </is>
      </c>
      <c r="J540" s="2" t="inlineStr"/>
      <c r="K540" s="3" t="inlineStr">
        <is>
          <t>Телефильм. Переполненный автобус мчит по улицам города. Раздраженные давкой люди, постоянно бранятся. Так происходит изо дня в день, из года в год, но однажды, не выдержав очередного автобусного скандала, водитель Бидзина, увозит своих пассажиров далеко за город. Поначалу все возмущались и протестовали, но когда автобус вернулся на привычный маршрут, из его окон уже доносился веселый смех и пение отдохнувших и успокоившихся горожан...</t>
        </is>
      </c>
      <c r="L540" s="2" t="inlineStr">
        <is>
          <t>https://www.kino-teatr.ru/short/movie/sov/81129/annot/</t>
        </is>
      </c>
      <c r="M540" s="2">
        <f>HYPERLINK("https://ru.wikipedia.org/w/index.php?search=%D0%9D%D0%B5%D0%BE%D0%B1%D1%8B%D0%BA%D0%BD%D0%BE%D0%B2%D0%B5%D0%BD%D0%BD%D1%8B%D0%B9%20%D1%80%D0%B5%D0%B9%D1%81%201982%20%D1%84%D0%B8%D0%BB%D1%8C%D0%BC","искать")</f>
        <v/>
      </c>
      <c r="N540" s="3" t="n"/>
      <c r="O540" s="2" t="n"/>
    </row>
    <row r="541">
      <c r="A541" s="2" t="n">
        <v>540</v>
      </c>
      <c r="B541" s="2" t="inlineStr">
        <is>
          <t>обрыв</t>
        </is>
      </c>
      <c r="C541" s="2" t="n">
        <v>11343</v>
      </c>
      <c r="D541" s="3" t="inlineStr">
        <is>
          <t>Ревизор</t>
        </is>
      </c>
      <c r="E541" s="2" t="n">
        <v>1991</v>
      </c>
      <c r="F541" s="2" t="inlineStr">
        <is>
          <t>фильм-спектакль</t>
        </is>
      </c>
      <c r="G541" s="2" t="n"/>
      <c r="H541" s="2" t="n">
        <v>439</v>
      </c>
      <c r="I541" s="2" t="inlineStr">
        <is>
          <t>да</t>
        </is>
      </c>
      <c r="J541" s="2" t="inlineStr"/>
      <c r="K541" s="3" t="inlineStr">
        <is>
          <t>Московский театр-студия п/р Олега Табакова.
Подаренный Пушкиным анекдот про мелкого чиновника, принятого в уездном городе за важную птицу, Гоголь развернул в грандиозную сатиру современной ему действительности и нравов.
Некий провинциальный городок, где процветают взяточничество, злоупотребление властью, казнокрадство и т. д.
Однажды городничий Сквозник-Дмухановский созывает городских чиновников и сообщает, что в их город едет ревизор…</t>
        </is>
      </c>
      <c r="L541" s="2" t="inlineStr">
        <is>
          <t>https://www.kino-teatr.ru/teatr/movie/118653/annot/</t>
        </is>
      </c>
      <c r="M541" s="2">
        <f>HYPERLINK("https://ru.wikipedia.org/w/index.php?search=%D0%A0%D0%B5%D0%B2%D0%B8%D0%B7%D0%BE%D1%80%201991%20%D1%84%D0%B8%D0%BB%D1%8C%D0%BC","искать")</f>
        <v/>
      </c>
      <c r="N541" s="3" t="n"/>
      <c r="O541" s="2" t="n"/>
    </row>
    <row r="542">
      <c r="A542" s="2" t="n">
        <v>541</v>
      </c>
      <c r="B542" s="2" t="inlineStr">
        <is>
          <t>обрыв</t>
        </is>
      </c>
      <c r="C542" s="2" t="n">
        <v>10755</v>
      </c>
      <c r="D542" s="3" t="inlineStr">
        <is>
          <t>Мелодии одной оперетты</t>
        </is>
      </c>
      <c r="E542" s="2" t="n">
        <v>1978</v>
      </c>
      <c r="F542" s="2" t="inlineStr">
        <is>
          <t>фильм-спектакль</t>
        </is>
      </c>
      <c r="G542" s="2" t="inlineStr">
        <is>
          <t>Главная редакция музыкальных программ ЦТ</t>
        </is>
      </c>
      <c r="H542" s="2" t="n">
        <v>444</v>
      </c>
      <c r="I542" s="2" t="inlineStr">
        <is>
          <t>да</t>
        </is>
      </c>
      <c r="J542" s="2" t="inlineStr"/>
      <c r="K542" s="3" t="inlineStr">
        <is>
          <t>По мотивам оперетты П.Абрахама "Бал в Савойе"
В репетиционном зале для читки новой пьесы собралась труппа актеров. Но режиссер, как всегда задерживается. Артисты нашли какую-то записку, и прочитав ее, они поняли, что это начало захватывающего сюжета, который мог бы послужить созданию нового спектакля. И в ожидании начала репетиции, они начали сочинять продолжение этой истории. Так в их фантазии разыгрывается сюжет оперетты "Бал в Савойе"...</t>
        </is>
      </c>
      <c r="L542" s="2" t="inlineStr">
        <is>
          <t>https://www.kino-teatr.ru/teatr/movie/11888/annot/</t>
        </is>
      </c>
      <c r="M542" s="2">
        <f>HYPERLINK("https://ru.wikipedia.org/w/index.php?search=%D0%9C%D0%B5%D0%BB%D0%BE%D0%B4%D0%B8%D0%B8%20%D0%BE%D0%B4%D0%BD%D0%BE%D0%B9%20%D0%BE%D0%BF%D0%B5%D1%80%D0%B5%D1%82%D1%82%D1%8B%201978%20%D1%84%D0%B8%D0%BB%D1%8C%D0%BC","искать")</f>
        <v/>
      </c>
      <c r="N542" s="3" t="n"/>
      <c r="O542" s="2" t="n"/>
    </row>
    <row r="543">
      <c r="A543" s="2" t="n">
        <v>542</v>
      </c>
      <c r="B543" s="2" t="inlineStr">
        <is>
          <t>обрыв</t>
        </is>
      </c>
      <c r="C543" s="2" t="n">
        <v>10009</v>
      </c>
      <c r="D543" s="3" t="inlineStr">
        <is>
          <t>Тайга</t>
        </is>
      </c>
      <c r="E543" s="2" t="n">
        <v>1985</v>
      </c>
      <c r="F543" s="2" t="inlineStr">
        <is>
          <t>телефильм</t>
        </is>
      </c>
      <c r="G543" s="2" t="inlineStr">
        <is>
          <t>Новосибирсктелефильм</t>
        </is>
      </c>
      <c r="H543" s="2" t="n">
        <v>446</v>
      </c>
      <c r="I543" s="2" t="inlineStr">
        <is>
          <t>да</t>
        </is>
      </c>
      <c r="J543" s="2" t="inlineStr"/>
      <c r="K543" s="3" t="inlineStr">
        <is>
          <t>По одноименной повести П.Проскурина.
В сибирской тайге потерпел аварию почтовый самолет с большой суммой денег. Экипаж погиб. Бывший спортсмен Горяев, промышлявший соболями, случайно оказался на месте аварии и забрал деньги. Охотник Иван Рогачев, отправившийся на поиски самолета, похоронил погибших и, найдя пустые банковские мешки, стал преследовать грабителя. Горяев пытался убить охотника. Но когда он сам попал в беду, то Рогачев его спас...</t>
        </is>
      </c>
      <c r="L543" s="2" t="inlineStr">
        <is>
          <t>https://www.kino-teatr.ru/short/movie/sov/92728/annot/</t>
        </is>
      </c>
      <c r="M543" s="2">
        <f>HYPERLINK("https://ru.wikipedia.org/w/index.php?search=%D0%A2%D0%B0%D0%B9%D0%B3%D0%B0%201985%20%D1%84%D0%B8%D0%BB%D1%8C%D0%BC","искать")</f>
        <v/>
      </c>
      <c r="N543" s="3" t="n"/>
      <c r="O543" s="2" t="n"/>
    </row>
    <row r="544">
      <c r="A544" s="2" t="n">
        <v>543</v>
      </c>
      <c r="B544" s="2" t="inlineStr">
        <is>
          <t>обрыв</t>
        </is>
      </c>
      <c r="C544" s="2" t="n">
        <v>10343</v>
      </c>
      <c r="D544" s="3" t="inlineStr">
        <is>
          <t>Цветы запоздалые</t>
        </is>
      </c>
      <c r="E544" s="2" t="n">
        <v>1969</v>
      </c>
      <c r="F544" s="2" t="inlineStr">
        <is>
          <t>фильм-спектакль</t>
        </is>
      </c>
      <c r="G544" s="2" t="inlineStr">
        <is>
          <t>ТО "Экран"</t>
        </is>
      </c>
      <c r="H544" s="2" t="n">
        <v>446</v>
      </c>
      <c r="I544" s="2" t="inlineStr">
        <is>
          <t>да</t>
        </is>
      </c>
      <c r="J544" s="2" t="inlineStr"/>
      <c r="K544" s="3" t="inlineStr">
        <is>
          <t>Телеспектакль по одноименному рассказу А.Чехова.
Бережно, в камерной обстановке воссоздана атмосфера одного из наиболее лиричных рассказов Чехова.
Княжна Маруся однажды влюбилась в серьёзного, делового доктора Топоркова, и понадобилась вся её жизнь, чтобы человек этот однажды отвлёкся от своего дела и взглянул ей в глаза. Её дни были уже сочтены. И она сама, и её любовь, и его внимание, и их короткое счастье - всё это, как цветы запоздалые...</t>
        </is>
      </c>
      <c r="L544" s="2" t="inlineStr">
        <is>
          <t>https://www.kino-teatr.ru/teatr/movie/11747/annot/</t>
        </is>
      </c>
      <c r="M544" s="2">
        <f>HYPERLINK("https://ru.wikipedia.org/w/index.php?search=%D0%A6%D0%B2%D0%B5%D1%82%D1%8B%20%D0%B7%D0%B0%D0%BF%D0%BE%D0%B7%D0%B4%D0%B0%D0%BB%D1%8B%D0%B5%201969%20%D1%84%D0%B8%D0%BB%D1%8C%D0%BC","искать")</f>
        <v/>
      </c>
      <c r="N544" s="3" t="n"/>
      <c r="O544" s="2" t="n"/>
    </row>
    <row r="545">
      <c r="A545" s="2" t="n">
        <v>544</v>
      </c>
      <c r="B545" s="2" t="inlineStr">
        <is>
          <t>обрыв</t>
        </is>
      </c>
      <c r="C545" s="2" t="n">
        <v>10090</v>
      </c>
      <c r="D545" s="3" t="inlineStr">
        <is>
          <t>Сказки правды</t>
        </is>
      </c>
      <c r="E545" s="2" t="n">
        <v>1961</v>
      </c>
      <c r="F545" s="2" t="inlineStr">
        <is>
          <t>фильм-спектакль</t>
        </is>
      </c>
      <c r="G545" s="2" t="inlineStr">
        <is>
          <t>Новосибирсктелефильм</t>
        </is>
      </c>
      <c r="H545" s="2" t="n">
        <v>449</v>
      </c>
      <c r="I545" s="2" t="inlineStr">
        <is>
          <t>да</t>
        </is>
      </c>
      <c r="J545" s="2" t="inlineStr"/>
      <c r="K545" s="3" t="inlineStr">
        <is>
          <t>Стихи итальянского писателя Джанни Родари рассказывают правду о жизни бедняков в Италии. Заглянем за глянцевые открытки с видами Италии.
Бедняцкие кварталы, нищета… Вот - старик-метельщик, строитель, не имеющий собственного дома, служанка, старьевщик. Вот - мальчик Чиччо, который смотрит на жизнь из холодного, сырого подвала и рассказывает о городской детворе, проводящей лето на душных улицах, и о тех, кто работает без отдыха и без праздников...</t>
        </is>
      </c>
      <c r="L545" s="2" t="inlineStr">
        <is>
          <t>https://www.kino-teatr.ru/teatr/movie/123515/annot/</t>
        </is>
      </c>
      <c r="M545" s="2">
        <f>HYPERLINK("https://ru.wikipedia.org/w/index.php?search=%D0%A1%D0%BA%D0%B0%D0%B7%D0%BA%D0%B8%20%D0%BF%D1%80%D0%B0%D0%B2%D0%B4%D1%8B%201961%20%D1%84%D0%B8%D0%BB%D1%8C%D0%BC","искать")</f>
        <v/>
      </c>
      <c r="N545" s="3" t="n"/>
      <c r="O545" s="2" t="n"/>
    </row>
    <row r="546">
      <c r="A546" s="2" t="n">
        <v>545</v>
      </c>
      <c r="B546" s="2" t="inlineStr">
        <is>
          <t>обрыв</t>
        </is>
      </c>
      <c r="C546" s="2" t="n">
        <v>10918</v>
      </c>
      <c r="D546" s="3" t="inlineStr">
        <is>
          <t>Тёплое место</t>
        </is>
      </c>
      <c r="E546" s="2" t="n">
        <v>1981</v>
      </c>
      <c r="F546" s="2" t="inlineStr">
        <is>
          <t>фильм-спектакль</t>
        </is>
      </c>
      <c r="G546" s="2" t="inlineStr">
        <is>
          <t>Центральное телевидение</t>
        </is>
      </c>
      <c r="H546" s="2" t="n">
        <v>453</v>
      </c>
      <c r="I546" s="2" t="inlineStr">
        <is>
          <t>да</t>
        </is>
      </c>
      <c r="J546" s="2" t="inlineStr"/>
      <c r="K546" s="3" t="inlineStr">
        <is>
          <t>Действие фильма происходит на одном из металлургических заводов на севере страны. Руководство завода пытаются решить проблему повышения производительности труда отстающей бригады формовщиков. Для этого на заводе создают показательную молодежную бригаду и предлагают её возглавить одному из отстающих - Абрамову. Но он, прошедший хорошую школу в армии, не оставляет товарищей, а вместе с бригадиром Батяйкиным выводит свою бригаду из разряда отстающих...</t>
        </is>
      </c>
      <c r="L546" s="2" t="inlineStr">
        <is>
          <t>https://www.kino-teatr.ru/teatr/movie/101502/annot/</t>
        </is>
      </c>
      <c r="M546" s="2">
        <f>HYPERLINK("https://ru.wikipedia.org/w/index.php?search=%D0%A2%D1%91%D0%BF%D0%BB%D0%BE%D0%B5%20%D0%BC%D0%B5%D1%81%D1%82%D0%BE%201981%20%D1%84%D0%B8%D0%BB%D1%8C%D0%BC","искать")</f>
        <v/>
      </c>
      <c r="N546" s="3" t="n"/>
      <c r="O546" s="2" t="n"/>
    </row>
    <row r="547">
      <c r="A547" s="2" t="n">
        <v>546</v>
      </c>
      <c r="B547" s="2" t="inlineStr">
        <is>
          <t>обрыв</t>
        </is>
      </c>
      <c r="C547" s="2" t="n">
        <v>10314</v>
      </c>
      <c r="D547" s="3" t="inlineStr">
        <is>
          <t>Легенда о любви</t>
        </is>
      </c>
      <c r="E547" s="2" t="n">
        <v>1969</v>
      </c>
      <c r="F547" s="2" t="inlineStr">
        <is>
          <t>фильм-спектакль</t>
        </is>
      </c>
      <c r="G547" s="2" t="inlineStr">
        <is>
          <t>Гл. ред. музыкальных программ</t>
        </is>
      </c>
      <c r="H547" s="2" t="n">
        <v>454</v>
      </c>
      <c r="I547" s="2" t="inlineStr">
        <is>
          <t>да</t>
        </is>
      </c>
      <c r="J547" s="2" t="inlineStr"/>
      <c r="K547" s="3" t="inlineStr">
        <is>
          <t>Телевариант балета (музыка А.Меликова, хореография Ю.Григоровича).
По мотивам пьесы Назыма Хикмета.
Восточное царство. Принцесса Ширин больна смертельной болезнью. Таинственный Незнакомец, появившийся во дворце, предлагает исцелить принцессу, но взамен ее сестра, царица Мехменэ-Бану должна принести в жертву свою красоту и стать безобразной... Царица соглашается и Ширин выздоравливает. Проходит время и сестры встречают прекрасного художника Ферхада...</t>
        </is>
      </c>
      <c r="L547" s="2" t="inlineStr">
        <is>
          <t>https://www.kino-teatr.ru/teatr/movie/92986/annot/</t>
        </is>
      </c>
      <c r="M547" s="2">
        <f>HYPERLINK("https://ru.wikipedia.org/w/index.php?search=%D0%9B%D0%B5%D0%B3%D0%B5%D0%BD%D0%B4%D0%B0%20%D0%BE%20%D0%BB%D1%8E%D0%B1%D0%B2%D0%B8%201969%20%D1%84%D0%B8%D0%BB%D1%8C%D0%BC","искать")</f>
        <v/>
      </c>
      <c r="N547" s="3" t="n"/>
      <c r="O547" s="2" t="n"/>
    </row>
    <row r="548">
      <c r="A548" s="2" t="n">
        <v>547</v>
      </c>
      <c r="B548" s="2" t="inlineStr">
        <is>
          <t>обрыв</t>
        </is>
      </c>
      <c r="C548" s="2" t="n">
        <v>10204</v>
      </c>
      <c r="D548" s="3" t="inlineStr">
        <is>
          <t>Машина Килиманджаро</t>
        </is>
      </c>
      <c r="E548" s="2" t="n">
        <v>1967</v>
      </c>
      <c r="F548" s="2" t="inlineStr">
        <is>
          <t>фильм-спектакль</t>
        </is>
      </c>
      <c r="G548" s="2" t="inlineStr">
        <is>
          <t>Ленинградское телевидение</t>
        </is>
      </c>
      <c r="H548" s="2" t="n">
        <v>457</v>
      </c>
      <c r="I548" s="2" t="inlineStr">
        <is>
          <t>да</t>
        </is>
      </c>
      <c r="J548" s="2" t="inlineStr"/>
      <c r="K548" s="3" t="inlineStr">
        <is>
          <t>Памяти Эрнеста Хемингуэя, по рассказу Рэя Бредбери.
Чего стоит правильно прожитая жизнь, если человеку не удалось правильно умереть? Знаменитый писатель и путешественник вдохновлял всех своими произведениями. Но его могила в тихом городке была явно не к месту. Не должно быть так, чтобы такой человек покоился на холме в такой глуши. Он должен умереть где-нибудь на вершине Килиманджаро от клыков - надо только, чтобы он сам это понял и согласился с этим...</t>
        </is>
      </c>
      <c r="L548" s="2" t="inlineStr">
        <is>
          <t>https://www.kino-teatr.ru/teatr/movie/119884/annot/</t>
        </is>
      </c>
      <c r="M548" s="2">
        <f>HYPERLINK("https://ru.wikipedia.org/w/index.php?search=%D0%9C%D0%B0%D1%88%D0%B8%D0%BD%D0%B0%20%D0%9A%D0%B8%D0%BB%D0%B8%D0%BC%D0%B0%D0%BD%D0%B4%D0%B6%D0%B0%D1%80%D0%BE%201967%20%D1%84%D0%B8%D0%BB%D1%8C%D0%BC","искать")</f>
        <v/>
      </c>
      <c r="N548" s="3" t="n"/>
      <c r="O548" s="2" t="n"/>
    </row>
    <row r="549">
      <c r="A549" s="2" t="n">
        <v>548</v>
      </c>
      <c r="B549" s="2" t="inlineStr">
        <is>
          <t>обрыв</t>
        </is>
      </c>
      <c r="C549" s="2" t="n">
        <v>10115</v>
      </c>
      <c r="D549" s="3" t="inlineStr">
        <is>
          <t>Собаки</t>
        </is>
      </c>
      <c r="E549" s="2" t="n">
        <v>1963</v>
      </c>
      <c r="F549" s="2" t="inlineStr">
        <is>
          <t>фильм-спектакль</t>
        </is>
      </c>
      <c r="G549" s="2" t="n"/>
      <c r="H549" s="2" t="n">
        <v>460</v>
      </c>
      <c r="I549" s="2" t="inlineStr">
        <is>
          <t>да</t>
        </is>
      </c>
      <c r="J549" s="2" t="inlineStr"/>
      <c r="K549" s="3" t="inlineStr">
        <is>
          <t>По одноименной пьесе Тоне Брулин "Собаки".
Эта история произошла в стране золота и алмазов, нищеты и воинствующего расизма, в стране, где капля за каплей копится море народного гнева. Эта история произошла в Южно-Африканской Республике.
На адрес безграмотного кафра Мпеле приходит сообщение из тюремной фермы о его… смерти, а также «имущество покойного»: трубка, ручка и блокнот… Недоумевающий Мпеле, никогда не бывший даже под арестом, обращается в полицию...</t>
        </is>
      </c>
      <c r="L549" s="2" t="inlineStr">
        <is>
          <t>https://www.kino-teatr.ru/teatr/movie/86619/annot/</t>
        </is>
      </c>
      <c r="M549" s="2">
        <f>HYPERLINK("https://ru.wikipedia.org/w/index.php?search=%D0%A1%D0%BE%D0%B1%D0%B0%D0%BA%D0%B8%201963%20%D1%84%D0%B8%D0%BB%D1%8C%D0%BC","искать")</f>
        <v/>
      </c>
      <c r="N549" s="3" t="n"/>
      <c r="O549" s="2" t="n"/>
    </row>
    <row r="550">
      <c r="A550" s="2" t="n">
        <v>549</v>
      </c>
      <c r="B550" s="2" t="inlineStr">
        <is>
          <t>обрыв</t>
        </is>
      </c>
      <c r="C550" s="2" t="n">
        <v>9813</v>
      </c>
      <c r="D550" s="3" t="inlineStr">
        <is>
          <t>Коловращение жизни</t>
        </is>
      </c>
      <c r="E550" s="2" t="n">
        <v>1958</v>
      </c>
      <c r="F550" s="2" t="inlineStr">
        <is>
          <t>телефильм</t>
        </is>
      </c>
      <c r="G550" s="2" t="inlineStr">
        <is>
          <t>Ленфильм</t>
        </is>
      </c>
      <c r="H550" s="2" t="n">
        <v>461</v>
      </c>
      <c r="I550" s="2" t="inlineStr">
        <is>
          <t>да</t>
        </is>
      </c>
      <c r="J550" s="2" t="inlineStr"/>
      <c r="K550" s="3" t="inlineStr">
        <is>
          <t>Телефильм по мотивам одноименного рассказа О.Генри.
К мировому судье Бинаджу Уиддепу приехал Рэнси Билбро со своей "половиной". Супружеская чета жаждала развода. Для судьи это было долгожданное событие, поскольку у судьи не было ни гроша. И бракоразводный процесс случился. Но что же могло произойти такого, что на следующий день супруги были готовы приступить к совершению торжественного обряда бракосочетания? И всё это им обошлось в пятидолларовую бумажку...</t>
        </is>
      </c>
      <c r="L550" s="2" t="inlineStr">
        <is>
          <t>https://www.kino-teatr.ru/short/movie/sov/9356/annot/</t>
        </is>
      </c>
      <c r="M550" s="2">
        <f>HYPERLINK("https://ru.wikipedia.org/w/index.php?search=%D0%9A%D0%BE%D0%BB%D0%BE%D0%B2%D1%80%D0%B0%D1%89%D0%B5%D0%BD%D0%B8%D0%B5%20%D0%B6%D0%B8%D0%B7%D0%BD%D0%B8%201958%20%D1%84%D0%B8%D0%BB%D1%8C%D0%BC","искать")</f>
        <v/>
      </c>
      <c r="N550" s="3" t="n"/>
      <c r="O550" s="2" t="n"/>
    </row>
    <row r="551">
      <c r="A551" s="2" t="n">
        <v>550</v>
      </c>
      <c r="B551" s="2" t="inlineStr">
        <is>
          <t>обрыв</t>
        </is>
      </c>
      <c r="C551" s="2" t="n">
        <v>10891</v>
      </c>
      <c r="D551" s="3" t="inlineStr">
        <is>
          <t>Мегрэ и человек на скамейке</t>
        </is>
      </c>
      <c r="E551" s="2" t="n">
        <v>1981</v>
      </c>
      <c r="F551" s="2" t="inlineStr">
        <is>
          <t>фильм-спектакль</t>
        </is>
      </c>
      <c r="G551" s="2" t="inlineStr">
        <is>
          <t>Ленинградское телевидение</t>
        </is>
      </c>
      <c r="H551" s="2" t="n">
        <v>467</v>
      </c>
      <c r="I551" s="2" t="inlineStr">
        <is>
          <t>да</t>
        </is>
      </c>
      <c r="J551" s="2" t="inlineStr"/>
      <c r="K551" s="3" t="inlineStr">
        <is>
          <t>В Париже, в глухом переулке рядом с бульваром Сен-Мартен найден убитый мужчина - Луи Туре. За расследование берётся инспектор Мегрэ. Сразу же выясняются странные обстоятельства – у убитого красный галстук и жёлтые ботинки, которые, по утверждению его жены, он никогда не носил. В кошельке - неизвестно откуда взявшаяся приличная сумма денег и очень старая фотография маленькой девочки. Очевидно, что покойный вёл вторую жизнь, которая была скрыта от глаз его семьи...</t>
        </is>
      </c>
      <c r="L551" s="2" t="inlineStr">
        <is>
          <t>https://www.kino-teatr.ru/teatr/movie/113072/annot/</t>
        </is>
      </c>
      <c r="M551" s="2">
        <f>HYPERLINK("https://ru.wikipedia.org/w/index.php?search=%D0%9C%D0%B5%D0%B3%D1%80%D1%8D%20%D0%B8%20%D1%87%D0%B5%D0%BB%D0%BE%D0%B2%D0%B5%D0%BA%20%D0%BD%D0%B0%20%D1%81%D0%BA%D0%B0%D0%BC%D0%B5%D0%B9%D0%BA%D0%B5%201981%20%D1%84%D0%B8%D0%BB%D1%8C%D0%BC","искать")</f>
        <v/>
      </c>
      <c r="N551" s="3" t="n"/>
      <c r="O551" s="2" t="n"/>
    </row>
    <row r="552">
      <c r="A552" s="2" t="n">
        <v>551</v>
      </c>
      <c r="B552" s="2" t="inlineStr">
        <is>
          <t>обрыв</t>
        </is>
      </c>
      <c r="C552" s="2" t="n">
        <v>10946</v>
      </c>
      <c r="D552" s="3" t="inlineStr">
        <is>
          <t>Летние прогулки</t>
        </is>
      </c>
      <c r="E552" s="2" t="n">
        <v>1982</v>
      </c>
      <c r="F552" s="2" t="inlineStr">
        <is>
          <t>фильм-спектакль</t>
        </is>
      </c>
      <c r="G552" s="2" t="inlineStr">
        <is>
          <t>Главная редакция литературно-драматических программ</t>
        </is>
      </c>
      <c r="H552" s="2" t="n">
        <v>469</v>
      </c>
      <c r="I552" s="2" t="inlineStr">
        <is>
          <t>да</t>
        </is>
      </c>
      <c r="J552" s="2" t="inlineStr"/>
      <c r="K552" s="3" t="inlineStr">
        <is>
          <t>По одноименной пьесе А.Салынского в постановке Государственного академического Малого театра.
Молодой студент-заочник Борис Куликов, приехав в поселок Кардымовку, узнает, что проживавший здесь до своей кончины начальник пристани Бунеев был его отцом. Заинтересовавшись прошлым отца, Борис выясняет, что Бунеев в свое время отказался от профессии архитектора, так как его проект моста был отвергнут. Борис стремится доказать, что идеи отца были новаторскими и ценными...</t>
        </is>
      </c>
      <c r="L552" s="2" t="inlineStr">
        <is>
          <t>https://www.kino-teatr.ru/teatr/movie/82045/annot/</t>
        </is>
      </c>
      <c r="M552" s="2">
        <f>HYPERLINK("https://ru.wikipedia.org/w/index.php?search=%D0%9B%D0%B5%D1%82%D0%BD%D0%B8%D0%B5%20%D0%BF%D1%80%D0%BE%D0%B3%D1%83%D0%BB%D0%BA%D0%B8%201982%20%D1%84%D0%B8%D0%BB%D1%8C%D0%BC","искать")</f>
        <v/>
      </c>
      <c r="N552" s="3" t="n"/>
      <c r="O552" s="2" t="n"/>
    </row>
    <row r="553">
      <c r="A553" s="2" t="n">
        <v>552</v>
      </c>
      <c r="B553" s="2" t="inlineStr">
        <is>
          <t>обрыв</t>
        </is>
      </c>
      <c r="C553" s="2" t="n">
        <v>9827</v>
      </c>
      <c r="D553" s="3" t="inlineStr">
        <is>
          <t>Двое</t>
        </is>
      </c>
      <c r="E553" s="2" t="n">
        <v>1965</v>
      </c>
      <c r="F553" s="2" t="inlineStr">
        <is>
          <t>кинофильм</t>
        </is>
      </c>
      <c r="G553" s="2" t="inlineStr">
        <is>
          <t>Рижская киностудия</t>
        </is>
      </c>
      <c r="H553" s="2" t="n">
        <v>471</v>
      </c>
      <c r="I553" s="2" t="inlineStr">
        <is>
          <t>да</t>
        </is>
      </c>
      <c r="J553" s="2" t="inlineStr"/>
      <c r="K553" s="3" t="inlineStr">
        <is>
          <t>Гуляя по шумным улицам Риги, студент консерватории Сергей вдруг увидел красивую девушку. Она действительно красива какой-то своеобразной, необычной красотой. Молодой человек оказывет всевозможные знаки внимания понравившейся ему красивой девушке. Он ухаживает за ней, дарит цветы и прижимает к сердцу её фотографию. Девушке приятны его ухаживания, но она почему-то не хочет с ним разговаривать, не отвечает ему ни слова. Неожиданно выясняется, что она ничего не слышит...</t>
        </is>
      </c>
      <c r="L553" s="2" t="inlineStr">
        <is>
          <t>https://www.kino-teatr.ru/short/movie/sov/1666/annot/</t>
        </is>
      </c>
      <c r="M553" s="2">
        <f>HYPERLINK("https://ru.wikipedia.org/w/index.php?search=%D0%94%D0%B2%D0%BE%D0%B5%201965%20%D1%84%D0%B8%D0%BB%D1%8C%D0%BC","искать")</f>
        <v/>
      </c>
      <c r="N553" s="3" t="n"/>
      <c r="O553" s="2" t="n"/>
    </row>
    <row r="554">
      <c r="A554" s="2" t="n">
        <v>553</v>
      </c>
      <c r="B554" s="2" t="inlineStr">
        <is>
          <t>обрыв</t>
        </is>
      </c>
      <c r="C554" s="2" t="n">
        <v>10028</v>
      </c>
      <c r="D554" s="3" t="inlineStr">
        <is>
          <t>Защитник Седов</t>
        </is>
      </c>
      <c r="E554" s="2" t="n">
        <v>1988</v>
      </c>
      <c r="F554" s="2" t="inlineStr">
        <is>
          <t>кинофильм</t>
        </is>
      </c>
      <c r="G554" s="2" t="inlineStr">
        <is>
          <t>Мосфильм, ЭМТО «Дебют»</t>
        </is>
      </c>
      <c r="H554" s="2" t="n">
        <v>475</v>
      </c>
      <c r="I554" s="2" t="inlineStr">
        <is>
          <t>да</t>
        </is>
      </c>
      <c r="J554" s="2" t="inlineStr"/>
      <c r="K554" s="3" t="inlineStr">
        <is>
          <t>По одноименному рассказу Ильи Зверева.
Действие происходит в середине 30-х, во времена сложившейся системы беззаконий. Уступив настояниям родственников осужденных людей, столичный адвокат едет в провинцию, чтобы попытаться предотвратить беззаконие. Как ни странно, ему это удается — вместо тех, кого он спас, расстреливают их обидчиков, а затем пособников осужденных, а затем сообщников пособников. Седов ехал не напрасно — выявлена новая антиправительственная группировка...</t>
        </is>
      </c>
      <c r="L554" s="2" t="inlineStr">
        <is>
          <t>https://www.kino-teatr.ru/short/movie/sov/2418/annot/</t>
        </is>
      </c>
      <c r="M554" s="2">
        <f>HYPERLINK("https://ru.wikipedia.org/w/index.php?search=%D0%97%D0%B0%D1%89%D0%B8%D1%82%D0%BD%D0%B8%D0%BA%20%D0%A1%D0%B5%D0%B4%D0%BE%D0%B2%201988%20%D1%84%D0%B8%D0%BB%D1%8C%D0%BC","искать")</f>
        <v/>
      </c>
      <c r="N554" s="3" t="n"/>
      <c r="O554" s="2" t="n"/>
    </row>
    <row r="555">
      <c r="A555" s="2" t="n">
        <v>554</v>
      </c>
      <c r="B555" s="2" t="inlineStr">
        <is>
          <t>обрыв</t>
        </is>
      </c>
      <c r="C555" s="2" t="n">
        <v>9882</v>
      </c>
      <c r="D555" s="3" t="inlineStr">
        <is>
          <t>Сотворение (Легенда)</t>
        </is>
      </c>
      <c r="E555" s="2" t="n">
        <v>1970</v>
      </c>
      <c r="F555" s="2" t="inlineStr">
        <is>
          <t>кинофильм</t>
        </is>
      </c>
      <c r="G555" s="2" t="inlineStr">
        <is>
          <t>Киностудия им.А.Довженко</t>
        </is>
      </c>
      <c r="H555" s="2" t="n">
        <v>480</v>
      </c>
      <c r="I555" s="2" t="inlineStr">
        <is>
          <t>да</t>
        </is>
      </c>
      <c r="J555" s="2" t="inlineStr"/>
      <c r="K555" s="3" t="inlineStr">
        <is>
          <t>Первая художественная картина о жизни абхазского народа, о его древних традициях и культуре.
По мотивам повести Г. Гулиа "Каштановый дом". Легенда о реставраторе древнего храма Джуме и его возлюбленной Амре. Девушка, с детства боявшаяся высоты, попросила Джуму не подниматься на купол храма. Дурное предчувствие оказалось не напрасным. Джума погибает. И тогда Амра, победив страх, поднимается на купол. Перед ней, с высоты птичьего полета, открывается прекрасный вид на Абхазию...</t>
        </is>
      </c>
      <c r="L555" s="2" t="inlineStr">
        <is>
          <t>https://www.kino-teatr.ru/short/movie/sov/111431/annot/</t>
        </is>
      </c>
      <c r="M555" s="2">
        <f>HYPERLINK("https://ru.wikipedia.org/w/index.php?search=%D0%A1%D0%BE%D1%82%D0%B2%D0%BE%D1%80%D0%B5%D0%BD%D0%B8%D0%B5%20%28%D0%9B%D0%B5%D0%B3%D0%B5%D0%BD%D0%B4%D0%B0%29%201970%20%D1%84%D0%B8%D0%BB%D1%8C%D0%BC","искать")</f>
        <v/>
      </c>
      <c r="N555" s="3" t="n"/>
      <c r="O555" s="2" t="n"/>
    </row>
    <row r="556">
      <c r="A556" s="2" t="n">
        <v>555</v>
      </c>
      <c r="B556" s="2" t="inlineStr">
        <is>
          <t>обрыв</t>
        </is>
      </c>
      <c r="C556" s="2" t="n">
        <v>11234</v>
      </c>
      <c r="D556" s="3" t="inlineStr">
        <is>
          <t>Цитата</t>
        </is>
      </c>
      <c r="E556" s="2" t="n">
        <v>1988</v>
      </c>
      <c r="F556" s="2" t="inlineStr">
        <is>
          <t>фильм-спектакль</t>
        </is>
      </c>
      <c r="G556" s="2" t="inlineStr">
        <is>
          <t>Главная редакция литературно-драматических программ ЦТ</t>
        </is>
      </c>
      <c r="H556" s="2" t="n">
        <v>484</v>
      </c>
      <c r="I556" s="2" t="inlineStr">
        <is>
          <t>да</t>
        </is>
      </c>
      <c r="J556" s="2" t="inlineStr"/>
      <c r="K556" s="3" t="inlineStr">
        <is>
          <t>По одноименной пьесе в стихах Ленида Зорина.
Видеозапись спектакля Театра имени Моссовета.
Начальник одного из учреждений Балтазаров вывесил в своем кабинете плакат с понравившейся ему цитатой. Со временем он забыл, где ее позаимствовал. Начальник более высокого ранга, прочтя злополучную цитату, потребовал выяснить, кто ее автор. Этим воспользовался один из новых служащих, предложивший в обмен за установление автора цитаты выдать за него дочь насмерть перепуганного Балтазарова...</t>
        </is>
      </c>
      <c r="L556" s="2" t="inlineStr">
        <is>
          <t>https://www.kino-teatr.ru/teatr/movie/7722/annot/</t>
        </is>
      </c>
      <c r="M556" s="2">
        <f>HYPERLINK("https://ru.wikipedia.org/w/index.php?search=%D0%A6%D0%B8%D1%82%D0%B0%D1%82%D0%B0%201988%20%D1%84%D0%B8%D0%BB%D1%8C%D0%BC","искать")</f>
        <v/>
      </c>
      <c r="N556" s="3" t="n"/>
      <c r="O556" s="2" t="n"/>
    </row>
    <row r="557">
      <c r="A557" s="2" t="n">
        <v>556</v>
      </c>
      <c r="B557" s="2" t="inlineStr">
        <is>
          <t>обрыв</t>
        </is>
      </c>
      <c r="C557" s="2" t="n">
        <v>11140</v>
      </c>
      <c r="D557" s="3" t="inlineStr">
        <is>
          <t>Белые розы, розовые слоны</t>
        </is>
      </c>
      <c r="E557" s="2" t="n">
        <v>1987</v>
      </c>
      <c r="F557" s="2" t="inlineStr">
        <is>
          <t>фильм-спектакль</t>
        </is>
      </c>
      <c r="G557" s="2" t="inlineStr">
        <is>
          <t>Главная редакция литературно-драматических программ ЦТ</t>
        </is>
      </c>
      <c r="H557" s="2" t="n">
        <v>485</v>
      </c>
      <c r="I557" s="2" t="inlineStr">
        <is>
          <t>да</t>
        </is>
      </c>
      <c r="J557" s="2" t="inlineStr"/>
      <c r="K557" s="3" t="inlineStr">
        <is>
          <t>По мотивам одноименной пьесы американского драматурга Уильяма Гибсона. Обитательница богадельни - Молли Иган - принимает участие в пикетировании лаборатории, разрабатывающей ядерное оружие. Судья Генри Пулэски признает ее виновной в "нарушении границы частного владения". Не вняв его предупреждению, Молли вновь участвует в пикете, за что попадает в тюрьму. После разговоров с Молли судья проникает в суть проблемы и пытается помочь женщине, но спасти тяжелобольную Молли не удается...</t>
        </is>
      </c>
      <c r="L557" s="2" t="inlineStr">
        <is>
          <t>https://www.kino-teatr.ru/teatr/movie/15843/annot/</t>
        </is>
      </c>
      <c r="M557" s="2">
        <f>HYPERLINK("https://ru.wikipedia.org/w/index.php?search=%D0%91%D0%B5%D0%BB%D1%8B%D0%B5%20%D1%80%D0%BE%D0%B7%D1%8B%2C%20%D1%80%D0%BE%D0%B7%D0%BE%D0%B2%D1%8B%D0%B5%20%D1%81%D0%BB%D0%BE%D0%BD%D1%8B%201987%20%D1%84%D0%B8%D0%BB%D1%8C%D0%BC","искать")</f>
        <v/>
      </c>
      <c r="N557" s="3" t="n"/>
      <c r="O557" s="2" t="n"/>
    </row>
    <row r="558">
      <c r="A558" s="2" t="n">
        <v>557</v>
      </c>
      <c r="B558" s="2" t="inlineStr">
        <is>
          <t>обрыв</t>
        </is>
      </c>
      <c r="C558" s="2" t="n">
        <v>10504</v>
      </c>
      <c r="D558" s="3" t="inlineStr">
        <is>
          <t>Месяц в деревне</t>
        </is>
      </c>
      <c r="E558" s="2" t="n">
        <v>1973</v>
      </c>
      <c r="F558" s="2" t="inlineStr">
        <is>
          <t>фильм-спектакль</t>
        </is>
      </c>
      <c r="G558" s="2" t="inlineStr">
        <is>
          <t>Главная редакция литературно-драматических программ ЦТ</t>
        </is>
      </c>
      <c r="H558" s="2" t="n">
        <v>493</v>
      </c>
      <c r="I558" s="2" t="inlineStr">
        <is>
          <t>да</t>
        </is>
      </c>
      <c r="J558" s="2" t="inlineStr"/>
      <c r="K558" s="3" t="inlineStr">
        <is>
          <t>По одноименной пьесе И.Тургенева в постановке Московского театра имени М.Н.Ермоловой.
Действие происходит в начале сороковых годов XIX века.
В основе пьесы лежит любовный четырехугольник. Наталья Петровна — жена богатого помещика Аркадия Сергеича Ислаева — влюбляется в студента Алексея Беляева, который обучает Колю, сына Ислаевых. Друг семьи Михаил Александрович Ракитин уже давно любит Наталью Петровну. Верочка, 17-летняя воспитанница Натальи Петровны, тоже влюбляется в Алексея Беляева...</t>
        </is>
      </c>
      <c r="L558" s="2" t="inlineStr">
        <is>
          <t>https://www.kino-teatr.ru/teatr/movie/93001/annot/</t>
        </is>
      </c>
      <c r="M558" s="2">
        <f>HYPERLINK("https://ru.wikipedia.org/w/index.php?search=%D0%9C%D0%B5%D1%81%D1%8F%D1%86%20%D0%B2%20%D0%B4%D0%B5%D1%80%D0%B5%D0%B2%D0%BD%D0%B5%201973%20%D1%84%D0%B8%D0%BB%D1%8C%D0%BC","искать")</f>
        <v/>
      </c>
      <c r="N558" s="3" t="n"/>
      <c r="O558" s="2" t="n"/>
    </row>
    <row r="559">
      <c r="A559" s="2" t="n">
        <v>558</v>
      </c>
      <c r="B559" s="2" t="inlineStr">
        <is>
          <t>обрыв</t>
        </is>
      </c>
      <c r="C559" s="2" t="n">
        <v>10118</v>
      </c>
      <c r="D559" s="3" t="inlineStr">
        <is>
          <t>Банкир</t>
        </is>
      </c>
      <c r="E559" s="2" t="n">
        <v>1964</v>
      </c>
      <c r="F559" s="2" t="inlineStr">
        <is>
          <t>фильм-спектакль</t>
        </is>
      </c>
      <c r="G559" s="2" t="inlineStr">
        <is>
          <t>Центральное телевидение</t>
        </is>
      </c>
      <c r="H559" s="2" t="n">
        <v>494</v>
      </c>
      <c r="I559" s="2" t="inlineStr">
        <is>
          <t>да</t>
        </is>
      </c>
      <c r="J559" s="2" t="inlineStr"/>
      <c r="K559" s="3" t="inlineStr">
        <is>
          <t>По одноименному произведению Александра Корнейчука.
Дочь управляющего городским отделением Госбанка Романа Степановича Кручи - Галина, воспитанная им одним с трехлетнего возраста, выходит замуж за директора мебельного комбината Андрея Тура. Выясняется, что Андрей, получив банковский кредит для своего комбината, не может его вернуть в срок, так как комбинат изготовил бракованную продукцию, не принятую заказчиком. Андрея снимают с работы и он вместе с Галиной уезжает на новое место работы...</t>
        </is>
      </c>
      <c r="L559" s="2" t="inlineStr">
        <is>
          <t>https://www.kino-teatr.ru/teatr/movie/82907/annot/</t>
        </is>
      </c>
      <c r="M559" s="2">
        <f>HYPERLINK("https://ru.wikipedia.org/w/index.php?search=%D0%91%D0%B0%D0%BD%D0%BA%D0%B8%D1%80%201964%20%D1%84%D0%B8%D0%BB%D1%8C%D0%BC","искать")</f>
        <v/>
      </c>
      <c r="N559" s="3" t="n"/>
      <c r="O559" s="2" t="n"/>
    </row>
    <row r="560">
      <c r="A560" s="2" t="n">
        <v>559</v>
      </c>
      <c r="B560" s="2" t="inlineStr">
        <is>
          <t>обрыв</t>
        </is>
      </c>
      <c r="C560" s="2" t="n">
        <v>11349</v>
      </c>
      <c r="D560" s="3" t="inlineStr">
        <is>
          <t>Тени</t>
        </is>
      </c>
      <c r="E560" s="2" t="n">
        <v>1991</v>
      </c>
      <c r="F560" s="2" t="inlineStr">
        <is>
          <t>фильм-спектакль</t>
        </is>
      </c>
      <c r="G560" s="2" t="inlineStr">
        <is>
          <t>Главная редакция литературно-драматический программ ЦТ</t>
        </is>
      </c>
      <c r="H560" s="2" t="n">
        <v>495</v>
      </c>
      <c r="I560" s="2" t="inlineStr">
        <is>
          <t>да</t>
        </is>
      </c>
      <c r="J560" s="2" t="inlineStr"/>
      <c r="K560" s="3" t="inlineStr">
        <is>
          <t>Телеспектакль, драматическая сатира по одноименной пьесе М. Е. Салтыкова-Щедрина.
Из провинции в Петербург приезжает либерально настроенный молодой чиновник Бобырев. Он надеется сделать карьеру под покровительством своего школьного товарища Клаверова, ставшего генералом.
Генерал с радостью определяет Бобырева в свою канцелярию, и уже выстраивает планы о том, что через красавицу Софью, жену Бобырева, будет вести успешную борьбу с противниками и влиять на сластолюбивого министра Тараканова...</t>
        </is>
      </c>
      <c r="L560" s="2" t="inlineStr">
        <is>
          <t>https://www.kino-teatr.ru/teatr/movie/7115/annot/</t>
        </is>
      </c>
      <c r="M560" s="2">
        <f>HYPERLINK("https://ru.wikipedia.org/w/index.php?search=%D0%A2%D0%B5%D0%BD%D0%B8%201991%20%D1%84%D0%B8%D0%BB%D1%8C%D0%BC","искать")</f>
        <v/>
      </c>
      <c r="N560" s="3" t="n"/>
      <c r="O560" s="2" t="n"/>
    </row>
    <row r="561">
      <c r="A561" s="2" t="n">
        <v>560</v>
      </c>
      <c r="B561" s="2" t="inlineStr">
        <is>
          <t>обрыв</t>
        </is>
      </c>
      <c r="C561" s="2" t="n">
        <v>10661</v>
      </c>
      <c r="D561" s="3" t="inlineStr">
        <is>
          <t>Она родилась в сорочке</t>
        </is>
      </c>
      <c r="E561" s="2" t="n">
        <v>1976</v>
      </c>
      <c r="F561" s="2" t="inlineStr">
        <is>
          <t>фильм-спектакль</t>
        </is>
      </c>
      <c r="G561" s="2" t="n"/>
      <c r="H561" s="2" t="n">
        <v>496</v>
      </c>
      <c r="I561" s="2" t="inlineStr">
        <is>
          <t>да</t>
        </is>
      </c>
      <c r="J561" s="2" t="inlineStr"/>
      <c r="K561" s="3" t="inlineStr">
        <is>
          <t>Когда-то пани Ауэр-Корольницка была актрисой, но это было в далеком прошлом. Сейчас она бабушка в большой семье, и без нее никто не может даже обед приготовить. И вот ее внучка Мышка, и инициативный сосед, решили организовать ее возвращение в театр, на сцену! Их благороднейший порыв обернулся заговором. Основной замысел был таков: все театры должны драться, чтоб заполучить актрису. У них все получится, потому что бабушка родилась в сорочке. Вся Варшава будет потрясена! И это только начало...</t>
        </is>
      </c>
      <c r="L561" s="2" t="inlineStr">
        <is>
          <t>https://www.kino-teatr.ru/teatr/movie/81462/annot/</t>
        </is>
      </c>
      <c r="M561" s="2">
        <f>HYPERLINK("https://ru.wikipedia.org/w/index.php?search=%D0%9E%D0%BD%D0%B0%20%D1%80%D0%BE%D0%B4%D0%B8%D0%BB%D0%B0%D1%81%D1%8C%20%D0%B2%20%D1%81%D0%BE%D1%80%D0%BE%D1%87%D0%BA%D0%B5%201976%20%D1%84%D0%B8%D0%BB%D1%8C%D0%BC","искать")</f>
        <v/>
      </c>
      <c r="N561" s="3" t="n"/>
      <c r="O561" s="2" t="n"/>
    </row>
    <row r="562">
      <c r="A562" s="2" t="n">
        <v>561</v>
      </c>
      <c r="B562" s="2" t="inlineStr">
        <is>
          <t>обрыв</t>
        </is>
      </c>
      <c r="C562" s="2" t="n">
        <v>10566</v>
      </c>
      <c r="D562" s="3" t="inlineStr">
        <is>
          <t>Мадемуазель Нитуш</t>
        </is>
      </c>
      <c r="E562" s="2" t="n">
        <v>1974</v>
      </c>
      <c r="F562" s="2" t="inlineStr">
        <is>
          <t>фильм-спектакль</t>
        </is>
      </c>
      <c r="G562" s="2" t="n"/>
      <c r="H562" s="2" t="n">
        <v>504</v>
      </c>
      <c r="I562" s="2" t="inlineStr">
        <is>
          <t>да</t>
        </is>
      </c>
      <c r="J562" s="2" t="inlineStr"/>
      <c r="K562" s="3" t="inlineStr">
        <is>
          <t>По оперетте Ф.Эрве. Постановка театра им. М.Н.Ермоловой.
Милая история любви, рассказанная с юмором и под прекрасную музыку. Скромная воспитанница пансиона мечтает о театре, а родители собираются без спросу выдать ее замуж за неизвестного военного. Да и военного этого никто не спрашивал о согласии. Но браку по расчету не суждено было состояться, ибо в нашей истории замешан еще один мечтатель - еще более скромный музыкант, он же блистательный композитор Флоридор, написавший очаровательную оперетту...</t>
        </is>
      </c>
      <c r="L562" s="2" t="inlineStr">
        <is>
          <t>https://www.kino-teatr.ru/teatr/movie/81373/annot/</t>
        </is>
      </c>
      <c r="M562" s="2">
        <f>HYPERLINK("https://ru.wikipedia.org/w/index.php?search=%D0%9C%D0%B0%D0%B4%D0%B5%D0%BC%D1%83%D0%B0%D0%B7%D0%B5%D0%BB%D1%8C%20%D0%9D%D0%B8%D1%82%D1%83%D1%88%201974%20%D1%84%D0%B8%D0%BB%D1%8C%D0%BC","искать")</f>
        <v/>
      </c>
      <c r="N562" s="3" t="n"/>
      <c r="O562" s="2" t="n"/>
    </row>
    <row r="563">
      <c r="A563" s="2" t="n">
        <v>562</v>
      </c>
      <c r="B563" s="2" t="inlineStr">
        <is>
          <t>обрыв</t>
        </is>
      </c>
      <c r="C563" s="2" t="n">
        <v>9935</v>
      </c>
      <c r="D563" s="3" t="inlineStr">
        <is>
          <t>История с метранпажем</t>
        </is>
      </c>
      <c r="E563" s="2" t="n">
        <v>1978</v>
      </c>
      <c r="F563" s="2" t="inlineStr">
        <is>
          <t>кинофильм</t>
        </is>
      </c>
      <c r="G563" s="2" t="inlineStr">
        <is>
          <t>Мосфильм (ДЕБЮТ)</t>
        </is>
      </c>
      <c r="H563" s="2" t="n">
        <v>505</v>
      </c>
      <c r="I563" s="2" t="inlineStr">
        <is>
          <t>да</t>
        </is>
      </c>
      <c r="J563" s="2" t="inlineStr"/>
      <c r="K563" s="3" t="inlineStr">
        <is>
          <t>По пьесе А.Вампилова.
События картины происходят в провинциальной гостинице. Ее администратор (некто Калошин) выгоняет из женского номера молодого человека Потапова, при этом оскорбляя и унижая выставленного гостя. В свою очередь, не меньше возмущена поведением хама-администратора и хозяйка номера, симпатичная молодая девушка. Страсти накаляются после того, как парень сообщает своему обидчику, что он работает в столичной газете. С перепуганным до смерти обидчиком начинают происходить страшные вещи...</t>
        </is>
      </c>
      <c r="L563" s="2" t="inlineStr">
        <is>
          <t>https://www.kino-teatr.ru/short/movie/sov/2777/annot/</t>
        </is>
      </c>
      <c r="M563" s="2">
        <f>HYPERLINK("https://ru.wikipedia.org/w/index.php?search=%D0%98%D1%81%D1%82%D0%BE%D1%80%D0%B8%D1%8F%20%D1%81%20%D0%BC%D0%B5%D1%82%D1%80%D0%B0%D0%BD%D0%BF%D0%B0%D0%B6%D0%B5%D0%BC%201978%20%D1%84%D0%B8%D0%BB%D1%8C%D0%BC","искать")</f>
        <v/>
      </c>
      <c r="N563" s="3" t="n"/>
      <c r="O563" s="2" t="n"/>
    </row>
    <row r="564">
      <c r="A564" s="2" t="n">
        <v>563</v>
      </c>
      <c r="B564" s="2" t="inlineStr">
        <is>
          <t>обрыв</t>
        </is>
      </c>
      <c r="C564" s="2" t="n">
        <v>11162</v>
      </c>
      <c r="D564" s="3" t="inlineStr">
        <is>
          <t>Конотопская ведьма</t>
        </is>
      </c>
      <c r="E564" s="2" t="n">
        <v>1987</v>
      </c>
      <c r="F564" s="2" t="inlineStr">
        <is>
          <t>фильм-спектакль</t>
        </is>
      </c>
      <c r="G564" s="2" t="inlineStr">
        <is>
          <t>Укртелефильм</t>
        </is>
      </c>
      <c r="H564" s="2" t="n">
        <v>506</v>
      </c>
      <c r="I564" s="2" t="inlineStr">
        <is>
          <t>да</t>
        </is>
      </c>
      <c r="J564" s="2" t="inlineStr"/>
      <c r="K564" s="3" t="inlineStr">
        <is>
          <t>По мотивам одноименной повести Г.Квитки-Основьяненко в постановке Киевского академического украинского драматического театра имени И.Франко.
Действие происходит на Украине в XVIII веке. Сотник маленького городка Конотоп, безнадежно влюбленный в дивчину Олену, попадает в ловушку, расставленную его хитроумным писарем, мечтающим занять его место. Сотник должен, якобы по приказу своего начальника, во время жестокой засухи утопить всех женщин, подозреваемых в колдовстве. И вскоре такая ведьма находится....</t>
        </is>
      </c>
      <c r="L564" s="2" t="inlineStr">
        <is>
          <t>https://www.kino-teatr.ru/teatr/movie/81313/annot/</t>
        </is>
      </c>
      <c r="M564" s="2">
        <f>HYPERLINK("https://ru.wikipedia.org/w/index.php?search=%D0%9A%D0%BE%D0%BD%D0%BE%D1%82%D0%BE%D0%BF%D1%81%D0%BA%D0%B0%D1%8F%20%D0%B2%D0%B5%D0%B4%D1%8C%D0%BC%D0%B0%201987%20%D1%84%D0%B8%D0%BB%D1%8C%D0%BC","искать")</f>
        <v/>
      </c>
      <c r="N564" s="3" t="n"/>
      <c r="O564" s="2" t="n"/>
    </row>
    <row r="565">
      <c r="A565" s="2" t="n">
        <v>564</v>
      </c>
      <c r="B565" s="2" t="inlineStr">
        <is>
          <t>обрыв</t>
        </is>
      </c>
      <c r="C565" s="2" t="n">
        <v>10274</v>
      </c>
      <c r="D565" s="3" t="inlineStr">
        <is>
          <t>Солярис</t>
        </is>
      </c>
      <c r="E565" s="2" t="n">
        <v>1968</v>
      </c>
      <c r="F565" s="2" t="inlineStr">
        <is>
          <t>фильм-спектакль</t>
        </is>
      </c>
      <c r="G565" s="2" t="inlineStr">
        <is>
          <t>Главня редакция литературно-драматических программ ЦТ</t>
        </is>
      </c>
      <c r="H565" s="2" t="n">
        <v>514</v>
      </c>
      <c r="I565" s="2" t="inlineStr">
        <is>
          <t>да</t>
        </is>
      </c>
      <c r="J565" s="2" t="inlineStr"/>
      <c r="K565" s="3" t="inlineStr">
        <is>
          <t>Первая экранизация одноименного романа Станислава Лема. ...XXI век. Внимание ученых мира приковано к далекой, неизвестной планете Солярис. На ней обнаружена органическая жизнь в форме гигантского океана протоплазмы, покрывающей всю планету. Океан проявляет признаки сознательной деятельности, но все попытки землян установить с ним контакт кончаются неудачей. А на орбитальной станции Соляриса происходят непонятные вещи - люди обнаруживают, что их мысли, воспоминания вдруг обрели способность материализоваться...</t>
        </is>
      </c>
      <c r="L565" s="2" t="inlineStr">
        <is>
          <t>https://www.kino-teatr.ru/teatr/movie/15910/annot/</t>
        </is>
      </c>
      <c r="M565" s="2">
        <f>HYPERLINK("https://ru.wikipedia.org/w/index.php?search=%D0%A1%D0%BE%D0%BB%D1%8F%D1%80%D0%B8%D1%81%201968%20%D1%84%D0%B8%D0%BB%D1%8C%D0%BC","искать")</f>
        <v/>
      </c>
      <c r="N565" s="3" t="n"/>
      <c r="O565" s="2" t="n"/>
    </row>
    <row r="566">
      <c r="A566" s="2" t="n">
        <v>565</v>
      </c>
      <c r="B566" s="2" t="inlineStr">
        <is>
          <t>обрыв</t>
        </is>
      </c>
      <c r="C566" s="2" t="n">
        <v>10780</v>
      </c>
      <c r="D566" s="3" t="inlineStr">
        <is>
          <t>Тогда в Севилье</t>
        </is>
      </c>
      <c r="E566" s="2" t="n">
        <v>1978</v>
      </c>
      <c r="F566" s="2" t="inlineStr">
        <is>
          <t>фильм-спектакль</t>
        </is>
      </c>
      <c r="G566" s="2" t="inlineStr">
        <is>
          <t>ТО" Экран"</t>
        </is>
      </c>
      <c r="H566" s="2" t="n">
        <v>530</v>
      </c>
      <c r="I566" s="2" t="inlineStr">
        <is>
          <t>да</t>
        </is>
      </c>
      <c r="J566" s="2" t="inlineStr"/>
      <c r="K566" s="3" t="inlineStr">
        <is>
          <t>Знаменитая история о Доне Жуане, родившаяся в Испании и облетевшая весь мир, получила оригинальную трактовку в пьесе Самуила Алешина. Оказывается, знаменитый обольститель и сердцеед — женщина! Обольщение дам для неё — защитная реакция от подозрений. Молодая девушка вынуждена скрывать свой пол, иначе будет лишена наследства отца. Но сердце обаятельной соблазнительницы недолго остается бесстрастным — она влюбляется в молодого и благородного Дона Гонзело (Командора), который сразу узнает в её облике единственную возлюбленную...</t>
        </is>
      </c>
      <c r="L566" s="2" t="inlineStr">
        <is>
          <t>https://www.kino-teatr.ru/teatr/movie/98119/annot/</t>
        </is>
      </c>
      <c r="M566" s="2">
        <f>HYPERLINK("https://ru.wikipedia.org/w/index.php?search=%D0%A2%D0%BE%D0%B3%D0%B4%D0%B0%20%D0%B2%20%D0%A1%D0%B5%D0%B2%D0%B8%D0%BB%D1%8C%D0%B5%201978%20%D1%84%D0%B8%D0%BB%D1%8C%D0%BC","искать")</f>
        <v/>
      </c>
      <c r="N566" s="3" t="n"/>
      <c r="O566" s="2" t="n"/>
    </row>
    <row r="567">
      <c r="A567" s="2" t="n">
        <v>566</v>
      </c>
      <c r="B567" s="2" t="inlineStr">
        <is>
          <t>обрыв</t>
        </is>
      </c>
      <c r="C567" s="2" t="n">
        <v>9992</v>
      </c>
      <c r="D567" s="3" t="inlineStr">
        <is>
          <t>Незнакомая песня</t>
        </is>
      </c>
      <c r="E567" s="2" t="n">
        <v>1983</v>
      </c>
      <c r="F567" s="2" t="inlineStr">
        <is>
          <t>кинофильм</t>
        </is>
      </c>
      <c r="G567" s="2" t="inlineStr">
        <is>
          <t>Беларусьфильм</t>
        </is>
      </c>
      <c r="H567" s="2" t="n">
        <v>539</v>
      </c>
      <c r="I567" s="2" t="inlineStr">
        <is>
          <t>да</t>
        </is>
      </c>
      <c r="J567" s="2" t="inlineStr"/>
      <c r="K567" s="3" t="inlineStr">
        <is>
          <t>По мотивам рассказа Василя Хомченко. Бывший танкист, путевой обходчик Иван Панасюк в День танкиста неожиданно для жены засобирался в город навестить своего фронтового товарища Колю Кравченко. Впервые после войны Иван не получил от друга поздравления с их общим праздником и забеспокоился. Колю он не нашел - его старый дом снесли. Весь день Иван провел в городе, увидел праздничный салют, случайно познакомился с пожилым полковником, с которым, как оказалось, они вместе участвовали в боях за освобождение небольшого венгерского городка...</t>
        </is>
      </c>
      <c r="L567" s="2" t="inlineStr">
        <is>
          <t>https://www.kino-teatr.ru/short/movie/sov/84821/annot/</t>
        </is>
      </c>
      <c r="M567" s="2">
        <f>HYPERLINK("https://ru.wikipedia.org/w/index.php?search=%D0%9D%D0%B5%D0%B7%D0%BD%D0%B0%D0%BA%D0%BE%D0%BC%D0%B0%D1%8F%20%D0%BF%D0%B5%D1%81%D0%BD%D1%8F%201983%20%D1%84%D0%B8%D0%BB%D1%8C%D0%BC","искать")</f>
        <v/>
      </c>
      <c r="N567" s="3" t="n"/>
      <c r="O567" s="2" t="n"/>
    </row>
    <row r="568">
      <c r="A568" s="2" t="n">
        <v>567</v>
      </c>
      <c r="B568" s="2" t="inlineStr">
        <is>
          <t>обрыв</t>
        </is>
      </c>
      <c r="C568" s="2" t="n">
        <v>11299</v>
      </c>
      <c r="D568" s="3" t="inlineStr">
        <is>
          <t>Журавлиные перья</t>
        </is>
      </c>
      <c r="E568" s="2" t="n">
        <v>1990</v>
      </c>
      <c r="F568" s="2" t="inlineStr">
        <is>
          <t>фильм-спектакль</t>
        </is>
      </c>
      <c r="G568" s="2" t="n"/>
      <c r="H568" s="2" t="n">
        <v>540</v>
      </c>
      <c r="I568" s="2" t="inlineStr">
        <is>
          <t>да</t>
        </is>
      </c>
      <c r="J568" s="2" t="inlineStr"/>
      <c r="K568" s="3" t="inlineStr">
        <is>
          <t>По пьесе японского драматурга Дзюндзи Киноситы «Журавлиные перья».
«Журавлиные перья» – сказка о женщине-журавле по имени Цу. У красавицы, спасенной бедняком Йохйо, волшебный талант – она создает изумительные ткани из журавлиных перьев. Из этого ее дара завистливые соседи Ундзу и Садо решили извлечь пользу – продавать белоснежное полотно в столице. Поддавшись на их уговоры, Йохйо заставляет возлюбленную работать на продажу. Цу из-за боязни потерять супруга соглашается, но с условием: не подглядывать за ней. Но Йохйо нарушает запрет...</t>
        </is>
      </c>
      <c r="L568" s="2" t="inlineStr">
        <is>
          <t>https://www.kino-teatr.ru/teatr/movie/122573/annot/</t>
        </is>
      </c>
      <c r="M568" s="2">
        <f>HYPERLINK("https://ru.wikipedia.org/w/index.php?search=%D0%96%D1%83%D1%80%D0%B0%D0%B2%D0%BB%D0%B8%D0%BD%D1%8B%D0%B5%20%D0%BF%D0%B5%D1%80%D1%8C%D1%8F%201990%20%D1%84%D0%B8%D0%BB%D1%8C%D0%BC","искать")</f>
        <v/>
      </c>
      <c r="N568" s="3" t="n"/>
      <c r="O568" s="2" t="n"/>
    </row>
    <row r="569">
      <c r="A569" s="2" t="n">
        <v>568</v>
      </c>
      <c r="B569" s="2" t="inlineStr">
        <is>
          <t>обрыв</t>
        </is>
      </c>
      <c r="C569" s="2" t="n">
        <v>10522</v>
      </c>
      <c r="D569" s="3" t="inlineStr">
        <is>
          <t>Сказки Старого Арбата</t>
        </is>
      </c>
      <c r="E569" s="2" t="n">
        <v>1973</v>
      </c>
      <c r="F569" s="2" t="inlineStr">
        <is>
          <t>фильм-спектакль</t>
        </is>
      </c>
      <c r="G569" s="2" t="inlineStr">
        <is>
          <t>Главная редакция литературно-драматических программ ЦТ</t>
        </is>
      </c>
      <c r="H569" s="2" t="n">
        <v>549</v>
      </c>
      <c r="I569" s="2" t="inlineStr">
        <is>
          <t>да</t>
        </is>
      </c>
      <c r="J569" s="2" t="inlineStr"/>
      <c r="K569" s="3" t="inlineStr">
        <is>
          <t>Спектакль в трёх действиях, поставленный по одноимённой пьесе А.Арбузова Ленинградским государственным академическим театром драмы имени А.С.Пушкина. Постановка Александра Александровича Музиля.
Далекие шестидесятые - время романтических порывов, глубоких чувств и чистых помыслов. В одном из тихих уютных переулков старой Москвы живет талантливый кукольный мастер Фёдор Кузьмич. У него есть верный друг Христофор, сын Кузя и множество кукол. Неожиданно в доме появляется милая и нежная девушка Виктоша, которую полюбили и отец, и сын, и даже куклы…</t>
        </is>
      </c>
      <c r="L569" s="2" t="inlineStr">
        <is>
          <t>https://www.kino-teatr.ru/teatr/movie/16670/annot/</t>
        </is>
      </c>
      <c r="M569" s="2">
        <f>HYPERLINK("https://ru.wikipedia.org/w/index.php?search=%D0%A1%D0%BA%D0%B0%D0%B7%D0%BA%D0%B8%20%D0%A1%D1%82%D0%B0%D1%80%D0%BE%D0%B3%D0%BE%20%D0%90%D1%80%D0%B1%D0%B0%D1%82%D0%B0%201973%20%D1%84%D0%B8%D0%BB%D1%8C%D0%BC","искать")</f>
        <v/>
      </c>
      <c r="N569" s="3" t="n"/>
      <c r="O569" s="2" t="n"/>
    </row>
    <row r="570">
      <c r="A570" s="2" t="n">
        <v>569</v>
      </c>
      <c r="B570" s="2" t="inlineStr">
        <is>
          <t>обрыв</t>
        </is>
      </c>
      <c r="C570" s="2" t="n">
        <v>11017</v>
      </c>
      <c r="D570" s="3" t="inlineStr">
        <is>
          <t>Ученик дьявола</t>
        </is>
      </c>
      <c r="E570" s="2" t="n">
        <v>1983</v>
      </c>
      <c r="F570" s="2" t="inlineStr">
        <is>
          <t>фильм-спектакль</t>
        </is>
      </c>
      <c r="G570" s="2" t="inlineStr">
        <is>
          <t>Литовское телевидение</t>
        </is>
      </c>
      <c r="H570" s="2" t="n">
        <v>550</v>
      </c>
      <c r="I570" s="2" t="inlineStr">
        <is>
          <t>да</t>
        </is>
      </c>
      <c r="J570" s="2" t="inlineStr"/>
      <c r="K570" s="3" t="inlineStr">
        <is>
          <t>По одноименной пьесе Бернарда Шоу.
Действие происходит в США во время Войны за независимость. В одном из американских городков умирает глава большого семейства Даджен. И сразу после его смерти выясняется, что свой дом он,к удивлению всей родни, завещал сыну Ричарду, слывшему в набожной семье "паршивой овцой" - к числу его грехов родственники приписывали общение с подозрительными личностями, тягу к постоянным авантюрам и занятие контрабандой. Ричард, желая подразнить свою набожную родню, объявляет, что с этого дня этот дом будет домом дьявола...</t>
        </is>
      </c>
      <c r="L570" s="2" t="inlineStr">
        <is>
          <t>https://www.kino-teatr.ru/teatr/movie/105442/annot/</t>
        </is>
      </c>
      <c r="M570" s="2">
        <f>HYPERLINK("https://ru.wikipedia.org/w/index.php?search=%D0%A3%D1%87%D0%B5%D0%BD%D0%B8%D0%BA%20%D0%B4%D1%8C%D1%8F%D0%B2%D0%BE%D0%BB%D0%B0%201983%20%D1%84%D0%B8%D0%BB%D1%8C%D0%BC","искать")</f>
        <v/>
      </c>
      <c r="N570" s="3" t="n"/>
      <c r="O570" s="2" t="n"/>
    </row>
    <row r="571">
      <c r="A571" s="2" t="n">
        <v>570</v>
      </c>
      <c r="B571" s="2" t="inlineStr">
        <is>
          <t>обрыв</t>
        </is>
      </c>
      <c r="C571" s="2" t="n">
        <v>10531</v>
      </c>
      <c r="D571" s="3" t="inlineStr">
        <is>
          <t>Укрощение строптивой</t>
        </is>
      </c>
      <c r="E571" s="2" t="n">
        <v>1973</v>
      </c>
      <c r="F571" s="2" t="inlineStr">
        <is>
          <t>фильм-спектакль</t>
        </is>
      </c>
      <c r="G571" s="2" t="n"/>
      <c r="H571" s="2" t="n">
        <v>553</v>
      </c>
      <c r="I571" s="2" t="inlineStr">
        <is>
          <t>да</t>
        </is>
      </c>
      <c r="J571" s="2" t="inlineStr"/>
      <c r="K571" s="3" t="inlineStr">
        <is>
          <t>Спектакль Ленинградского государственного академического театра им. Ленсовета по пьесе Шекспира.
Одна из дочерей почтенного жителя города Падуи, отличаясь суровым и скандальным характером, явилась причиной отказа женихам ее младшей сестры, более миловидной и покладистой. Чтобы отец позволил брак младшей, претенденты на ее руку ищут жениха для старшей и находят такого же грубого и скандального молодого дворянина, который готов жениться ради приданого на ком угодно. Однако надо еще получить на это согласие у самой девушки со строптивым характером...</t>
        </is>
      </c>
      <c r="L571" s="2" t="inlineStr">
        <is>
          <t>https://www.kino-teatr.ru/teatr/movie/81501/annot/</t>
        </is>
      </c>
      <c r="M571" s="2">
        <f>HYPERLINK("https://ru.wikipedia.org/w/index.php?search=%D0%A3%D0%BA%D1%80%D0%BE%D1%89%D0%B5%D0%BD%D0%B8%D0%B5%20%D1%81%D1%82%D1%80%D0%BE%D0%BF%D1%82%D0%B8%D0%B2%D0%BE%D0%B9%201973%20%D1%84%D0%B8%D0%BB%D1%8C%D0%BC","искать")</f>
        <v/>
      </c>
      <c r="N571" s="3" t="n"/>
      <c r="O571" s="2" t="n"/>
    </row>
    <row r="572">
      <c r="A572" s="2" t="n">
        <v>571</v>
      </c>
      <c r="B572" s="2" t="inlineStr">
        <is>
          <t>обрыв</t>
        </is>
      </c>
      <c r="C572" s="2" t="n">
        <v>11018</v>
      </c>
      <c r="D572" s="3" t="inlineStr">
        <is>
          <t>Фома Гордеев</t>
        </is>
      </c>
      <c r="E572" s="2" t="n">
        <v>1983</v>
      </c>
      <c r="F572" s="2" t="inlineStr">
        <is>
          <t>фильм-спектакль</t>
        </is>
      </c>
      <c r="G572" s="2" t="inlineStr">
        <is>
          <t>ТО “Экран”</t>
        </is>
      </c>
      <c r="H572" s="2" t="n">
        <v>553</v>
      </c>
      <c r="I572" s="2" t="inlineStr">
        <is>
          <t>да</t>
        </is>
      </c>
      <c r="J572" s="2" t="inlineStr"/>
      <c r="K572" s="3" t="inlineStr">
        <is>
          <t>По одноименному роману М.Горького в постановке Государственного академического Малого театра Союза ССР
Роман «Фома Гордеев» — одно из наиболее известных произведений Максима Горького. Главный герой унаследовал от отца солидное состояние и семейное дело. Он пытается достойно продолжить коммерческую деятельность и приумножить нажитый отцом капитал, но мир дельцов чужд ему. Его горячая мечтательная натура подсказывает, что счастье не измеряется количеством денег. Он пытается найти свое место в жизни, но это оказывается непросто. Фома начинает пить...</t>
        </is>
      </c>
      <c r="L572" s="2" t="inlineStr">
        <is>
          <t>https://www.kino-teatr.ru/teatr/movie/11903/annot/</t>
        </is>
      </c>
      <c r="M572" s="2">
        <f>HYPERLINK("https://ru.wikipedia.org/w/index.php?search=%D0%A4%D0%BE%D0%BC%D0%B0%20%D0%93%D0%BE%D1%80%D0%B4%D0%B5%D0%B5%D0%B2%201983%20%D1%84%D0%B8%D0%BB%D1%8C%D0%BC","искать")</f>
        <v/>
      </c>
      <c r="N572" s="3" t="n"/>
      <c r="O572" s="2" t="n"/>
    </row>
    <row r="573">
      <c r="A573" s="2" t="n">
        <v>572</v>
      </c>
      <c r="B573" s="2" t="inlineStr">
        <is>
          <t>обрыв</t>
        </is>
      </c>
      <c r="C573" s="2" t="n">
        <v>9624</v>
      </c>
      <c r="D573" s="3" t="inlineStr">
        <is>
          <t>Роковая ошибка</t>
        </is>
      </c>
      <c r="E573" s="2" t="n">
        <v>1988</v>
      </c>
      <c r="F573" s="2" t="inlineStr">
        <is>
          <t>кинофильм</t>
        </is>
      </c>
      <c r="G573" s="2" t="n"/>
      <c r="H573" s="2" t="n">
        <v>554</v>
      </c>
      <c r="I573" s="2" t="inlineStr">
        <is>
          <t>да</t>
        </is>
      </c>
      <c r="J573" s="2" t="inlineStr"/>
      <c r="K573" s="3" t="inlineStr">
        <is>
          <t>Ватага бесшабашных 16-летних девчонок, как две капли похожая на тысячи других веселых компаний «пэтэушниц», мстящих «благополучному» миру за свое искалеченное детство, несется по улице. Эти сцены сняты... на фоне привокзального людского потока, сверкающих огней метро и сумрака окраинной пивнушки… Но дальше с легкой руки драматурга Михаила Рощина начинается чисто театральная мелодраматическая история: неожиданное появление «кукушки»-матери, разбогатевшей где-то на Дальнем Востоке и приглашающей брошенную во младенчестве дочку бросить приемную семью…</t>
        </is>
      </c>
      <c r="L573" s="2" t="inlineStr">
        <is>
          <t>Кино_СССР сводный каталог.xlsx: список фильмов (доп.)</t>
        </is>
      </c>
      <c r="M573" s="2">
        <f>HYPERLINK("https://ru.wikipedia.org/w/index.php?search=%D0%A0%D0%BE%D0%BA%D0%BE%D0%B2%D0%B0%D1%8F%20%D0%BE%D1%88%D0%B8%D0%B1%D0%BA%D0%B0%201988%20%D1%84%D0%B8%D0%BB%D1%8C%D0%BC","искать")</f>
        <v/>
      </c>
      <c r="N573" s="3" t="n"/>
      <c r="O573" s="2" t="n"/>
    </row>
    <row r="574">
      <c r="A574" s="2" t="n">
        <v>573</v>
      </c>
      <c r="B574" s="2" t="inlineStr">
        <is>
          <t>обрыв</t>
        </is>
      </c>
      <c r="C574" s="2" t="n">
        <v>10087</v>
      </c>
      <c r="D574" s="3" t="inlineStr">
        <is>
          <t>Орлиная степь</t>
        </is>
      </c>
      <c r="E574" s="2" t="n">
        <v>1961</v>
      </c>
      <c r="F574" s="2" t="inlineStr">
        <is>
          <t>фильм-спектакль</t>
        </is>
      </c>
      <c r="G574" s="2" t="inlineStr">
        <is>
          <t>Центральное телевидение</t>
        </is>
      </c>
      <c r="H574" s="2" t="n">
        <v>556</v>
      </c>
      <c r="I574" s="2" t="inlineStr">
        <is>
          <t>да</t>
        </is>
      </c>
      <c r="J574" s="2" t="inlineStr"/>
      <c r="K574" s="3" t="inlineStr">
        <is>
          <t>По одноименному роману Михаила Бубеннова, посвящённого теме послевоенного мирного патриотического подвига советской молодёжи в освоении малообжитых просторов Сибири.
В алтайские степи приезжает Леонид Багрянов. По образованию он инженер, работает на заводе, но молодого парня всей душой тянуло в степь, на целину, он готов работать не покладая рук, ничто и никто не может удержать его.
В сердце молодого человека нашлось место и для любви: Леонид влюблен в коллегу - Светлану. Чувство оказалось взаимным и вскоре девушка отправляется вместе с ним на Алтай…</t>
        </is>
      </c>
      <c r="L574" s="2" t="inlineStr">
        <is>
          <t>https://www.kino-teatr.ru/teatr/movie/95035/annot/</t>
        </is>
      </c>
      <c r="M574" s="2">
        <f>HYPERLINK("https://ru.wikipedia.org/w/index.php?search=%D0%9E%D1%80%D0%BB%D0%B8%D0%BD%D0%B0%D1%8F%20%D1%81%D1%82%D0%B5%D0%BF%D1%8C%201961%20%D1%84%D0%B8%D0%BB%D1%8C%D0%BC","искать")</f>
        <v/>
      </c>
      <c r="N574" s="3" t="n"/>
      <c r="O574" s="2" t="n"/>
    </row>
    <row r="575">
      <c r="A575" s="2" t="n">
        <v>574</v>
      </c>
      <c r="B575" s="2" t="inlineStr">
        <is>
          <t>обрыв</t>
        </is>
      </c>
      <c r="C575" s="2" t="n">
        <v>10502</v>
      </c>
      <c r="D575" s="3" t="inlineStr">
        <is>
          <t>Иркутская история</t>
        </is>
      </c>
      <c r="E575" s="2" t="n">
        <v>1973</v>
      </c>
      <c r="F575" s="2" t="inlineStr">
        <is>
          <t>фильм-спектакль</t>
        </is>
      </c>
      <c r="G575" s="2" t="inlineStr">
        <is>
          <t>ТО "Экран"</t>
        </is>
      </c>
      <c r="H575" s="2" t="n">
        <v>556</v>
      </c>
      <c r="I575" s="2" t="inlineStr">
        <is>
          <t>да</t>
        </is>
      </c>
      <c r="J575" s="2" t="inlineStr"/>
      <c r="K575" s="3" t="inlineStr">
        <is>
          <t>На одной из строек Иркутска в продовольственном магазине работет девушка Валя. Ей двадцать пять лет. Это веселая девушка, мало задумывающаяся о своем поведении и образе жизни, за что и заслужила прозвище Валька-дешевка. Её друг Виктор Бойцов, знакомит её с Сергеем Серегиным. Серегин — мастер-машинист на шагающем экскаваторе. Виктор — его первый помощник, электрик. Сергей советует Виктору жениться на Вале. Тот отвечает, что ему неохота себя связывать. Сергей сам женится на Вале. У них рождается двое детей. Сергей, спасая чужих детей, тонет в Ангаре...</t>
        </is>
      </c>
      <c r="L575" s="2" t="inlineStr">
        <is>
          <t>https://www.kino-teatr.ru/teatr/movie/2731/annot/</t>
        </is>
      </c>
      <c r="M575" s="2">
        <f>HYPERLINK("https://ru.wikipedia.org/w/index.php?search=%D0%98%D1%80%D0%BA%D1%83%D1%82%D1%81%D0%BA%D0%B0%D1%8F%20%D0%B8%D1%81%D1%82%D0%BE%D1%80%D0%B8%D1%8F%201973%20%D1%84%D0%B8%D0%BB%D1%8C%D0%BC","искать")</f>
        <v/>
      </c>
      <c r="N575" s="3" t="n"/>
      <c r="O575" s="2" t="n"/>
    </row>
    <row r="576">
      <c r="A576" s="2" t="n">
        <v>575</v>
      </c>
      <c r="B576" s="2" t="inlineStr">
        <is>
          <t>обрыв</t>
        </is>
      </c>
      <c r="C576" s="2" t="n">
        <v>11091</v>
      </c>
      <c r="D576" s="3" t="inlineStr">
        <is>
          <t>Этот фантастический мир. Выпуск 11</t>
        </is>
      </c>
      <c r="E576" s="2" t="n">
        <v>1985</v>
      </c>
      <c r="F576" s="2" t="inlineStr">
        <is>
          <t>фильм-спектакль</t>
        </is>
      </c>
      <c r="G576" s="2" t="inlineStr">
        <is>
          <t>Главная редакция программ для детей и юношества ЦТ</t>
        </is>
      </c>
      <c r="H576" s="2" t="n">
        <v>559</v>
      </c>
      <c r="I576" s="2" t="inlineStr">
        <is>
          <t>да</t>
        </is>
      </c>
      <c r="J576" s="2" t="inlineStr"/>
      <c r="K576" s="3" t="inlineStr">
        <is>
          <t>Инсценированы фрагменты рассказов Р.Шекли "Бунт спасательной лодки" и Р.Брэдбери "Ржавчина".
Полковника ВВС, бывшего астронавта Грега Дарвина навещает его старый приятель, Джонни. Разговорившись, Грег открывает Джонни тайну из своего прошлого. Во время службы в космической разведке Дарвин вместе с другим астронавтом, Диком, был отправлен с секретной миссией на планету, пережившую опустошительную ядерную войну. По заданию командования Грег и Дик должны были на обезлюдевшей планете найти оставшееся оружие, аналогов которого на Земле ещё не существовало...</t>
        </is>
      </c>
      <c r="L576" s="2" t="inlineStr">
        <is>
          <t>https://www.kino-teatr.ru/teatr/movie/78742/annot/</t>
        </is>
      </c>
      <c r="M576" s="2">
        <f>HYPERLINK("https://ru.wikipedia.org/w/index.php?search=%D0%AD%D1%82%D0%BE%D1%82%20%D1%84%D0%B0%D0%BD%D1%82%D0%B0%D1%81%D1%82%D0%B8%D1%87%D0%B5%D1%81%D0%BA%D0%B8%D0%B9%20%D0%BC%D0%B8%D1%80.%20%D0%92%D1%8B%D0%BF%D1%83%D1%81%D0%BA%2011%201985%20%D1%84%D0%B8%D0%BB%D1%8C%D0%BC","искать")</f>
        <v/>
      </c>
      <c r="N576" s="3" t="n"/>
      <c r="O576" s="2" t="n"/>
    </row>
    <row r="577">
      <c r="A577" s="2" t="n">
        <v>576</v>
      </c>
      <c r="B577" s="2" t="inlineStr">
        <is>
          <t>обрыв</t>
        </is>
      </c>
      <c r="C577" s="2" t="n">
        <v>8699</v>
      </c>
      <c r="D577" s="3" t="inlineStr">
        <is>
          <t>Дети, бегущие от грозы (киноальманах)</t>
        </is>
      </c>
      <c r="E577" s="2" t="n">
        <v>1991</v>
      </c>
      <c r="F577" s="2" t="inlineStr">
        <is>
          <t>кинофильм</t>
        </is>
      </c>
      <c r="G577" s="2" t="n"/>
      <c r="H577" s="2" t="n">
        <v>560</v>
      </c>
      <c r="I577" s="2" t="inlineStr">
        <is>
          <t>да</t>
        </is>
      </c>
      <c r="J577" s="2" t="inlineStr"/>
      <c r="K577" s="3" t="inlineStr">
        <is>
          <t>Встречаются бывшие одноклассники Надя и Чиж. Они не виделись около десяти лет. Жизнь давно развела их - и Надя пока не знает, что Чиж занимается "темными делишками"...
Двое студентов, художник и историк, оказываются на маленьком островке, жители которого живут привычной, размеренной жизнью. Всего день студенты проводят на острове, но события, происшедшие с ними, наводят юных героев на серьезные размышления о жизни.
Постоянно подворовывающему на службе прапорщику Перминову грозит трибунал - он взят с поличным. В панике герой решается на угон самолета...</t>
        </is>
      </c>
      <c r="L577" s="2" t="inlineStr">
        <is>
          <t>Кино_СССР сводный каталог.xlsx: список фильмов (доп.)</t>
        </is>
      </c>
      <c r="M577" s="2">
        <f>HYPERLINK("https://ru.wikipedia.org/w/index.php?search=%D0%94%D0%B5%D1%82%D0%B8%2C%20%D0%B1%D0%B5%D0%B3%D1%83%D1%89%D0%B8%D0%B5%20%D0%BE%D1%82%20%D0%B3%D1%80%D0%BE%D0%B7%D1%8B%20%28%D0%BA%D0%B8%D0%BD%D0%BE%D0%B0%D0%BB%D1%8C%D0%BC%D0%B0%D0%BD%D0%B0%D1%85%29%201991%20%D1%84%D0%B8%D0%BB%D1%8C%D0%BC","искать")</f>
        <v/>
      </c>
      <c r="N577" s="3" t="n"/>
      <c r="O577" s="2" t="n"/>
    </row>
    <row r="578">
      <c r="A578" s="2" t="n">
        <v>577</v>
      </c>
      <c r="B578" s="2" t="inlineStr">
        <is>
          <t>обрыв</t>
        </is>
      </c>
      <c r="C578" s="2" t="n">
        <v>9850</v>
      </c>
      <c r="D578" s="3" t="inlineStr">
        <is>
          <t>Люди, как реки...</t>
        </is>
      </c>
      <c r="E578" s="2" t="n">
        <v>1968</v>
      </c>
      <c r="F578" s="2" t="inlineStr">
        <is>
          <t>телефильм</t>
        </is>
      </c>
      <c r="G578" s="2" t="inlineStr">
        <is>
          <t>Мосфильм</t>
        </is>
      </c>
      <c r="H578" s="2" t="n">
        <v>560</v>
      </c>
      <c r="I578" s="2" t="inlineStr">
        <is>
          <t>да</t>
        </is>
      </c>
      <c r="J578" s="2" t="inlineStr"/>
      <c r="K578" s="3" t="inlineStr">
        <is>
          <t>Телефильм по рассказу Ирины Велембовской "В трудную минуту".
В центре сюжета — жизнь послевоенного маленького городка. Героиня фильма — немолодая одинокая женщина Прасковья Ивановна — работает почтальоном, помогает каждому, кто в ней нуждается. Паша, оказавшись в больнице, случайно знакомится с Григорием. Скоро ее выписывают, но она, симпатизируя ему, продолжает навещать своего нового знакомого. Завязалась дружба. Но вот однажды Григорий обращается к ней со странной просьбой, съездить к нему домой на ночном пароходе и посмотреть, не изменяет ли ему жена…</t>
        </is>
      </c>
      <c r="L578" s="2" t="inlineStr">
        <is>
          <t>https://www.kino-teatr.ru/short/movie/sov/9197/annot/</t>
        </is>
      </c>
      <c r="M578" s="2">
        <f>HYPERLINK("https://ru.wikipedia.org/w/index.php?search=%D0%9B%D1%8E%D0%B4%D0%B8%2C%20%D0%BA%D0%B0%D0%BA%20%D1%80%D0%B5%D0%BA%D0%B8...%201968%20%D1%84%D0%B8%D0%BB%D1%8C%D0%BC","искать")</f>
        <v/>
      </c>
      <c r="N578" s="3" t="n"/>
      <c r="O578" s="2" t="n"/>
    </row>
    <row r="579">
      <c r="A579" s="2" t="n">
        <v>578</v>
      </c>
      <c r="B579" s="2" t="inlineStr">
        <is>
          <t>обрыв</t>
        </is>
      </c>
      <c r="C579" s="2" t="n">
        <v>10372</v>
      </c>
      <c r="D579" s="3" t="inlineStr">
        <is>
          <t>Срочно требуются седые волосы</t>
        </is>
      </c>
      <c r="E579" s="2" t="n">
        <v>1970</v>
      </c>
      <c r="F579" s="2" t="inlineStr">
        <is>
          <t>фильм-спектакль</t>
        </is>
      </c>
      <c r="G579" s="2" t="inlineStr">
        <is>
          <t>Ленинградское ТВ</t>
        </is>
      </c>
      <c r="H579" s="2" t="n">
        <v>560</v>
      </c>
      <c r="I579" s="2" t="inlineStr">
        <is>
          <t>да</t>
        </is>
      </c>
      <c r="J579" s="2" t="inlineStr"/>
      <c r="K579" s="3" t="inlineStr">
        <is>
          <t>Телеспектакль поставлен по одноименному рассказу Юрия Нагибина.
Приехав в командировку в Ленинград, инженер Сергей Иванович Гущин знакомится с молодой актрисой Наташей. Она предлагает ему показать Ленинград, но Гущин и сам прекрасно знает этот город - он служил здесь во время войны. Они ищут повод для дальнейших встреч, но он всегда находит причину, чтобы не встречаться с женщиной, которая на много лет моложе его и которую полюбил.
В конце концов Наташа тоже поймет, что любит этого человека, но Гущин уедет, так и не решившись связать с ней свою судьбу...</t>
        </is>
      </c>
      <c r="L579" s="2" t="inlineStr">
        <is>
          <t>https://www.kino-teatr.ru/teatr/movie/84767/annot/</t>
        </is>
      </c>
      <c r="M579" s="2">
        <f>HYPERLINK("https://ru.wikipedia.org/w/index.php?search=%D0%A1%D1%80%D0%BE%D1%87%D0%BD%D0%BE%20%D1%82%D1%80%D0%B5%D0%B1%D1%83%D1%8E%D1%82%D1%81%D1%8F%20%D1%81%D0%B5%D0%B4%D1%8B%D0%B5%20%D0%B2%D0%BE%D0%BB%D0%BE%D1%81%D1%8B%201970%20%D1%84%D0%B8%D0%BB%D1%8C%D0%BC","искать")</f>
        <v/>
      </c>
      <c r="N579" s="3" t="n"/>
      <c r="O579" s="2" t="n"/>
    </row>
    <row r="580">
      <c r="A580" s="2" t="n">
        <v>579</v>
      </c>
      <c r="B580" s="2" t="inlineStr">
        <is>
          <t>обрыв</t>
        </is>
      </c>
      <c r="C580" s="2" t="n">
        <v>10374</v>
      </c>
      <c r="D580" s="3" t="inlineStr">
        <is>
          <t>Туман над заливом</t>
        </is>
      </c>
      <c r="E580" s="2" t="n">
        <v>1970</v>
      </c>
      <c r="F580" s="2" t="inlineStr">
        <is>
          <t>фильм-спектакль</t>
        </is>
      </c>
      <c r="G580" s="2" t="inlineStr">
        <is>
          <t>ЦТ (Главная редакция литературно-драматических программ)</t>
        </is>
      </c>
      <c r="H580" s="2" t="n">
        <v>566</v>
      </c>
      <c r="I580" s="2" t="inlineStr">
        <is>
          <t>да</t>
        </is>
      </c>
      <c r="J580" s="2" t="inlineStr"/>
      <c r="K580" s="3" t="inlineStr">
        <is>
          <t>О подвигах советских лётчиков в годы Великой Отечественной войны по одноименной пьесе драматурга Исидора Штока.
В начале Великой Отечественной войны в районе Мурманска капитан Егорушкин вступает в неравную схватку с врагом и сбивает немецкий самолёт. Раненый, с отмороженными ногами, он полз домой трое суток. За геройский поступок его ждала высокая награда. Но на месте предполагаемого боя не найдено никаких доказательств. Егорушкин, обиженный недоверием однополчан, отказывается отстаивать свою правоту, а спустя время, эта странная история, наконец, проясняется…</t>
        </is>
      </c>
      <c r="L580" s="2" t="inlineStr">
        <is>
          <t>https://www.kino-teatr.ru/teatr/movie/131885/annot/</t>
        </is>
      </c>
      <c r="M580" s="2">
        <f>HYPERLINK("https://ru.wikipedia.org/w/index.php?search=%D0%A2%D1%83%D0%BC%D0%B0%D0%BD%20%D0%BD%D0%B0%D0%B4%20%D0%B7%D0%B0%D0%BB%D0%B8%D0%B2%D0%BE%D0%BC%201970%20%D1%84%D0%B8%D0%BB%D1%8C%D0%BC","искать")</f>
        <v/>
      </c>
      <c r="N580" s="3" t="n"/>
      <c r="O580" s="2" t="n"/>
    </row>
    <row r="581">
      <c r="A581" s="2" t="n">
        <v>580</v>
      </c>
      <c r="B581" s="2" t="inlineStr">
        <is>
          <t>обрыв</t>
        </is>
      </c>
      <c r="C581" s="2" t="n">
        <v>10528</v>
      </c>
      <c r="D581" s="3" t="inlineStr">
        <is>
          <t>Трамвай "Желание"</t>
        </is>
      </c>
      <c r="E581" s="2" t="n">
        <v>1973</v>
      </c>
      <c r="F581" s="2" t="inlineStr">
        <is>
          <t>фильм-спектакль</t>
        </is>
      </c>
      <c r="G581" s="2" t="n"/>
      <c r="H581" s="2" t="n">
        <v>568</v>
      </c>
      <c r="I581" s="2" t="inlineStr">
        <is>
          <t>да</t>
        </is>
      </c>
      <c r="J581" s="2" t="inlineStr"/>
      <c r="K581" s="3" t="inlineStr">
        <is>
          <t>Фильм-спектакль Свердловского государственного драматического театра по одноименной пьесе Теннесси Уильямса.
Далеко не юная, но все еще привлекательная Бланш Дюбуа приезжает в Новый Орлеан к беременной сестре Стелле, живущей с мужем Стэнли в местных трущобах. Постепенно выясняется, что Бланш разорена, ушла с работы и жить ей негде и не на что.
Стэнли, воплощение естественности и грубости, сразу невзлюбил её за пристрастие к алкоголю и неуместное кокетство. Вскоре у Бланш появляется поклонник и призрачная надежда на замужество, но Стэнли расстраивает их помолвку…</t>
        </is>
      </c>
      <c r="L581" s="2" t="inlineStr">
        <is>
          <t>https://www.kino-teatr.ru/teatr/movie/143879/annot/</t>
        </is>
      </c>
      <c r="M581" s="2">
        <f>HYPERLINK("https://ru.wikipedia.org/w/index.php?search=%D0%A2%D1%80%D0%B0%D0%BC%D0%B2%D0%B0%D0%B9%20%22%D0%96%D0%B5%D0%BB%D0%B0%D0%BD%D0%B8%D0%B5%22%201973%20%D1%84%D0%B8%D0%BB%D1%8C%D0%BC","искать")</f>
        <v/>
      </c>
      <c r="N581" s="3" t="n"/>
      <c r="O581" s="2" t="n"/>
    </row>
    <row r="582">
      <c r="A582" s="2" t="n">
        <v>581</v>
      </c>
      <c r="B582" s="2" t="inlineStr">
        <is>
          <t>обрыв</t>
        </is>
      </c>
      <c r="C582" s="2" t="n">
        <v>9795</v>
      </c>
      <c r="D582" s="3" t="inlineStr">
        <is>
          <t>Белая земля</t>
        </is>
      </c>
      <c r="E582" s="2" t="n">
        <v>1970</v>
      </c>
      <c r="F582" s="2" t="inlineStr">
        <is>
          <t>телефильм</t>
        </is>
      </c>
      <c r="G582" s="2" t="inlineStr">
        <is>
          <t>Беларусьфильм</t>
        </is>
      </c>
      <c r="H582" s="2" t="n">
        <v>593</v>
      </c>
      <c r="I582" s="2" t="inlineStr">
        <is>
          <t>да</t>
        </is>
      </c>
      <c r="J582" s="2" t="inlineStr"/>
      <c r="K582" s="3" t="inlineStr">
        <is>
          <t>Операция "Хольцауге" - фашистский план уничтожения советских кораблей и самолетов на подступах к Мурманску, реализация которого состоялась в 1942 году. У острова Безымянный, налетев на мины, затонул советский корабль, а чудом спасшийся инженер Окулич попал в плен. Однако сумел освободиться и даже прихватил с собой немецкого офицера Риттера. За неделю трудного пути к материку он узнает от немца о плане "Хольцауге".
Через 30 лет на острове Безымянном при строительстве астрофизической станции происходит взрыв. И теперь Окуличу предстоит выяснить все подробности старой операции в Мюнхене...</t>
        </is>
      </c>
      <c r="L582" s="2" t="inlineStr">
        <is>
          <t>https://www.kino-teatr.ru/kino/movie/sov/464/annot/</t>
        </is>
      </c>
      <c r="M582" s="2">
        <f>HYPERLINK("https://ru.wikipedia.org/w/index.php?search=%D0%91%D0%B5%D0%BB%D0%B0%D1%8F%20%D0%B7%D0%B5%D0%BC%D0%BB%D1%8F%201970%20%D1%84%D0%B8%D0%BB%D1%8C%D0%BC","искать")</f>
        <v/>
      </c>
      <c r="N582" s="3" t="n"/>
      <c r="O582" s="2" t="n"/>
    </row>
    <row r="583">
      <c r="A583" s="2" t="n">
        <v>582</v>
      </c>
      <c r="B583" s="2" t="inlineStr">
        <is>
          <t>обрыв</t>
        </is>
      </c>
      <c r="C583" s="2" t="n">
        <v>10914</v>
      </c>
      <c r="D583" s="3" t="inlineStr">
        <is>
          <t>Смерть Пазухина</t>
        </is>
      </c>
      <c r="E583" s="2" t="n">
        <v>1981</v>
      </c>
      <c r="F583" s="2" t="inlineStr">
        <is>
          <t>фильм-спектакль</t>
        </is>
      </c>
      <c r="G583" s="2" t="inlineStr">
        <is>
          <t>Экран (Останкино)</t>
        </is>
      </c>
      <c r="H583" s="2" t="n">
        <v>598</v>
      </c>
      <c r="I583" s="2" t="inlineStr">
        <is>
          <t>да</t>
        </is>
      </c>
      <c r="J583" s="2" t="inlineStr"/>
      <c r="K583" s="3" t="inlineStr">
        <is>
          <t>По одноименной пьесе М.Салтыкова-Щедрина в постановке Государственного академического театра имени Моссовета. Постановка Б.Щедрина.
Купец-миллионер Пазухин ссорится со своим сыном Прокофием за тяготение последнего к старообрядцам и за его вторичную женитьбу на молодой и бедной девушке. Прокофий, жаждущий получения громадного наследства по смерти отца, удручен этой ссорой, тем более, что статский советник Фурначев, женатый на сестре Прокофия, все время внушает Пазухину мысль лишить Прокофия наследства. Узнав это Прокофий ради денег сбривает бороду и одевает сюртук решив примириться с отцом...</t>
        </is>
      </c>
      <c r="L583" s="2" t="inlineStr">
        <is>
          <t>https://www.kino-teatr.ru/teatr/movie/8586/annot/</t>
        </is>
      </c>
      <c r="M583" s="2">
        <f>HYPERLINK("https://ru.wikipedia.org/w/index.php?search=%D0%A1%D0%BC%D0%B5%D1%80%D1%82%D1%8C%20%D0%9F%D0%B0%D0%B7%D1%83%D1%85%D0%B8%D0%BD%D0%B0%201981%20%D1%84%D0%B8%D0%BB%D1%8C%D0%BC","искать")</f>
        <v/>
      </c>
      <c r="N583" s="3" t="n"/>
      <c r="O583" s="2" t="n"/>
    </row>
    <row r="584">
      <c r="A584" s="2" t="n">
        <v>583</v>
      </c>
      <c r="B584" s="2" t="inlineStr">
        <is>
          <t>обрыв</t>
        </is>
      </c>
      <c r="C584" s="2" t="n">
        <v>10476</v>
      </c>
      <c r="D584" s="3" t="inlineStr">
        <is>
          <t>Цыгану чёрт не страшен</t>
        </is>
      </c>
      <c r="E584" s="2" t="n">
        <v>1972</v>
      </c>
      <c r="F584" s="2" t="inlineStr">
        <is>
          <t>фильм-спектакль</t>
        </is>
      </c>
      <c r="G584" s="2" t="inlineStr">
        <is>
          <t>Главная редакция музыкальных программ ЦТ</t>
        </is>
      </c>
      <c r="H584" s="2" t="n">
        <v>641</v>
      </c>
      <c r="I584" s="2" t="inlineStr">
        <is>
          <t>да</t>
        </is>
      </c>
      <c r="J584" s="2" t="inlineStr"/>
      <c r="K584" s="3" t="inlineStr">
        <is>
          <t>Телеспектакль по пьесе Андрея Вейцлера и Иосифа Прута в постановке Московского музыкально-драматического цыганского театра «Ромэн», в котором бушуют нешуточные страсти, любовь и ревность, рвущие душу цыганские песни и старинные романсы, искрометные танцы и неожиданная развязка.
К одному из соседей, Виктору Ефимовичу Рачкову, являлся чёрт, и неоднократно. Он обратился в милицию, а там потребовали приметы нарушителя. Ну, какие приметы у нечистой силы? Вот и пришлось ему съехать с квартиры, а вместо него поселился его таинственный племянник – солист цыганского ансамбля. А где один цыган, там и другие. Но не будем раскрывать всю интригу…</t>
        </is>
      </c>
      <c r="L584" s="2" t="inlineStr">
        <is>
          <t>https://www.kino-teatr.ru/teatr/movie/140490/annot/</t>
        </is>
      </c>
      <c r="M584" s="2">
        <f>HYPERLINK("https://ru.wikipedia.org/w/index.php?search=%D0%A6%D1%8B%D0%B3%D0%B0%D0%BD%D1%83%20%D1%87%D1%91%D1%80%D1%82%20%D0%BD%D0%B5%20%D1%81%D1%82%D1%80%D0%B0%D1%88%D0%B5%D0%BD%201972%20%D1%84%D0%B8%D0%BB%D1%8C%D0%BC","искать")</f>
        <v/>
      </c>
      <c r="N584" s="3" t="n"/>
      <c r="O584" s="2" t="n"/>
    </row>
    <row r="585">
      <c r="A585" s="2" t="n">
        <v>584</v>
      </c>
      <c r="B585" s="2" t="inlineStr">
        <is>
          <t>обрыв</t>
        </is>
      </c>
      <c r="C585" s="2" t="n">
        <v>9963</v>
      </c>
      <c r="D585" s="3" t="inlineStr">
        <is>
          <t>Два пуделя</t>
        </is>
      </c>
      <c r="E585" s="2" t="n">
        <v>1981</v>
      </c>
      <c r="F585" s="2" t="inlineStr">
        <is>
          <t>кинофильм</t>
        </is>
      </c>
      <c r="G585" s="2" t="inlineStr">
        <is>
          <t>Студия Киевского институт театрального искусства им. Карпенко-Карого</t>
        </is>
      </c>
      <c r="H585" s="2" t="n">
        <v>660</v>
      </c>
      <c r="I585" s="2" t="inlineStr">
        <is>
          <t>да</t>
        </is>
      </c>
      <c r="J585" s="2" t="inlineStr"/>
      <c r="K585" s="3" t="inlineStr">
        <is>
          <t>Во время прогулки по осеннему парку знакомятся два пуделя, а вместе с ними и их хозяева (Елена Соловей, Борис Сморчков). Их непринужденные разговоры прерывает теннисист в исполнении Дмитрия Харатьяна. С первых минут фильма прозрачной цитатой из «Фотоувеличение» Антониони зрителю дают понять, что он попадает в мир кинематографических условностей. Это мир черно-белых противоположностей, где действие разворачивается неторопливо, словно шахматная партия, где слова и вещи значат больше, чем это может кажется на первый взгляд. Возможно, поэтому финальные кадры окон панельных домов воспринимаются не как возвращение домой, а как окончание увлекательной игры...</t>
        </is>
      </c>
      <c r="L585" s="2" t="inlineStr">
        <is>
          <t>https://www.kino-teatr.ru/short/movie/sov/118783/annot/</t>
        </is>
      </c>
      <c r="M585" s="2">
        <f>HYPERLINK("https://ru.wikipedia.org/w/index.php?search=%D0%94%D0%B2%D0%B0%20%D0%BF%D1%83%D0%B4%D0%B5%D0%BB%D1%8F%201981%20%D1%84%D0%B8%D0%BB%D1%8C%D0%BC","искать")</f>
        <v/>
      </c>
      <c r="N585" s="3" t="n"/>
      <c r="O585" s="2" t="n"/>
    </row>
    <row r="586">
      <c r="A586" s="2" t="n">
        <v>585</v>
      </c>
      <c r="B586" s="2" t="inlineStr">
        <is>
          <t>обрыв</t>
        </is>
      </c>
      <c r="C586" s="2" t="n">
        <v>10013</v>
      </c>
      <c r="D586" s="3" t="inlineStr">
        <is>
          <t>Йя-хха!</t>
        </is>
      </c>
      <c r="E586" s="2" t="n">
        <v>1986</v>
      </c>
      <c r="F586" s="2" t="inlineStr">
        <is>
          <t>кинофильм</t>
        </is>
      </c>
      <c r="G586" s="2" t="inlineStr">
        <is>
          <t>ВГИК</t>
        </is>
      </c>
      <c r="H586" s="2" t="n">
        <v>663</v>
      </c>
      <c r="I586" s="2" t="inlineStr">
        <is>
          <t>да</t>
        </is>
      </c>
      <c r="J586" s="2" t="inlineStr">
        <is>
          <t>да</t>
        </is>
      </c>
      <c r="K586" s="3" t="inlineStr">
        <is>
          <t>Короткометражка Рашида Нугманова, известная тем, что в ней снялись «отцы» русского рока. Фильм бессюжетный, не игровой, скорее документальный, чем художественный — вольные зарисовки тех лет и тех славных мест — «Камчатка», питерский рок-клуб…
Снят в 1986 году за две недели режиссером Рашидом Нугмановым, как курсовая работа Алексея Михайлова с операторского факультета ВГИКа.
Во всяком случае, деньги были выделены именно для курсовой, но из десятиминутной короткометражки Нугманову удалось "выбить" сорокаминутную картину.
Материала было снято на несколько часов, в картину вошло далеко не все и из-за отсутствия средств и времени фильм остался незаконченным...</t>
        </is>
      </c>
      <c r="L586" s="2" t="inlineStr">
        <is>
          <t>https://www.kino-teatr.ru/short/movie/sov/13642/annot/</t>
        </is>
      </c>
      <c r="M586" s="2">
        <f>HYPERLINK("https://ru.wikipedia.org/w/index.php?search=%D0%99%D1%8F-%D1%85%D1%85%D0%B0%21%201986%20%D1%84%D0%B8%D0%BB%D1%8C%D0%BC","искать")</f>
        <v/>
      </c>
      <c r="N586" s="3" t="n"/>
      <c r="O586" s="2" t="n"/>
    </row>
    <row r="587">
      <c r="A587" s="2" t="n">
        <v>586</v>
      </c>
      <c r="B587" s="2" t="inlineStr">
        <is>
          <t>обрыв</t>
        </is>
      </c>
      <c r="C587" s="2" t="n">
        <v>10436</v>
      </c>
      <c r="D587" s="3" t="inlineStr">
        <is>
          <t>Враги</t>
        </is>
      </c>
      <c r="E587" s="2" t="n">
        <v>1972</v>
      </c>
      <c r="F587" s="2" t="inlineStr">
        <is>
          <t>фильм-спектакль</t>
        </is>
      </c>
      <c r="G587" s="2" t="inlineStr">
        <is>
          <t>ТО “Экран”</t>
        </is>
      </c>
      <c r="H587" s="2" t="n">
        <v>672</v>
      </c>
      <c r="I587" s="2" t="inlineStr">
        <is>
          <t>да</t>
        </is>
      </c>
      <c r="J587" s="2" t="inlineStr"/>
      <c r="K587" s="3" t="inlineStr">
        <is>
          <t>По одноименной пьесе М.Горького в постановке Московского Художественного академического театра СССР им. М.Горького. Постановка В.Немировича-Данченко и М.Кедрова.
Канун 1905 г. Неспокойно стало на фабрике Скроботова и Бардина. В ответ на справедливое требование рабочих уволить жестокого и грубого мастера хозяева закрывают фабику и вызывают войска. Выстрел одного из рабочих, не сумевшего сдержать порыва ненависти к хозяевам, обрывает жизнь Скроботова. На фабрику прибывают жандармы. Им удается раскрыть действовавшую на фабрике социал-демократическую органзизацию. Арестованные рабочие противопоставляют истерической жестокости жандармов спокойное, уверенное мужество...</t>
        </is>
      </c>
      <c r="L587" s="2" t="inlineStr">
        <is>
          <t>https://www.kino-teatr.ru/teatr/movie/13011/annot/</t>
        </is>
      </c>
      <c r="M587" s="2">
        <f>HYPERLINK("https://ru.wikipedia.org/w/index.php?search=%D0%92%D1%80%D0%B0%D0%B3%D0%B8%201972%20%D1%84%D0%B8%D0%BB%D1%8C%D0%BC","искать")</f>
        <v/>
      </c>
      <c r="N587" s="3" t="n"/>
      <c r="O587" s="2" t="n"/>
    </row>
    <row r="588">
      <c r="A588" s="2" t="n">
        <v>587</v>
      </c>
      <c r="B588" s="2" t="inlineStr">
        <is>
          <t>обрыв</t>
        </is>
      </c>
      <c r="C588" s="2" t="n">
        <v>11308</v>
      </c>
      <c r="D588" s="3" t="inlineStr">
        <is>
          <t>Метель</t>
        </is>
      </c>
      <c r="E588" s="2" t="n">
        <v>1990</v>
      </c>
      <c r="F588" s="2" t="inlineStr">
        <is>
          <t>фильм-спектакль</t>
        </is>
      </c>
      <c r="G588" s="2" t="inlineStr">
        <is>
          <t>Главная редакция литературно-художественных программ ЦТ</t>
        </is>
      </c>
      <c r="H588" s="2" t="n">
        <v>703</v>
      </c>
      <c r="I588" s="2" t="inlineStr">
        <is>
          <t>да</t>
        </is>
      </c>
      <c r="J588" s="2" t="inlineStr">
        <is>
          <t>да</t>
        </is>
      </c>
      <c r="K588" s="3" t="inlineStr">
        <is>
          <t>Пьеса «Метель», написанная Леонидом Леоновым в июле – ноябре 1939 г., подверглась жесткой критике, была официально объявлена «злостной клеветой на советскую действительность». На долгие годы она была запрещена к постановке, против автора началась в печати кампания политической травли. В 1962 г. запрет был отменен как «необоснованный». С тех пор пьеса с успехом шла в советских и зарубежных театрах.
Ее действие ярко характеризует жизнь того времени, не скрывая все те ее черты, которые и сегодня леденят кровь – аресты, доносы, страх, жертвы и палачи, дежурившие у подъездов, губительное влияние событий тех лет на сердца молодежи. На сцене жили люди сломленные и люди, сохранившие душевную чистоту...</t>
        </is>
      </c>
      <c r="L588" s="2" t="inlineStr">
        <is>
          <t>https://www.kino-teatr.ru/teatr/movie/139524/annot/</t>
        </is>
      </c>
      <c r="M588" s="2">
        <f>HYPERLINK("https://ru.wikipedia.org/w/index.php?search=%D0%9C%D0%B5%D1%82%D0%B5%D0%BB%D1%8C%201990%20%D1%84%D0%B8%D0%BB%D1%8C%D0%BC","искать")</f>
        <v/>
      </c>
      <c r="N588" s="3" t="n"/>
      <c r="O588" s="2" t="n"/>
    </row>
    <row r="589">
      <c r="A589" s="2" t="n">
        <v>588</v>
      </c>
      <c r="B589" s="2" t="inlineStr">
        <is>
          <t>обрыв</t>
        </is>
      </c>
      <c r="C589" s="2" t="n">
        <v>11006</v>
      </c>
      <c r="D589" s="3" t="inlineStr">
        <is>
          <t>Потоп</t>
        </is>
      </c>
      <c r="E589" s="2" t="n">
        <v>1983</v>
      </c>
      <c r="F589" s="2" t="inlineStr">
        <is>
          <t>фильм-спектакль</t>
        </is>
      </c>
      <c r="G589" s="2" t="n"/>
      <c r="H589" s="2" t="n">
        <v>726</v>
      </c>
      <c r="I589" s="2" t="inlineStr">
        <is>
          <t>да</t>
        </is>
      </c>
      <c r="J589" s="2" t="inlineStr"/>
      <c r="K589" s="3" t="inlineStr">
        <is>
          <t>Спектакль Государственного академического театра имени Вахтангова по пьесе Х.Бергера.
Начало XX века. Наводнение в большом американском городе на берегу Миссисипи.
В некоем баре в замкнутом пространстве оказываются вместе несколько человек, застигнутые ливнем. Они узнают из сообщений метеосводки, что стихия разрушила плотину и вода затопила большую часть города. Разносится слух о неизбежной гибели всех, кто укрылся в баре. Перед лицом грозящей опасности с людьми происходят странные метаморфозы: богатые циники и брюзги-банкроты превращаются в людей, умеющих сопереживать и любить. В последние часы своей жизни люди хотят быть добрее, заботиться друг о друге. Но угроза потопа исчезает, и все возвращается на круги своя...</t>
        </is>
      </c>
      <c r="L589" s="2" t="inlineStr">
        <is>
          <t>https://www.kino-teatr.ru/teatr/movie/81579/annot/</t>
        </is>
      </c>
      <c r="M589" s="2">
        <f>HYPERLINK("https://ru.wikipedia.org/w/index.php?search=%D0%9F%D0%BE%D1%82%D0%BE%D0%BF%201983%20%D1%84%D0%B8%D0%BB%D1%8C%D0%BC","искать")</f>
        <v/>
      </c>
      <c r="N589" s="3" t="n"/>
      <c r="O589" s="2" t="n"/>
    </row>
    <row r="590">
      <c r="A590" s="2" t="n">
        <v>589</v>
      </c>
      <c r="B590" s="2" t="inlineStr">
        <is>
          <t>обрыв</t>
        </is>
      </c>
      <c r="C590" s="2" t="n">
        <v>10461</v>
      </c>
      <c r="D590" s="3" t="inlineStr">
        <is>
          <t>Последние</t>
        </is>
      </c>
      <c r="E590" s="2" t="n">
        <v>1972</v>
      </c>
      <c r="F590" s="2" t="inlineStr">
        <is>
          <t>фильм-спектакль</t>
        </is>
      </c>
      <c r="G590" s="2" t="inlineStr">
        <is>
          <t>Экран</t>
        </is>
      </c>
      <c r="H590" s="2" t="n">
        <v>748</v>
      </c>
      <c r="I590" s="2" t="inlineStr">
        <is>
          <t>да</t>
        </is>
      </c>
      <c r="J590" s="2" t="inlineStr"/>
      <c r="K590" s="3" t="inlineStr">
        <is>
          <t>По одноименной пьесе М.Горького в постановке Московского Художественного академического театра.
Начало XX века. В доме богатого Якова живёт семья его родного брата Ивана - его жена Софья и пятеро детей. Внезапно выясняется, что одна из дочерей Ивана была рождена от Якова. Известие это порождает череду конфликтов. Тем более, что у каждого в этой семье - свой собственный тупик. Иван теряет работу, Яков смертельно болен, дети мечутся между родителями и тяжёлыми жизненными обстоятельствами - всеобщим развратом, изменами и предательством. Софья пытается помочь детям встать на путь истинный, но все её усилия идут прахом. И ей ничего не остаётся, как встать на колени и попросить у своих детей прощения - за то, что родила, обрекая на несчастье...</t>
        </is>
      </c>
      <c r="L590" s="2" t="inlineStr">
        <is>
          <t>https://www.kino-teatr.ru/teatr/movie/93022/annot/</t>
        </is>
      </c>
      <c r="M590" s="2">
        <f>HYPERLINK("https://ru.wikipedia.org/w/index.php?search=%D0%9F%D0%BE%D1%81%D0%BB%D0%B5%D0%B4%D0%BD%D0%B8%D0%B5%201972%20%D1%84%D0%B8%D0%BB%D1%8C%D0%BC","искать")</f>
        <v/>
      </c>
      <c r="N590" s="3" t="n"/>
      <c r="O590" s="2" t="n"/>
    </row>
    <row r="591">
      <c r="A591" s="2" t="n">
        <v>590</v>
      </c>
      <c r="B591" s="2" t="inlineStr">
        <is>
          <t>обрыв</t>
        </is>
      </c>
      <c r="C591" s="2" t="n">
        <v>10631</v>
      </c>
      <c r="D591" s="3" t="inlineStr">
        <is>
          <t>Фальшивая монета</t>
        </is>
      </c>
      <c r="E591" s="2" t="n">
        <v>1975</v>
      </c>
      <c r="F591" s="2" t="inlineStr">
        <is>
          <t>фильм-спектакль</t>
        </is>
      </c>
      <c r="G591" s="2" t="inlineStr">
        <is>
          <t>ТО "Экран"</t>
        </is>
      </c>
      <c r="H591" s="2" t="n">
        <v>750</v>
      </c>
      <c r="I591" s="2" t="inlineStr">
        <is>
          <t>да</t>
        </is>
      </c>
      <c r="J591" s="2" t="inlineStr">
        <is>
          <t>да</t>
        </is>
      </c>
      <c r="K591" s="3" t="inlineStr">
        <is>
          <t>Телеспектакль по одноменной пьесе М.Горького. В основе — спектакль Малого театра.
Цикл горьковских спектаклей Б. А. Бабочкина завершила «Фальшивая монета» — пьеса, которая в горьковском наследии стоит особняком и выделяется своей сугубой нервностью, взвинченностью.
Внешне сравнительно несложный сюжет «Фальшивой монеты» скрывает глубокую и для Горького в высшей степени притягательную мысль о том, как искажает, унижает и опошляет человека денежный интерес, о том, как власть денег проникает в самую, казалось бы, потаенную сферу внутрисемейных отношений.
Спектакль проникнут горечью. Все люди на сцене как-то бессмысленно суетятся, живут бесплодно, бестолково, тускло, не ходят, а снуют, не действуют, а только бессильно намереваются действовать...</t>
        </is>
      </c>
      <c r="L591" s="2" t="inlineStr">
        <is>
          <t>https://www.kino-teatr.ru/teatr/movie/8548/annot/</t>
        </is>
      </c>
      <c r="M591" s="2">
        <f>HYPERLINK("https://ru.wikipedia.org/w/index.php?search=%D0%A4%D0%B0%D0%BB%D1%8C%D1%88%D0%B8%D0%B2%D0%B0%D1%8F%20%D0%BC%D0%BE%D0%BD%D0%B5%D1%82%D0%B0%201975%20%D1%84%D0%B8%D0%BB%D1%8C%D0%BC","искать")</f>
        <v/>
      </c>
      <c r="N591" s="3" t="n"/>
      <c r="O591" s="2" t="n"/>
    </row>
    <row r="592">
      <c r="A592" s="2" t="n">
        <v>591</v>
      </c>
      <c r="B592" s="2" t="inlineStr">
        <is>
          <t>обрыв</t>
        </is>
      </c>
      <c r="C592" s="2" t="n">
        <v>10639</v>
      </c>
      <c r="D592" s="3" t="inlineStr">
        <is>
          <t>Вечно живые</t>
        </is>
      </c>
      <c r="E592" s="2" t="n">
        <v>1976</v>
      </c>
      <c r="F592" s="2" t="inlineStr">
        <is>
          <t>фильм-спектакль</t>
        </is>
      </c>
      <c r="G592" s="2" t="inlineStr">
        <is>
          <t>Центральное телевидение</t>
        </is>
      </c>
      <c r="H592" s="2" t="n">
        <v>750</v>
      </c>
      <c r="I592" s="2" t="inlineStr">
        <is>
          <t>да</t>
        </is>
      </c>
      <c r="J592" s="2" t="inlineStr"/>
      <c r="K592" s="3" t="inlineStr">
        <is>
          <t>Фильм-спектакль по пьесе Виктора Розова, поставленный Олегом Ефремовым. Легендарная постановка. Это с нее начинался ефремовский "Современник".
"Вечно живые" - это трагическая история двух влюбленных, Бориса и Вероники, которых война разлучила навсегда, и в то же время рассказ о любви, которую война не смогла уничтожить. Война, увиденная с точки зрения влюбленных. Спектакль с удивительной эмоциональной силой рассказывает о людях, в чьи судьбы безжалостно вторглась война. Не все смогли с честью вынести это испытание... Борис ушел на фронт добровольцем и пропал без вести. Вероника, потеряв любимого, родителей, родной кров, в порыве отчаяния пытается обрести новую семью, и выходит замуж за брата Бориса Марка, но это не приносит ей облегчения...</t>
        </is>
      </c>
      <c r="L592" s="2" t="inlineStr">
        <is>
          <t>https://www.kino-teatr.ru/teatr/movie/11293/annot/</t>
        </is>
      </c>
      <c r="M592" s="2">
        <f>HYPERLINK("https://ru.wikipedia.org/w/index.php?search=%D0%92%D0%B5%D1%87%D0%BD%D0%BE%20%D0%B6%D0%B8%D0%B2%D1%8B%D0%B5%201976%20%D1%84%D0%B8%D0%BB%D1%8C%D0%BC","искать")</f>
        <v/>
      </c>
      <c r="N592" s="3" t="n"/>
      <c r="O592" s="2" t="n"/>
    </row>
    <row r="593">
      <c r="A593" s="2" t="n">
        <v>592</v>
      </c>
      <c r="B593" s="2" t="inlineStr">
        <is>
          <t>обрыв</t>
        </is>
      </c>
      <c r="C593" s="2" t="n">
        <v>10247</v>
      </c>
      <c r="D593" s="3" t="inlineStr">
        <is>
          <t>Записки сумасшедшего</t>
        </is>
      </c>
      <c r="E593" s="2" t="n">
        <v>1968</v>
      </c>
      <c r="F593" s="2" t="inlineStr">
        <is>
          <t>фильм-спектакль</t>
        </is>
      </c>
      <c r="G593" s="2" t="inlineStr">
        <is>
          <t>Ленинградская студия телевидения</t>
        </is>
      </c>
      <c r="H593" s="2" t="n">
        <v>754</v>
      </c>
      <c r="I593" s="2" t="inlineStr">
        <is>
          <t>да</t>
        </is>
      </c>
      <c r="J593" s="2" t="inlineStr"/>
      <c r="K593" s="3" t="inlineStr">
        <is>
          <t>«Записки сумасшедшего» повесть Николая Васильевича Гоголя, написанная им в 1834 году. Впервые повесть вышла в 1835 году в сборнике «Арабески» с заголовком «Клочки из записок сумасшедшего». Позднее была включена в сборник «Петербургские повести». В 1968 году, режиссер Александр Белинский экранизировал «Записки сумасшедшего» с неподражаемым Евгением Лебедевым в главной роли. В центре повествования дневник главного героя, где он описывает свою жизнь, работу, окружающих его людей. Далее он пишет о своих чувствах к женщине, и вскоре после этого начинают проявляться признаки сумасшествия - он разговаривает с ее собачкой Меджи, он заполучает письма, которые Меджи писала другой собачке. Спустя несколько дней он уже полностью отрывается от реальности...</t>
        </is>
      </c>
      <c r="L593" s="2" t="inlineStr">
        <is>
          <t>https://www.kino-teatr.ru/teatr/movie/9290/annot/</t>
        </is>
      </c>
      <c r="M593" s="2">
        <f>HYPERLINK("https://ru.wikipedia.org/w/index.php?search=%D0%97%D0%B0%D0%BF%D0%B8%D1%81%D0%BA%D0%B8%20%D1%81%D1%83%D0%BC%D0%B0%D1%81%D1%88%D0%B5%D0%B4%D1%88%D0%B5%D0%B3%D0%BE%201968%20%D1%84%D0%B8%D0%BB%D1%8C%D0%BC","искать")</f>
        <v/>
      </c>
      <c r="N593" s="3" t="n"/>
      <c r="O593" s="2" t="n"/>
    </row>
    <row r="594">
      <c r="A594" s="2" t="n">
        <v>593</v>
      </c>
      <c r="B594" s="2" t="inlineStr">
        <is>
          <t>обрыв</t>
        </is>
      </c>
      <c r="C594" s="2" t="n">
        <v>10259</v>
      </c>
      <c r="D594" s="3" t="inlineStr">
        <is>
          <t>Находка Траубе</t>
        </is>
      </c>
      <c r="E594" s="2" t="n">
        <v>1968</v>
      </c>
      <c r="F594" s="2" t="inlineStr">
        <is>
          <t>фильм-спектакль</t>
        </is>
      </c>
      <c r="G594" s="2" t="inlineStr">
        <is>
          <t>Ленинградская студия телевидения</t>
        </is>
      </c>
      <c r="H594" s="2" t="n">
        <v>769</v>
      </c>
      <c r="I594" s="2" t="inlineStr">
        <is>
          <t>да</t>
        </is>
      </c>
      <c r="J594" s="2" t="inlineStr"/>
      <c r="K594" s="3" t="inlineStr">
        <is>
          <t>Телеспектакль по повести Яна Рудского «95-16».
...Их было трое. Немец Траубе, поляк Шель и американец Джонсон. Судьба занесла этих людей в концентрационный лагерь. Во время наступления войск союзников они должны были погибнуть, но бомба, разрушив подвал, где сидело трое обреченных, открыла им путь к свободе. По-разному сложилась жизнь трех бывших заключенных. Траубе и Джонсон остаются в Западной Германии, Шель возвращается на родину и становится корреспондентом одной из польских газет. Но всех их так или иначе связывает прошлое. Получив от Траубе письмо с просьбой о помощи, Шель едет в ФРГ, но друга уже не застает: Леон Траубе погибает. Обстоятельства его смерти вызывают у Шеля сомнение. Шаг за шагом журналист распутывает нить и делает неожиданное открытие...</t>
        </is>
      </c>
      <c r="L594" s="2" t="inlineStr">
        <is>
          <t>https://www.kino-teatr.ru/teatr/movie/122806/annot/</t>
        </is>
      </c>
      <c r="M594" s="2">
        <f>HYPERLINK("https://ru.wikipedia.org/w/index.php?search=%D0%9D%D0%B0%D1%85%D0%BE%D0%B4%D0%BA%D0%B0%20%D0%A2%D1%80%D0%B0%D1%83%D0%B1%D0%B5%201968%20%D1%84%D0%B8%D0%BB%D1%8C%D0%BC","искать")</f>
        <v/>
      </c>
      <c r="N594" s="3" t="n"/>
      <c r="O594" s="2" t="n"/>
    </row>
    <row r="595">
      <c r="A595" s="2" t="n">
        <v>594</v>
      </c>
      <c r="B595" s="2" t="inlineStr">
        <is>
          <t>обрыв</t>
        </is>
      </c>
      <c r="C595" s="2" t="n">
        <v>10229</v>
      </c>
      <c r="D595" s="3" t="inlineStr">
        <is>
          <t>Барсуки</t>
        </is>
      </c>
      <c r="E595" s="2" t="n">
        <v>1968</v>
      </c>
      <c r="F595" s="2" t="inlineStr">
        <is>
          <t>фильм-спектакль</t>
        </is>
      </c>
      <c r="G595" s="2" t="inlineStr">
        <is>
          <t>Главная редакция литературно-драматических программ ЦТ</t>
        </is>
      </c>
      <c r="H595" s="2" t="n">
        <v>770</v>
      </c>
      <c r="I595" s="2" t="inlineStr">
        <is>
          <t>да</t>
        </is>
      </c>
      <c r="J595" s="2" t="inlineStr"/>
      <c r="K595" s="3" t="inlineStr">
        <is>
          <t>По одноименному произведению Л.Леонова.
Действие телеспектакля охватывает период с начала ХХ века до первых лет Советской власти. Два деревенских мальчика - братья Семен и Павел - прислуживают московскому купцу-лавочнику. Они сталкиваются с жесткой эксплуатацией, тяжелым подневольным трудом. Жизненные пути братьев расходятся. Не выдержав издевательств купца, Павел уходит на завод, становится рабочим, а в дальнейшем профессионалом-революционером. Семен остается в услужении. В послереволюционный период Семен, побывав на фронте и возвратившись в деревню, примыкает к кулакам, жестоко расправляется с представителями Советской власти, став во главе банды "барсуков", скрывавшихся в лесах. На борьбу с бандитами отправляется отряд Красной Армии, возглавляемый Павлом...</t>
        </is>
      </c>
      <c r="L595" s="2" t="inlineStr">
        <is>
          <t>https://www.kino-teatr.ru/teatr/movie/17647/annot/</t>
        </is>
      </c>
      <c r="M595" s="2">
        <f>HYPERLINK("https://ru.wikipedia.org/w/index.php?search=%D0%91%D0%B0%D1%80%D1%81%D1%83%D0%BA%D0%B8%201968%20%D1%84%D0%B8%D0%BB%D1%8C%D0%BC","искать")</f>
        <v/>
      </c>
      <c r="N595" s="3" t="n"/>
      <c r="O595" s="2" t="n"/>
    </row>
    <row r="596">
      <c r="A596" s="2" t="n">
        <v>595</v>
      </c>
      <c r="B596" s="2" t="inlineStr">
        <is>
          <t>обрыв</t>
        </is>
      </c>
      <c r="C596" s="2" t="n">
        <v>10262</v>
      </c>
      <c r="D596" s="3" t="inlineStr">
        <is>
          <t>Пер Гюнт</t>
        </is>
      </c>
      <c r="E596" s="2" t="n">
        <v>1968</v>
      </c>
      <c r="F596" s="2" t="inlineStr">
        <is>
          <t>фильм-спектакль</t>
        </is>
      </c>
      <c r="G596" s="2" t="inlineStr">
        <is>
          <t>Ленинградское телевидение</t>
        </is>
      </c>
      <c r="H596" s="2" t="n">
        <v>772</v>
      </c>
      <c r="I596" s="2" t="inlineStr">
        <is>
          <t>да</t>
        </is>
      </c>
      <c r="J596" s="2" t="inlineStr"/>
      <c r="K596" s="3" t="inlineStr">
        <is>
          <t>По одноименной драматической поэме Г.Ибсена.
Музыка Эдварда Грига.
Действие поэмы охватывает первую половину XIX века и происходит в Норвегии, на марокканском побережье Средиземного моря, в пустыне Сахара, в сумасшедшем доме в Каире. Главный герой — Пер Гюнт, сын когда-то богатого и всеми уважаемого Йона Гюнта, впоследствии спившегося и потерявшего все свои деньги.
Пер хочет восстановить всё уничтоженное его отцом, но теряется в своих похвальбах, мечтах и снах наяву. Его втягивают в драку, и он похищает невесту Ингрид из Хэгстеда в день её свадьбы. Его объявляют вне закона, и он вынужден бежать из своей деревни.
На свадьбе на хуторе Хэгстед он встретил и полюбил Сольвейг. Она приходит жить к нему в лесную хижину, но он покидает её и продолжает свои странствия...</t>
        </is>
      </c>
      <c r="L596" s="2" t="inlineStr">
        <is>
          <t>https://www.kino-teatr.ru/teatr/movie/92971/annot/</t>
        </is>
      </c>
      <c r="M596" s="2">
        <f>HYPERLINK("https://ru.wikipedia.org/w/index.php?search=%D0%9F%D0%B5%D1%80%20%D0%93%D1%8E%D0%BD%D1%82%201968%20%D1%84%D0%B8%D0%BB%D1%8C%D0%BC","искать")</f>
        <v/>
      </c>
      <c r="N596" s="3" t="n"/>
      <c r="O596" s="2" t="n"/>
    </row>
    <row r="597">
      <c r="A597" s="2" t="n">
        <v>596</v>
      </c>
      <c r="B597" s="2" t="inlineStr">
        <is>
          <t>обрыв</t>
        </is>
      </c>
      <c r="C597" s="2" t="n">
        <v>10246</v>
      </c>
      <c r="D597" s="3" t="inlineStr">
        <is>
          <t>Замок герцога Синей Бороды</t>
        </is>
      </c>
      <c r="E597" s="2" t="n">
        <v>1968</v>
      </c>
      <c r="F597" s="2" t="inlineStr">
        <is>
          <t>фильм-спектакль</t>
        </is>
      </c>
      <c r="G597" s="2" t="inlineStr">
        <is>
          <t>Главная редакция литературно-музыкальных программ ЦТ</t>
        </is>
      </c>
      <c r="H597" s="2" t="n">
        <v>788</v>
      </c>
      <c r="I597" s="2" t="inlineStr">
        <is>
          <t>да</t>
        </is>
      </c>
      <c r="J597" s="2" t="inlineStr"/>
      <c r="K597" s="3" t="inlineStr">
        <is>
          <t>Сюжет оперы Беллы Бартока "Замок герцога Синяя Борода" основан на старинном французском сказании, использованном также Метерлинком в драме "Ариадна и Синяя Борода".
Герцог Синяя Борода вводит в свой замок молодую жену Юдит (Юдифь) и по ее настоянию дает ей ключи от запертых дверей. Она поочередно открывает их. За первой находится застенок, за второй - оружейная, за третьей - сокровищница, за четвертой - сад, за пятой - просторы царства Синей Бороды, за шестой - озеро слез, а за седьмой - три призрака жен герцога: одна из них - рассвет его жизни, вторая - полдень, третья - закат. И хотя всё вокруг таит следы крови, это не пугает Юдит. Она надевает корону и плащ и скрывается за седьмой дверью, принимая на себя роль ночи жизни Синей Бороды. Отныне она будет только воспоминанием...</t>
        </is>
      </c>
      <c r="L597" s="2" t="inlineStr">
        <is>
          <t>https://www.kino-teatr.ru/teatr/movie/104475/annot/</t>
        </is>
      </c>
      <c r="M597" s="2">
        <f>HYPERLINK("https://ru.wikipedia.org/w/index.php?search=%D0%97%D0%B0%D0%BC%D0%BE%D0%BA%20%D0%B3%D0%B5%D1%80%D1%86%D0%BE%D0%B3%D0%B0%20%D0%A1%D0%B8%D0%BD%D0%B5%D0%B9%20%D0%91%D0%BE%D1%80%D0%BE%D0%B4%D1%8B%201968%20%D1%84%D0%B8%D0%BB%D1%8C%D0%BC","искать")</f>
        <v/>
      </c>
      <c r="N597" s="3" t="n"/>
      <c r="O597" s="2" t="n"/>
    </row>
    <row r="598">
      <c r="A598" s="2" t="n">
        <v>597</v>
      </c>
      <c r="B598" s="2" t="inlineStr">
        <is>
          <t>обрыв</t>
        </is>
      </c>
      <c r="C598" s="2" t="n">
        <v>11015</v>
      </c>
      <c r="D598" s="3" t="inlineStr">
        <is>
          <t>Умные вещи</t>
        </is>
      </c>
      <c r="E598" s="2" t="n">
        <v>1983</v>
      </c>
      <c r="F598" s="2" t="inlineStr">
        <is>
          <t>фильм-спектакль</t>
        </is>
      </c>
      <c r="G598" s="2" t="inlineStr">
        <is>
          <t>Главная редакция литературно-драматических программ ЦТ</t>
        </is>
      </c>
      <c r="H598" s="2" t="n">
        <v>848</v>
      </c>
      <c r="I598" s="2" t="inlineStr">
        <is>
          <t>да</t>
        </is>
      </c>
      <c r="J598" s="2" t="inlineStr"/>
      <c r="K598" s="3" t="inlineStr">
        <is>
          <t>"Умные вещи" - одно из тех драматургических произведений знаменитого детского писателя Самуила Яковлевича Маршака, которые принесли ему славу (наряду с другими его сказками – "Горя бояться – счастья не видать", "Кошкин дом" и "Двенадцать месяцев").
Волшебный сюжет о бедном музыканте, который однажды набрел на чудесную ярмарочную лавку. В этой лавке старик продавал удивительные вещи, такие как волшебное зеркало, шапка-невидимка, скатерть-самобранка. Была среди этих сказочных вещей и чудесная дудка-самогудка. Старик отдал бедному юноше дудку-самогудку и волшебное зеркало с условием возвращения их спустя год. Одному жадному богачу тоже понравились эти вещи, и он решает путем обмана и хитрости забрать их, а музыканта бросить в темницу. Но не знал жадный богач, что умные вещи только доброму сердцу приносят счастье, а глупому не прибавят ума…</t>
        </is>
      </c>
      <c r="L598" s="2" t="inlineStr">
        <is>
          <t>https://www.kino-teatr.ru/teatr/movie/104425/annot/</t>
        </is>
      </c>
      <c r="M598" s="2">
        <f>HYPERLINK("https://ru.wikipedia.org/w/index.php?search=%D0%A3%D0%BC%D0%BD%D1%8B%D0%B5%20%D0%B2%D0%B5%D1%89%D0%B8%201983%20%D1%84%D0%B8%D0%BB%D1%8C%D0%BC","искать")</f>
        <v/>
      </c>
      <c r="N598" s="3" t="n"/>
      <c r="O598" s="2" t="n"/>
    </row>
    <row r="599">
      <c r="A599" s="2" t="n">
        <v>598</v>
      </c>
      <c r="B599" s="2" t="inlineStr">
        <is>
          <t>обрыв</t>
        </is>
      </c>
      <c r="C599" s="2" t="n">
        <v>10230</v>
      </c>
      <c r="D599" s="3" t="inlineStr">
        <is>
          <t>Белая перчатка</t>
        </is>
      </c>
      <c r="E599" s="2" t="n">
        <v>1968</v>
      </c>
      <c r="F599" s="2" t="inlineStr">
        <is>
          <t>фильм-спектакль</t>
        </is>
      </c>
      <c r="G599" s="2" t="inlineStr">
        <is>
          <t>Главная редакция литературно-драматических программ ЦТ</t>
        </is>
      </c>
      <c r="H599" s="2" t="n">
        <v>917</v>
      </c>
      <c r="I599" s="2" t="inlineStr">
        <is>
          <t>да</t>
        </is>
      </c>
      <c r="J599" s="2" t="inlineStr"/>
      <c r="K599" s="3" t="inlineStr">
        <is>
          <t>По произведению Майна Рида в постановке Михаила Григорьева.
«Каждый, кто получает белую перчатку, становится обладателем бесценных сокровищ, ибо белая перчатка означает любовь, верность и честь» - так гласит закон романтики.
Далекий XVII век, где действуют благородные и мужественные кавалеры, прекрасные дамы и... коварные злодеи, и где есть загадки, приключения и обязательно пылкая любовь с первого взгляда.
Англия, время правления Карла I Стюарта, в стране назревает буржуазная революция. По ночам в таверне, где кипят политические споры, собираются заговорщики. Свободомыслящий и благородный Генри Голтспер спешит на встречу со своими единомышленниками. Но в лесу у дороги, якобы случайно, прекрасная Марион теряет роскошную белую перчатку. Она давно влюблена в незнакомца. И вот, наконец-то, решилась намекнуть о своих чувствах. Генри обрадован таким трофеем, который на языке того времени говорил о многом, но…</t>
        </is>
      </c>
      <c r="L599" s="2" t="inlineStr">
        <is>
          <t>https://www.kino-teatr.ru/teatr/movie/131505/annot/</t>
        </is>
      </c>
      <c r="M599" s="2">
        <f>HYPERLINK("https://ru.wikipedia.org/w/index.php?search=%D0%91%D0%B5%D0%BB%D0%B0%D1%8F%20%D0%BF%D0%B5%D1%80%D1%87%D0%B0%D1%82%D0%BA%D0%B0%201968%20%D1%84%D0%B8%D0%BB%D1%8C%D0%BC","искать")</f>
        <v/>
      </c>
      <c r="N599" s="3" t="n"/>
      <c r="O599" s="2" t="n"/>
    </row>
    <row r="600">
      <c r="A600" s="2" t="n">
        <v>599</v>
      </c>
      <c r="B600" s="2" t="inlineStr">
        <is>
          <t>обрыв</t>
        </is>
      </c>
      <c r="C600" s="2" t="n">
        <v>11334</v>
      </c>
      <c r="D600" s="3" t="inlineStr">
        <is>
          <t>Босиком по парку</t>
        </is>
      </c>
      <c r="E600" s="2" t="n">
        <v>1991</v>
      </c>
      <c r="F600" s="2" t="inlineStr">
        <is>
          <t>фильм-спектакль</t>
        </is>
      </c>
      <c r="G600" s="2" t="n"/>
      <c r="H600" s="2" t="n">
        <v>934</v>
      </c>
      <c r="I600" s="2" t="inlineStr">
        <is>
          <t>да</t>
        </is>
      </c>
      <c r="J600" s="2" t="inlineStr"/>
      <c r="K600" s="3" t="inlineStr">
        <is>
          <t>Московский академический театр Сатиры
По пьесе Нила Саймона.
Молодожены Кори и Пол Браттеры шесть дней как женаты. Они въезжают в арендованную на 40-й улице Нью-Йорка квартиру. Кори бесконечно счастлива и восторженно обустраивает жилище, в котором нет мебели, ванны, кладовая заменяет спальню, отопление не работает, а в потолке оказывается дыра на улицу.
Пол Браттер, привыкший к лучшим условиям и жаждущий комфорта хотя бы для того, чтобы полноценно подготовиться к первому в своей жизни судебному разбирательству, крайне недоволен квартирой. Тем более что покой в ней нарушают то мама Кори, то престарелый сосед-ловелас. В результате этих испытаний, молодоженам теперь кажется, что они не сходятся характерами. Кори любит развлекаться, не хочет ни на шаг отпускать от себя мужа, и ее веселит их необычный сосед, а Пол хочет покоя, порядка, размеренной жизни и не подниматься пешком на самый высокий этаж их многоквартирного дома...</t>
        </is>
      </c>
      <c r="L600" s="2" t="inlineStr">
        <is>
          <t>https://www.kino-teatr.ru/teatr/movie/141635/annot/</t>
        </is>
      </c>
      <c r="M600" s="2">
        <f>HYPERLINK("https://ru.wikipedia.org/w/index.php?search=%D0%91%D0%BE%D1%81%D0%B8%D0%BA%D0%BE%D0%BC%20%D0%BF%D0%BE%20%D0%BF%D0%B0%D1%80%D0%BA%D1%83%201991%20%D1%84%D0%B8%D0%BB%D1%8C%D0%BC","искать")</f>
        <v/>
      </c>
      <c r="N600" s="3" t="n"/>
      <c r="O600" s="2" t="n"/>
    </row>
    <row r="601">
      <c r="A601" s="2" t="n">
        <v>600</v>
      </c>
      <c r="B601" s="2" t="inlineStr">
        <is>
          <t>обрыв</t>
        </is>
      </c>
      <c r="C601" s="2" t="n">
        <v>11229</v>
      </c>
      <c r="D601" s="3" t="inlineStr">
        <is>
          <t>Театр</t>
        </is>
      </c>
      <c r="E601" s="2" t="n">
        <v>1988</v>
      </c>
      <c r="F601" s="2" t="inlineStr">
        <is>
          <t>фильм-спектакль</t>
        </is>
      </c>
      <c r="G601" s="2" t="inlineStr">
        <is>
          <t>Главная редакция литературно-драматических программ ЦТ</t>
        </is>
      </c>
      <c r="H601" s="2" t="n">
        <v>939</v>
      </c>
      <c r="I601" s="2" t="inlineStr">
        <is>
          <t>да</t>
        </is>
      </c>
      <c r="J601" s="2" t="inlineStr"/>
      <c r="K601" s="3" t="inlineStr">
        <is>
          <t>По пьесе М.Фрейна в постановке Севастопольского русского драматического театра имени А.В.Луначарского.
Картина I. Актеры частной английской труппы репетируют незатейливую комедию "Любовь и сардины". Ночная репетиция перед премьерой. Артисты плохо знают текст и путают мизансцены, режиссер на грани нервного срыва. Однако спектакль состоится при "любой погоде".
Картина II. Месяц спустя. Гастрольный тур в самом разгаре. Дневной спектакль в маленьком провинциальном городке. "Вид сзади" - из-за кулис. Зритель видит всё, что происходит за кулисами во время действия. А это зрелище не для слабонервных. Склоки, интриги, любовные перипетии.
Картина III. Три месяца спустя. Гастроли подходят к концу. Ежедневные показы и частые переезды вымотали актеров до предела. Труппа на грани войны, актеры ненавидят всё и вся. Но в зале зритель, и они выходят на сцену и играют спектакль. Однако то, что происходит на сцене, спектаклем назвать трудно...</t>
        </is>
      </c>
      <c r="L601" s="2" t="inlineStr">
        <is>
          <t>https://www.kino-teatr.ru/teatr/movie/81898/annot/</t>
        </is>
      </c>
      <c r="M601" s="2">
        <f>HYPERLINK("https://ru.wikipedia.org/w/index.php?search=%D0%A2%D0%B5%D0%B0%D1%82%D1%80%201988%20%D1%84%D0%B8%D0%BB%D1%8C%D0%BC","искать")</f>
        <v/>
      </c>
      <c r="N601" s="3" t="n"/>
      <c r="O601" s="2" t="n"/>
    </row>
    <row r="602">
      <c r="A602" s="2" t="n">
        <v>601</v>
      </c>
      <c r="B602" s="2" t="inlineStr">
        <is>
          <t>обрыв</t>
        </is>
      </c>
      <c r="C602" s="2" t="n">
        <v>11070</v>
      </c>
      <c r="D602" s="3" t="inlineStr">
        <is>
          <t>Омут</t>
        </is>
      </c>
      <c r="E602" s="2" t="n">
        <v>1985</v>
      </c>
      <c r="F602" s="2" t="inlineStr">
        <is>
          <t>фильм-спектакль</t>
        </is>
      </c>
      <c r="G602" s="2" t="inlineStr">
        <is>
          <t>Ленинградское ТВ</t>
        </is>
      </c>
      <c r="H602" s="2" t="n">
        <v>949</v>
      </c>
      <c r="I602" s="2" t="inlineStr">
        <is>
          <t>да</t>
        </is>
      </c>
      <c r="J602" s="2" t="inlineStr"/>
      <c r="K602" s="3" t="inlineStr">
        <is>
          <t>Из цикла "Следы остаются" (Дела и люди ленинградской милиции).
Теледетектив, созданный на строго документальном материале уголовного дела, рассмотренного Ленинградским городским судом, ставит перед зрителями вопросы большой социально-нравственной значимости.
Совершено преступление. Самое страшное - убийство... Кто виновник? Каковы мотивы преступления? Эти и множество сопутствующих вопросов встают перед полковником милиции Дробышевым и старшим лейтенантом Самариным. В процессе следствия сталкиваются они с молодыми людьми, духовная нищета которых страшна своими моральными последствиями. Спекуляция, фарцовка, стремление к наживе - все это процветает в среде тех людей, где произошло преступление. Их жизненная позиция способствовала ему.
Убийцы пойманы и осуждены. Но многие остались за рамками закона. Что ждет их завтра?.. Это тяжелое горестное чувство не оставляет Дробышева и Самарина, когда вспоминают они об убийстве на старом кладбище...</t>
        </is>
      </c>
      <c r="L602" s="2" t="inlineStr">
        <is>
          <t>https://www.kino-teatr.ru/teatr/movie/79270/annot/</t>
        </is>
      </c>
      <c r="M602" s="2">
        <f>HYPERLINK("https://ru.wikipedia.org/w/index.php?search=%D0%9E%D0%BC%D1%83%D1%82%201985%20%D1%84%D0%B8%D0%BB%D1%8C%D0%BC","искать")</f>
        <v/>
      </c>
      <c r="N602" s="3" t="n"/>
      <c r="O602" s="2" t="n"/>
    </row>
    <row r="603">
      <c r="A603" s="2" t="n">
        <v>602</v>
      </c>
      <c r="B603" s="2" t="inlineStr">
        <is>
          <t>обрыв</t>
        </is>
      </c>
      <c r="C603" s="2" t="n">
        <v>11047</v>
      </c>
      <c r="D603" s="3" t="inlineStr">
        <is>
          <t>С нами не соскучишься (1984-1985)</t>
        </is>
      </c>
      <c r="E603" s="2" t="n">
        <v>1984</v>
      </c>
      <c r="F603" s="2" t="inlineStr">
        <is>
          <t>фильм-спектакль</t>
        </is>
      </c>
      <c r="G603" s="2" t="inlineStr">
        <is>
          <t>Главная редакция программ для детей и юношества ЦТ</t>
        </is>
      </c>
      <c r="H603" s="2" t="n">
        <v>968</v>
      </c>
      <c r="I603" s="2" t="inlineStr">
        <is>
          <t>да</t>
        </is>
      </c>
      <c r="J603" s="2" t="inlineStr"/>
      <c r="K603" s="3" t="inlineStr">
        <is>
          <t>По повести Сергея Иванова "Его среди нас нет".
... В самом обычном, на первый взгляд, шестом классе начинает происходить нечто странное: каждое утро перед уроками кто-то оставляет на доске надпись "6 В - тупой". Кто же этот возмутитель спокойствия: тихоня Серёжа Крамской, отличница Лена Серова или "новенькая" Наташа Самсонова?..
... Таинственным образом пропадает классный журнал. За расследование берется школьный "Шерлок Холмс" - Таня Садовничья. Ей помогает "Ватсон" - её новый друг, Серёжа Крамской. Первоначальная версия "сыщиков" - журнал потеряла классная руководительница Алёна, мечтательная и рассеянная выпускница пединститута. Но постепенно у "следствия" появляется новая "подозреваемая" - отличница Лида Самсонова...
... Один из шестиклассников, Витя, связывается с криминальной компанией. За мелкими кражами следует более серьёзное преступление: Витя прячет у себя дома добычу своих новых "друзей" - взрослых грабителей. На след банды выходит милиция...</t>
        </is>
      </c>
      <c r="L603" s="2" t="inlineStr">
        <is>
          <t>https://www.kino-teatr.ru/teatr/movie/16124/annot/</t>
        </is>
      </c>
      <c r="M603" s="2">
        <f>HYPERLINK("https://ru.wikipedia.org/w/index.php?search=%D0%A1%20%D0%BD%D0%B0%D0%BC%D0%B8%20%D0%BD%D0%B5%20%D1%81%D0%BE%D1%81%D0%BA%D1%83%D1%87%D0%B8%D1%88%D1%8C%D1%81%D1%8F%20%281984-1985%29%201984%20%D1%84%D0%B8%D0%BB%D1%8C%D0%BC","искать")</f>
        <v/>
      </c>
      <c r="N603" s="3" t="n"/>
      <c r="O603" s="2" t="n"/>
    </row>
    <row r="604">
      <c r="A604" s="2" t="n">
        <v>603</v>
      </c>
      <c r="B604" s="2" t="inlineStr">
        <is>
          <t>обрыв</t>
        </is>
      </c>
      <c r="C604" s="2" t="n">
        <v>11060</v>
      </c>
      <c r="D604" s="3" t="inlineStr">
        <is>
          <t>Игра в джин</t>
        </is>
      </c>
      <c r="E604" s="2" t="n">
        <v>1985</v>
      </c>
      <c r="F604" s="2" t="inlineStr">
        <is>
          <t>фильм-спектакль</t>
        </is>
      </c>
      <c r="G604" s="2" t="inlineStr">
        <is>
          <t>Главная редакция литературно-драматических программ</t>
        </is>
      </c>
      <c r="H604" s="2" t="n">
        <v>1061</v>
      </c>
      <c r="I604" s="2" t="inlineStr">
        <is>
          <t>да</t>
        </is>
      </c>
      <c r="J604" s="2" t="inlineStr"/>
      <c r="K604" s="3" t="inlineStr">
        <is>
          <t>Спектакль «Игра в джин» по пьесе американского драматурга Д.Кобурна в постановке театра имени Маяковского.
Необычен жанр спектакля: «И смех... и слёзы... и любовь... в доме Бентли в 2-х действиях». Действие спектакля происходит в США в доме для престарелых. В доме Бентли или в «доме смерти», как зовётся он в народе, волей судьбы встречаются богатый бизнесмен и женщина-менеджер. За плечами у каждого своя жизнь, своя драма. Семья, дети, дом, работа, успехи — всё в прошлом. Всё начинается вполне пристойно. Он предлагает ей развлечься — поиграть в карты, учит карточной игре в джин, при этом довольно цинично обсуждая своё окружение, называя его «свалкой тел, не совсем готовых на кладбище». Дама оказывается способной ученицей и неожиданно выигрывает. Он, раздираемый двумя противоречивыми чувствами (симпатией к этой женщине и страстью азартного картёжника), и Она, ищущая лекарства от одиночества во встречах с ним. Оба нуждаются в общении друг с другом, но для героя становится главным выиграть в карты у этой женщины. И возможно, выиграть у этой жизни...</t>
        </is>
      </c>
      <c r="L604" s="2" t="inlineStr">
        <is>
          <t>https://www.kino-teatr.ru/teatr/movie/81586/annot/</t>
        </is>
      </c>
      <c r="M604" s="2">
        <f>HYPERLINK("https://ru.wikipedia.org/w/index.php?search=%D0%98%D0%B3%D1%80%D0%B0%20%D0%B2%20%D0%B4%D0%B6%D0%B8%D0%BD%201985%20%D1%84%D0%B8%D0%BB%D1%8C%D0%BC","искать")</f>
        <v/>
      </c>
      <c r="N604" s="3" t="n"/>
      <c r="O604" s="2" t="n"/>
    </row>
    <row r="605">
      <c r="A605" s="2" t="n">
        <v>604</v>
      </c>
      <c r="B605" s="2" t="inlineStr">
        <is>
          <t>обрыв</t>
        </is>
      </c>
      <c r="C605" s="2" t="n">
        <v>10760</v>
      </c>
      <c r="D605" s="3" t="inlineStr">
        <is>
          <t>Мужчина и женщины</t>
        </is>
      </c>
      <c r="E605" s="2" t="n">
        <v>1978</v>
      </c>
      <c r="F605" s="2" t="inlineStr">
        <is>
          <t>фильм-спектакль</t>
        </is>
      </c>
      <c r="G605" s="2" t="inlineStr">
        <is>
          <t>ТО "Экран"</t>
        </is>
      </c>
      <c r="H605" s="2" t="n">
        <v>1107</v>
      </c>
      <c r="I605" s="2" t="inlineStr">
        <is>
          <t>да</t>
        </is>
      </c>
      <c r="J605" s="2" t="inlineStr"/>
      <c r="K605" s="3" t="inlineStr">
        <is>
          <t>Леонид Зорин на экземпляре этой пьесы написал: посвящается замечательным актерам — Марии Владимировне Мироновой и Александру Семеновичу Менакеру.
Все женские роли, естественно, исполняла Мария Миронова. А одну - единственную мужскую — Александр Менакер. Пьеса предоставила Мироновой возможность для бесконечных трансформаций: она и скромная, заботливая жена. И постоянный член месткома, и жрица любви и поэзии, и темпераментная попутчица - грузинка, и медрегистратор диспансера, и многоопытный врач - психиатр, и наблюдательная соседка, и весьма ответственная дама - начальница.
Действие развивается стремительно. Трудно вообразить, каким образом буквально за считанные секунды Мироновой удавалось сменить внешний и внутренний облик своих героинь, отличающихся друг от друга не только по возрасту и профессии, но, прежде всего, по темпераменту.
Сюжет пьесы необычайно прост: ее единственный герой Ананий Семенович Гарунский обратился в психоневрологический диспансер с единственной просьбой: выдать справку, что он не состоит здесь на учете. Казалось бы, какая проблема? Но все оказывается не так-то просто…</t>
        </is>
      </c>
      <c r="L605" s="2" t="inlineStr">
        <is>
          <t>https://www.kino-teatr.ru/teatr/movie/9418/annot/</t>
        </is>
      </c>
      <c r="M605" s="2">
        <f>HYPERLINK("https://ru.wikipedia.org/w/index.php?search=%D0%9C%D1%83%D0%B6%D1%87%D0%B8%D0%BD%D0%B0%20%D0%B8%20%D0%B6%D0%B5%D0%BD%D1%89%D0%B8%D0%BD%D1%8B%201978%20%D1%84%D0%B8%D0%BB%D1%8C%D0%BC","искать")</f>
        <v/>
      </c>
      <c r="N605" s="3" t="n"/>
      <c r="O605" s="2" t="n"/>
    </row>
    <row r="606">
      <c r="A606" s="2" t="n">
        <v>605</v>
      </c>
      <c r="B606" s="2" t="inlineStr">
        <is>
          <t>не сюжет</t>
        </is>
      </c>
      <c r="C606" s="2" t="n">
        <v>9981</v>
      </c>
      <c r="D606" s="3" t="inlineStr">
        <is>
          <t>Эй!</t>
        </is>
      </c>
      <c r="E606" s="2" t="n">
        <v>1981</v>
      </c>
      <c r="F606" s="2" t="inlineStr">
        <is>
          <t>кинофильм</t>
        </is>
      </c>
      <c r="G606" s="2" t="inlineStr">
        <is>
          <t>ВГИК</t>
        </is>
      </c>
      <c r="H606" s="2" t="n">
        <v>8</v>
      </c>
      <c r="I606" s="2" t="inlineStr"/>
      <c r="J606" s="2" t="inlineStr">
        <is>
          <t>да</t>
        </is>
      </c>
      <c r="K606" s="3" t="inlineStr">
        <is>
          <t>Новелла.</t>
        </is>
      </c>
      <c r="L606" s="2" t="inlineStr">
        <is>
          <t>https://www.kino-teatr.ru/short/movie/sov/10520/annot/</t>
        </is>
      </c>
      <c r="M606" s="2">
        <f>HYPERLINK("https://ru.wikipedia.org/w/index.php?search=%D0%AD%D0%B9%21%201981%20%D1%84%D0%B8%D0%BB%D1%8C%D0%BC","искать")</f>
        <v/>
      </c>
      <c r="N606" s="3" t="n"/>
      <c r="O606" s="2" t="n"/>
    </row>
    <row r="607">
      <c r="A607" s="2" t="n">
        <v>606</v>
      </c>
      <c r="B607" s="2" t="inlineStr">
        <is>
          <t>не сюжет</t>
        </is>
      </c>
      <c r="C607" s="2" t="n">
        <v>10236</v>
      </c>
      <c r="D607" s="3" t="inlineStr">
        <is>
          <t>Винни Пух и Все все все...</t>
        </is>
      </c>
      <c r="E607" s="2" t="n">
        <v>1968</v>
      </c>
      <c r="F607" s="2" t="inlineStr">
        <is>
          <t>фильм-спектакль</t>
        </is>
      </c>
      <c r="G607" s="2" t="inlineStr">
        <is>
          <t>Ленинградское телевидение</t>
        </is>
      </c>
      <c r="H607" s="2" t="n">
        <v>18</v>
      </c>
      <c r="I607" s="2" t="inlineStr"/>
      <c r="J607" s="2" t="inlineStr">
        <is>
          <t>да</t>
        </is>
      </c>
      <c r="K607" s="3" t="inlineStr">
        <is>
          <t>По сказке А.Милна.</t>
        </is>
      </c>
      <c r="L607" s="2" t="inlineStr">
        <is>
          <t>https://www.kino-teatr.ru/teatr/movie/111574/annot/</t>
        </is>
      </c>
      <c r="M607" s="2">
        <f>HYPERLINK("https://ru.wikipedia.org/w/index.php?search=%D0%92%D0%B8%D0%BD%D0%BD%D0%B8%20%D0%9F%D1%83%D1%85%20%D0%B8%20%D0%92%D1%81%D0%B5%20%D0%B2%D1%81%D0%B5%20%D0%B2%D1%81%D0%B5...%201968%20%D1%84%D0%B8%D0%BB%D1%8C%D0%BC","искать")</f>
        <v/>
      </c>
      <c r="N607" s="3" t="n"/>
      <c r="O607" s="2" t="n"/>
    </row>
    <row r="608">
      <c r="A608" s="2" t="n">
        <v>607</v>
      </c>
      <c r="B608" s="2" t="inlineStr">
        <is>
          <t>не сюжет</t>
        </is>
      </c>
      <c r="C608" s="2" t="n">
        <v>11021</v>
      </c>
      <c r="D608" s="3" t="inlineStr">
        <is>
          <t>Чёрный гардемарин</t>
        </is>
      </c>
      <c r="E608" s="2" t="n">
        <v>1983</v>
      </c>
      <c r="F608" s="2" t="inlineStr">
        <is>
          <t>фильм-спектакль</t>
        </is>
      </c>
      <c r="G608" s="2" t="inlineStr">
        <is>
          <t>Ленинградское ТВ</t>
        </is>
      </c>
      <c r="H608" s="2" t="n">
        <v>18</v>
      </c>
      <c r="I608" s="2" t="inlineStr"/>
      <c r="J608" s="2" t="inlineStr">
        <is>
          <t>да</t>
        </is>
      </c>
      <c r="K608" s="3" t="inlineStr">
        <is>
          <t>По пьесе А.Штейна.</t>
        </is>
      </c>
      <c r="L608" s="2" t="inlineStr">
        <is>
          <t>https://www.kino-teatr.ru/teatr/movie/93185/annot/</t>
        </is>
      </c>
      <c r="M608" s="2">
        <f>HYPERLINK("https://ru.wikipedia.org/w/index.php?search=%D0%A7%D1%91%D1%80%D0%BD%D1%8B%D0%B9%20%D0%B3%D0%B0%D1%80%D0%B4%D0%B5%D0%BC%D0%B0%D1%80%D0%B8%D0%BD%201983%20%D1%84%D0%B8%D0%BB%D1%8C%D0%BC","искать")</f>
        <v/>
      </c>
      <c r="N608" s="3" t="n"/>
      <c r="O608" s="2" t="n"/>
    </row>
    <row r="609">
      <c r="A609" s="2" t="n">
        <v>608</v>
      </c>
      <c r="B609" s="2" t="inlineStr">
        <is>
          <t>не сюжет</t>
        </is>
      </c>
      <c r="C609" s="2" t="n">
        <v>10392</v>
      </c>
      <c r="D609" s="3" t="inlineStr">
        <is>
          <t>Жаворонок</t>
        </is>
      </c>
      <c r="E609" s="2" t="n">
        <v>1971</v>
      </c>
      <c r="F609" s="2" t="inlineStr">
        <is>
          <t>фильм-спектакль</t>
        </is>
      </c>
      <c r="G609" s="2" t="inlineStr">
        <is>
          <t>Ленинградское телевидение</t>
        </is>
      </c>
      <c r="H609" s="2" t="n">
        <v>19</v>
      </c>
      <c r="I609" s="2" t="inlineStr"/>
      <c r="J609" s="2" t="inlineStr">
        <is>
          <t>да</t>
        </is>
      </c>
      <c r="K609" s="3" t="inlineStr">
        <is>
          <t>По пьесе Жана Ануя.</t>
        </is>
      </c>
      <c r="L609" s="2" t="inlineStr">
        <is>
          <t>https://www.kino-teatr.ru/teatr/movie/109042/annot/</t>
        </is>
      </c>
      <c r="M609" s="2">
        <f>HYPERLINK("https://ru.wikipedia.org/w/index.php?search=%D0%96%D0%B0%D0%B2%D0%BE%D1%80%D0%BE%D0%BD%D0%BE%D0%BA%201971%20%D1%84%D0%B8%D0%BB%D1%8C%D0%BC","искать")</f>
        <v/>
      </c>
      <c r="N609" s="3" t="n"/>
      <c r="O609" s="2" t="n"/>
    </row>
    <row r="610">
      <c r="A610" s="2" t="n">
        <v>609</v>
      </c>
      <c r="B610" s="2" t="inlineStr">
        <is>
          <t>не сюжет</t>
        </is>
      </c>
      <c r="C610" s="2" t="n">
        <v>10252</v>
      </c>
      <c r="D610" s="3" t="inlineStr">
        <is>
          <t>Кориолан</t>
        </is>
      </c>
      <c r="E610" s="2" t="n">
        <v>1968</v>
      </c>
      <c r="F610" s="2" t="inlineStr">
        <is>
          <t>фильм-спектакль</t>
        </is>
      </c>
      <c r="G610" s="2" t="inlineStr">
        <is>
          <t>Ленинградское Телевидение, Подборки фильмов, экранизации Шекспира</t>
        </is>
      </c>
      <c r="H610" s="2" t="n">
        <v>20</v>
      </c>
      <c r="I610" s="2" t="inlineStr"/>
      <c r="J610" s="2" t="inlineStr">
        <is>
          <t>да</t>
        </is>
      </c>
      <c r="K610" s="3" t="inlineStr">
        <is>
          <t>По пьесе У.Шекспира.</t>
        </is>
      </c>
      <c r="L610" s="2" t="inlineStr">
        <is>
          <t>https://www.kino-teatr.ru/teatr/movie/17364/annot/</t>
        </is>
      </c>
      <c r="M610" s="2">
        <f>HYPERLINK("https://ru.wikipedia.org/w/index.php?search=%D0%9A%D0%BE%D1%80%D0%B8%D0%BE%D0%BB%D0%B0%D0%BD%201968%20%D1%84%D0%B8%D0%BB%D1%8C%D0%BC","искать")</f>
        <v/>
      </c>
      <c r="N610" s="3" t="n"/>
      <c r="O610" s="2" t="n"/>
    </row>
    <row r="611">
      <c r="A611" s="2" t="n">
        <v>610</v>
      </c>
      <c r="B611" s="2" t="inlineStr">
        <is>
          <t>не сюжет</t>
        </is>
      </c>
      <c r="C611" s="2" t="n">
        <v>11294</v>
      </c>
      <c r="D611" s="3" t="inlineStr">
        <is>
          <t>Антигона</t>
        </is>
      </c>
      <c r="E611" s="2" t="n">
        <v>1990</v>
      </c>
      <c r="F611" s="2" t="inlineStr">
        <is>
          <t>фильм-спектакль</t>
        </is>
      </c>
      <c r="G611" s="2" t="inlineStr">
        <is>
          <t>Ленинградское телевидение</t>
        </is>
      </c>
      <c r="H611" s="2" t="n">
        <v>20</v>
      </c>
      <c r="I611" s="2" t="inlineStr"/>
      <c r="J611" s="2" t="inlineStr">
        <is>
          <t>да</t>
        </is>
      </c>
      <c r="K611" s="3" t="inlineStr">
        <is>
          <t>По пьесе Жана Ануйя.</t>
        </is>
      </c>
      <c r="L611" s="2" t="inlineStr">
        <is>
          <t>https://www.kino-teatr.ru/teatr/movie/128098/annot/</t>
        </is>
      </c>
      <c r="M611" s="2">
        <f>HYPERLINK("https://ru.wikipedia.org/w/index.php?search=%D0%90%D0%BD%D1%82%D0%B8%D0%B3%D0%BE%D0%BD%D0%B0%201990%20%D1%84%D0%B8%D0%BB%D1%8C%D0%BC","искать")</f>
        <v/>
      </c>
      <c r="N611" s="3" t="n"/>
      <c r="O611" s="2" t="n"/>
    </row>
    <row r="612">
      <c r="A612" s="2" t="n">
        <v>611</v>
      </c>
      <c r="B612" s="2" t="inlineStr">
        <is>
          <t>не сюжет</t>
        </is>
      </c>
      <c r="C612" s="2" t="n">
        <v>11198</v>
      </c>
      <c r="D612" s="3" t="inlineStr">
        <is>
          <t>Дядя Ваня. Сцены из деревенской жизни</t>
        </is>
      </c>
      <c r="E612" s="2" t="n">
        <v>1988</v>
      </c>
      <c r="F612" s="2" t="inlineStr">
        <is>
          <t>фильм-спектакль</t>
        </is>
      </c>
      <c r="G612" s="2" t="n"/>
      <c r="H612" s="2" t="n">
        <v>21</v>
      </c>
      <c r="I612" s="2" t="inlineStr"/>
      <c r="J612" s="2" t="inlineStr">
        <is>
          <t>да</t>
        </is>
      </c>
      <c r="K612" s="3" t="inlineStr">
        <is>
          <t>По пьесе А.П. Чехова.</t>
        </is>
      </c>
      <c r="L612" s="2" t="inlineStr">
        <is>
          <t>https://www.kino-teatr.ru/teatr/movie/97162/annot/</t>
        </is>
      </c>
      <c r="M612" s="2">
        <f>HYPERLINK("https://ru.wikipedia.org/w/index.php?search=%D0%94%D1%8F%D0%B4%D1%8F%20%D0%92%D0%B0%D0%BD%D1%8F.%20%D0%A1%D1%86%D0%B5%D0%BD%D1%8B%20%D0%B8%D0%B7%20%D0%B4%D0%B5%D1%80%D0%B5%D0%B2%D0%B5%D0%BD%D1%81%D0%BA%D0%BE%D0%B9%20%D0%B6%D0%B8%D0%B7%D0%BD%D0%B8%201988%20%D1%84%D0%B8%D0%BB%D1%8C%D0%BC","искать")</f>
        <v/>
      </c>
      <c r="N612" s="3" t="n"/>
      <c r="O612" s="2" t="n"/>
    </row>
    <row r="613">
      <c r="A613" s="2" t="n">
        <v>612</v>
      </c>
      <c r="B613" s="2" t="inlineStr">
        <is>
          <t>не сюжет</t>
        </is>
      </c>
      <c r="C613" s="2" t="n">
        <v>10413</v>
      </c>
      <c r="D613" s="3" t="inlineStr">
        <is>
          <t>Повесть о том, как поссорился Иван Иванович с Иваном Никифоровичем</t>
        </is>
      </c>
      <c r="E613" s="2" t="n">
        <v>1971</v>
      </c>
      <c r="F613" s="2" t="inlineStr">
        <is>
          <t>фильм-спектакль</t>
        </is>
      </c>
      <c r="G613" s="2" t="inlineStr">
        <is>
          <t>Ленинградское телевидение, Подборки фильмов, экранизации Гоголя</t>
        </is>
      </c>
      <c r="H613" s="2" t="n">
        <v>22</v>
      </c>
      <c r="I613" s="2" t="inlineStr"/>
      <c r="J613" s="2" t="inlineStr">
        <is>
          <t>да</t>
        </is>
      </c>
      <c r="K613" s="3" t="inlineStr">
        <is>
          <t>По повести Н.В.Гоголя.</t>
        </is>
      </c>
      <c r="L613" s="2" t="inlineStr">
        <is>
          <t>https://www.kino-teatr.ru/teatr/movie/109040/annot/</t>
        </is>
      </c>
      <c r="M613" s="2">
        <f>HYPERLINK("https://ru.wikipedia.org/w/index.php?search=%D0%9F%D0%BE%D0%B2%D0%B5%D1%81%D1%82%D1%8C%20%D0%BE%20%D1%82%D0%BE%D0%BC%2C%20%D0%BA%D0%B0%D0%BA%20%D0%BF%D0%BE%D1%81%D1%81%D0%BE%D1%80%D0%B8%D0%BB%D1%81%D1%8F%20%D0%98%D0%B2%D0%B0%D0%BD%20%D0%98%D0%B2%D0%B0%D0%BD%D0%BE%D0%B2%D0%B8%D1%87%20%D1%81%20%D0%98%D0%B2%D0%B0%D0%BD%D0%BE%D0%BC%20%D0%9D%D0%B8%D0%BA%D0%B8%D1%84%D0%BE%D1%80%D0%BE%D0%B2%D0%B8%D1%87%D0%B5%D0%BC%201971%20%D1%84%D0%B8%D0%BB%D1%8C%D0%BC","искать")</f>
        <v/>
      </c>
      <c r="N613" s="3" t="n"/>
      <c r="O613" s="2" t="n"/>
    </row>
    <row r="614">
      <c r="A614" s="2" t="n">
        <v>613</v>
      </c>
      <c r="B614" s="2" t="inlineStr">
        <is>
          <t>не сюжет</t>
        </is>
      </c>
      <c r="C614" s="2" t="n">
        <v>10845</v>
      </c>
      <c r="D614" s="3" t="inlineStr">
        <is>
          <t>Заключенный Второй авеню</t>
        </is>
      </c>
      <c r="E614" s="2" t="n">
        <v>1980</v>
      </c>
      <c r="F614" s="2" t="inlineStr">
        <is>
          <t>фильм-спектакль</t>
        </is>
      </c>
      <c r="G614" s="2" t="inlineStr">
        <is>
          <t>Укртелефильм</t>
        </is>
      </c>
      <c r="H614" s="2" t="n">
        <v>22</v>
      </c>
      <c r="I614" s="2" t="inlineStr"/>
      <c r="J614" s="2" t="inlineStr">
        <is>
          <t>да</t>
        </is>
      </c>
      <c r="K614" s="3" t="inlineStr">
        <is>
          <t>По пьесе Нила Саймона.</t>
        </is>
      </c>
      <c r="L614" s="2" t="inlineStr">
        <is>
          <t>https://www.kino-teatr.ru/teatr/movie/93057/annot/</t>
        </is>
      </c>
      <c r="M614" s="2">
        <f>HYPERLINK("https://ru.wikipedia.org/w/index.php?search=%D0%97%D0%B0%D0%BA%D0%BB%D1%8E%D1%87%D0%B5%D0%BD%D0%BD%D1%8B%D0%B9%20%D0%92%D1%82%D0%BE%D1%80%D0%BE%D0%B9%20%D0%B0%D0%B2%D0%B5%D0%BD%D1%8E%201980%20%D1%84%D0%B8%D0%BB%D1%8C%D0%BC","искать")</f>
        <v/>
      </c>
      <c r="N614" s="3" t="n"/>
      <c r="O614" s="2" t="n"/>
    </row>
    <row r="615">
      <c r="A615" s="2" t="n">
        <v>614</v>
      </c>
      <c r="B615" s="2" t="inlineStr">
        <is>
          <t>не сюжет</t>
        </is>
      </c>
      <c r="C615" s="2" t="n">
        <v>10078</v>
      </c>
      <c r="D615" s="3" t="inlineStr">
        <is>
          <t>Машенька</t>
        </is>
      </c>
      <c r="E615" s="2" t="n">
        <v>1960</v>
      </c>
      <c r="F615" s="2" t="inlineStr">
        <is>
          <t>фильм-спектакль</t>
        </is>
      </c>
      <c r="G615" s="2" t="inlineStr">
        <is>
          <t>Киевская телестудия</t>
        </is>
      </c>
      <c r="H615" s="2" t="n">
        <v>23</v>
      </c>
      <c r="I615" s="2" t="inlineStr"/>
      <c r="J615" s="2" t="inlineStr">
        <is>
          <t>да</t>
        </is>
      </c>
      <c r="K615" s="3" t="inlineStr">
        <is>
          <t>По пьесе А.Афиногенова.</t>
        </is>
      </c>
      <c r="L615" s="2" t="inlineStr">
        <is>
          <t>https://www.kino-teatr.ru/teatr/movie/92790/annot/</t>
        </is>
      </c>
      <c r="M615" s="2">
        <f>HYPERLINK("https://ru.wikipedia.org/w/index.php?search=%D0%9C%D0%B0%D1%88%D0%B5%D0%BD%D1%8C%D0%BA%D0%B0%201960%20%D1%84%D0%B8%D0%BB%D1%8C%D0%BC","искать")</f>
        <v/>
      </c>
      <c r="N615" s="3" t="n"/>
      <c r="O615" s="2" t="n"/>
    </row>
    <row r="616">
      <c r="A616" s="2" t="n">
        <v>615</v>
      </c>
      <c r="B616" s="2" t="inlineStr">
        <is>
          <t>не сюжет</t>
        </is>
      </c>
      <c r="C616" s="2" t="n">
        <v>10255</v>
      </c>
      <c r="D616" s="3" t="inlineStr">
        <is>
          <t>Месяц в деревне</t>
        </is>
      </c>
      <c r="E616" s="2" t="n">
        <v>1968</v>
      </c>
      <c r="F616" s="2" t="inlineStr">
        <is>
          <t>фильм-спектакль</t>
        </is>
      </c>
      <c r="G616" s="2" t="inlineStr">
        <is>
          <t>Ленинградское телевидение</t>
        </is>
      </c>
      <c r="H616" s="2" t="n">
        <v>23</v>
      </c>
      <c r="I616" s="2" t="inlineStr"/>
      <c r="J616" s="2" t="inlineStr">
        <is>
          <t>да</t>
        </is>
      </c>
      <c r="K616" s="3" t="inlineStr">
        <is>
          <t>По пьесе И.С.Тургенева.</t>
        </is>
      </c>
      <c r="L616" s="2" t="inlineStr">
        <is>
          <t>https://www.kino-teatr.ru/teatr/movie/108984/annot/</t>
        </is>
      </c>
      <c r="M616" s="2">
        <f>HYPERLINK("https://ru.wikipedia.org/w/index.php?search=%D0%9C%D0%B5%D1%81%D1%8F%D1%86%20%D0%B2%20%D0%B4%D0%B5%D1%80%D0%B5%D0%B2%D0%BD%D0%B5%201968%20%D1%84%D0%B8%D0%BB%D1%8C%D0%BC","искать")</f>
        <v/>
      </c>
      <c r="N616" s="3" t="n"/>
      <c r="O616" s="2" t="n"/>
    </row>
    <row r="617">
      <c r="A617" s="2" t="n">
        <v>616</v>
      </c>
      <c r="B617" s="2" t="inlineStr">
        <is>
          <t>не сюжет</t>
        </is>
      </c>
      <c r="C617" s="2" t="n">
        <v>10364</v>
      </c>
      <c r="D617" s="3" t="inlineStr">
        <is>
          <t>Обида</t>
        </is>
      </c>
      <c r="E617" s="2" t="n">
        <v>1970</v>
      </c>
      <c r="F617" s="2" t="inlineStr">
        <is>
          <t>фильм-спектакль</t>
        </is>
      </c>
      <c r="G617" s="2" t="inlineStr">
        <is>
          <t>Ленинградское телевидение</t>
        </is>
      </c>
      <c r="H617" s="2" t="n">
        <v>23</v>
      </c>
      <c r="I617" s="2" t="inlineStr"/>
      <c r="J617" s="2" t="inlineStr">
        <is>
          <t>да</t>
        </is>
      </c>
      <c r="K617" s="3" t="inlineStr">
        <is>
          <t>По пьесе Ильи Дворкина.</t>
        </is>
      </c>
      <c r="L617" s="2" t="inlineStr">
        <is>
          <t>https://www.kino-teatr.ru/teatr/movie/137016/annot/</t>
        </is>
      </c>
      <c r="M617" s="2">
        <f>HYPERLINK("https://ru.wikipedia.org/w/index.php?search=%D0%9E%D0%B1%D0%B8%D0%B4%D0%B0%201970%20%D1%84%D0%B8%D0%BB%D1%8C%D0%BC","искать")</f>
        <v/>
      </c>
      <c r="N617" s="3" t="n"/>
      <c r="O617" s="2" t="n"/>
    </row>
    <row r="618">
      <c r="A618" s="2" t="n">
        <v>617</v>
      </c>
      <c r="B618" s="2" t="inlineStr">
        <is>
          <t>не сюжет</t>
        </is>
      </c>
      <c r="C618" s="2" t="n">
        <v>10117</v>
      </c>
      <c r="D618" s="3" t="inlineStr">
        <is>
          <t>Антон Гречка в сферах</t>
        </is>
      </c>
      <c r="E618" s="2" t="n">
        <v>1964</v>
      </c>
      <c r="F618" s="2" t="inlineStr">
        <is>
          <t>фильм-спектакль</t>
        </is>
      </c>
      <c r="G618" s="2" t="inlineStr">
        <is>
          <t>Центральное телевидение</t>
        </is>
      </c>
      <c r="H618" s="2" t="n">
        <v>24</v>
      </c>
      <c r="I618" s="2" t="inlineStr"/>
      <c r="J618" s="2" t="inlineStr">
        <is>
          <t>да</t>
        </is>
      </c>
      <c r="K618" s="3" t="inlineStr">
        <is>
          <t>По пьесе Георгия Радова.</t>
        </is>
      </c>
      <c r="L618" s="2" t="inlineStr">
        <is>
          <t>https://www.kino-teatr.ru/teatr/movie/136273/annot/</t>
        </is>
      </c>
      <c r="M618" s="2">
        <f>HYPERLINK("https://ru.wikipedia.org/w/index.php?search=%D0%90%D0%BD%D1%82%D0%BE%D0%BD%20%D0%93%D1%80%D0%B5%D1%87%D0%BA%D0%B0%20%D0%B2%20%D1%81%D1%84%D0%B5%D1%80%D0%B0%D1%85%201964%20%D1%84%D0%B8%D0%BB%D1%8C%D0%BC","искать")</f>
        <v/>
      </c>
      <c r="N618" s="3" t="n"/>
      <c r="O618" s="2" t="n"/>
    </row>
    <row r="619">
      <c r="A619" s="2" t="n">
        <v>618</v>
      </c>
      <c r="B619" s="2" t="inlineStr">
        <is>
          <t>не сюжет</t>
        </is>
      </c>
      <c r="C619" s="2" t="n">
        <v>10799</v>
      </c>
      <c r="D619" s="3" t="inlineStr">
        <is>
          <t>Дачная жизнь</t>
        </is>
      </c>
      <c r="E619" s="2" t="n">
        <v>1979</v>
      </c>
      <c r="F619" s="2" t="inlineStr">
        <is>
          <t>фильм-спектакль</t>
        </is>
      </c>
      <c r="G619" s="2" t="n"/>
      <c r="H619" s="2" t="n">
        <v>24</v>
      </c>
      <c r="I619" s="2" t="inlineStr"/>
      <c r="J619" s="2" t="inlineStr">
        <is>
          <t>да</t>
        </is>
      </c>
      <c r="K619" s="3" t="inlineStr">
        <is>
          <t>По рассказам А.П.Чехова.</t>
        </is>
      </c>
      <c r="L619" s="2" t="inlineStr">
        <is>
          <t>https://www.kino-teatr.ru/teatr/movie/15808/annot/</t>
        </is>
      </c>
      <c r="M619" s="2">
        <f>HYPERLINK("https://ru.wikipedia.org/w/index.php?search=%D0%94%D0%B0%D1%87%D0%BD%D0%B0%D1%8F%20%D0%B6%D0%B8%D0%B7%D0%BD%D1%8C%201979%20%D1%84%D0%B8%D0%BB%D1%8C%D0%BC","искать")</f>
        <v/>
      </c>
      <c r="N619" s="3" t="n"/>
      <c r="O619" s="2" t="n"/>
    </row>
    <row r="620">
      <c r="A620" s="2" t="n">
        <v>619</v>
      </c>
      <c r="B620" s="2" t="inlineStr">
        <is>
          <t>не сюжет</t>
        </is>
      </c>
      <c r="C620" s="2" t="n">
        <v>10626</v>
      </c>
      <c r="D620" s="3" t="inlineStr">
        <is>
          <t>"Светлячки" идут в поход</t>
        </is>
      </c>
      <c r="E620" s="2" t="n">
        <v>1975</v>
      </c>
      <c r="F620" s="2" t="inlineStr">
        <is>
          <t>фильм-спектакль</t>
        </is>
      </c>
      <c r="G620" s="2" t="inlineStr">
        <is>
          <t>Ленинградское телевидение</t>
        </is>
      </c>
      <c r="H620" s="2" t="n">
        <v>25</v>
      </c>
      <c r="I620" s="2" t="inlineStr"/>
      <c r="J620" s="2" t="inlineStr">
        <is>
          <t>да</t>
        </is>
      </c>
      <c r="K620" s="3" t="inlineStr">
        <is>
          <t>По повести Ильи Дворкина.</t>
        </is>
      </c>
      <c r="L620" s="2" t="inlineStr">
        <is>
          <t>https://www.kino-teatr.ru/teatr/movie/137282/annot/</t>
        </is>
      </c>
      <c r="M620" s="2">
        <f>HYPERLINK("https://ru.wikipedia.org/w/index.php?search=%22%D0%A1%D0%B2%D0%B5%D1%82%D0%BB%D1%8F%D1%87%D0%BA%D0%B8%22%20%D0%B8%D0%B4%D1%83%D1%82%20%D0%B2%20%D0%BF%D0%BE%D1%85%D0%BE%D0%B4%201975%20%D1%84%D0%B8%D0%BB%D1%8C%D0%BC","искать")</f>
        <v/>
      </c>
      <c r="N620" s="3" t="n"/>
      <c r="O620" s="2" t="n"/>
    </row>
    <row r="621">
      <c r="A621" s="2" t="n">
        <v>620</v>
      </c>
      <c r="B621" s="2" t="inlineStr">
        <is>
          <t>не сюжет</t>
        </is>
      </c>
      <c r="C621" s="2" t="n">
        <v>9843</v>
      </c>
      <c r="D621" s="3" t="inlineStr">
        <is>
          <t>Теплый хлеб</t>
        </is>
      </c>
      <c r="E621" s="2" t="n">
        <v>1967</v>
      </c>
      <c r="F621" s="2" t="inlineStr">
        <is>
          <t>телефильм</t>
        </is>
      </c>
      <c r="G621" s="2" t="inlineStr">
        <is>
          <t>Ленинградское ТВ</t>
        </is>
      </c>
      <c r="H621" s="2" t="n">
        <v>27</v>
      </c>
      <c r="I621" s="2" t="inlineStr"/>
      <c r="J621" s="2" t="inlineStr">
        <is>
          <t>да</t>
        </is>
      </c>
      <c r="K621" s="3" t="inlineStr">
        <is>
          <t>По сказке К.Г.Паустовского.</t>
        </is>
      </c>
      <c r="L621" s="2" t="inlineStr">
        <is>
          <t>https://www.kino-teatr.ru/short/movie/sov/92905/annot/</t>
        </is>
      </c>
      <c r="M621" s="2">
        <f>HYPERLINK("https://ru.wikipedia.org/w/index.php?search=%D0%A2%D0%B5%D0%BF%D0%BB%D1%8B%D0%B9%20%D1%85%D0%BB%D0%B5%D0%B1%201967%20%D1%84%D0%B8%D0%BB%D1%8C%D0%BC","искать")</f>
        <v/>
      </c>
      <c r="N621" s="3" t="n"/>
      <c r="O621" s="2" t="n"/>
    </row>
    <row r="622">
      <c r="A622" s="2" t="n">
        <v>621</v>
      </c>
      <c r="B622" s="2" t="inlineStr">
        <is>
          <t>не сюжет</t>
        </is>
      </c>
      <c r="C622" s="2" t="n">
        <v>11301</v>
      </c>
      <c r="D622" s="3" t="inlineStr">
        <is>
          <t>Записки сумасшедшего</t>
        </is>
      </c>
      <c r="E622" s="2" t="n">
        <v>1990</v>
      </c>
      <c r="F622" s="2" t="inlineStr">
        <is>
          <t>фильм-спектакль</t>
        </is>
      </c>
      <c r="G622" s="2" t="inlineStr">
        <is>
          <t>Укртелефильм</t>
        </is>
      </c>
      <c r="H622" s="2" t="n">
        <v>27</v>
      </c>
      <c r="I622" s="2" t="inlineStr"/>
      <c r="J622" s="2" t="inlineStr">
        <is>
          <t>да</t>
        </is>
      </c>
      <c r="K622" s="3" t="inlineStr">
        <is>
          <t>По произведению Н.В.Гоголя.</t>
        </is>
      </c>
      <c r="L622" s="2" t="inlineStr">
        <is>
          <t>https://www.kino-teatr.ru/teatr/movie/96377/annot/</t>
        </is>
      </c>
      <c r="M622" s="2">
        <f>HYPERLINK("https://ru.wikipedia.org/w/index.php?search=%D0%97%D0%B0%D0%BF%D0%B8%D1%81%D0%BA%D0%B8%20%D1%81%D1%83%D0%BC%D0%B0%D1%81%D1%88%D0%B5%D0%B4%D1%88%D0%B5%D0%B3%D0%BE%201990%20%D1%84%D0%B8%D0%BB%D1%8C%D0%BC","искать")</f>
        <v/>
      </c>
      <c r="N622" s="3" t="n"/>
      <c r="O622" s="2" t="n"/>
    </row>
    <row r="623">
      <c r="A623" s="2" t="n">
        <v>622</v>
      </c>
      <c r="B623" s="2" t="inlineStr">
        <is>
          <t>не сюжет</t>
        </is>
      </c>
      <c r="C623" s="2" t="n">
        <v>8862</v>
      </c>
      <c r="D623" s="3" t="inlineStr">
        <is>
          <t>Наместник Будды</t>
        </is>
      </c>
      <c r="E623" s="2" t="n">
        <v>1936</v>
      </c>
      <c r="F623" s="2" t="inlineStr">
        <is>
          <t>кинофильм</t>
        </is>
      </c>
      <c r="G623" s="2" t="n"/>
      <c r="H623" s="2" t="n">
        <v>28</v>
      </c>
      <c r="I623" s="2" t="inlineStr"/>
      <c r="J623" s="2" t="inlineStr">
        <is>
          <t>да</t>
        </is>
      </c>
      <c r="K623" s="3" t="inlineStr">
        <is>
          <t>Фильм о революции в Монголии</t>
        </is>
      </c>
      <c r="L623" s="2" t="inlineStr">
        <is>
          <t>Кино_СССР сводный каталог.xlsx: список фильмов (доп.)</t>
        </is>
      </c>
      <c r="M623" s="2">
        <f>HYPERLINK("https://ru.wikipedia.org/w/index.php?search=%D0%9D%D0%B0%D0%BC%D0%B5%D1%81%D1%82%D0%BD%D0%B8%D0%BA%20%D0%91%D1%83%D0%B4%D0%B4%D1%8B%201936%20%D1%84%D0%B8%D0%BB%D1%8C%D0%BC","искать")</f>
        <v/>
      </c>
      <c r="N623" s="3" t="n"/>
      <c r="O623" s="2" t="n"/>
    </row>
    <row r="624">
      <c r="A624" s="2" t="n">
        <v>623</v>
      </c>
      <c r="B624" s="2" t="inlineStr">
        <is>
          <t>не сюжет</t>
        </is>
      </c>
      <c r="C624" s="2" t="n">
        <v>8937</v>
      </c>
      <c r="D624" s="3" t="inlineStr">
        <is>
          <t>Победители</t>
        </is>
      </c>
      <c r="E624" s="2" t="n">
        <v>1952</v>
      </c>
      <c r="F624" s="2" t="inlineStr">
        <is>
          <t>кинофильм</t>
        </is>
      </c>
      <c r="G624" s="2" t="n"/>
      <c r="H624" s="2" t="n">
        <v>28</v>
      </c>
      <c r="I624" s="2" t="inlineStr"/>
      <c r="J624" s="2" t="inlineStr">
        <is>
          <t>да</t>
        </is>
      </c>
      <c r="K624" s="3" t="inlineStr">
        <is>
          <t>О строителях Цимлянской ГЭС.</t>
        </is>
      </c>
      <c r="L624" s="2" t="inlineStr">
        <is>
          <t>Кино_СССР сводный каталог.xlsx: список фильмов (доп.)</t>
        </is>
      </c>
      <c r="M624" s="2">
        <f>HYPERLINK("https://ru.wikipedia.org/w/index.php?search=%D0%9F%D0%BE%D0%B1%D0%B5%D0%B4%D0%B8%D1%82%D0%B5%D0%BB%D0%B8%201952%20%D1%84%D0%B8%D0%BB%D1%8C%D0%BC","искать")</f>
        <v/>
      </c>
      <c r="N624" s="3" t="n"/>
      <c r="O624" s="2" t="n"/>
    </row>
    <row r="625">
      <c r="A625" s="2" t="n">
        <v>624</v>
      </c>
      <c r="B625" s="2" t="inlineStr">
        <is>
          <t>не сюжет</t>
        </is>
      </c>
      <c r="C625" s="2" t="n">
        <v>10550</v>
      </c>
      <c r="D625" s="3" t="inlineStr">
        <is>
          <t>Вот такие истории</t>
        </is>
      </c>
      <c r="E625" s="2" t="n">
        <v>1974</v>
      </c>
      <c r="F625" s="2" t="inlineStr">
        <is>
          <t>фильм-спектакль</t>
        </is>
      </c>
      <c r="G625" s="2" t="inlineStr">
        <is>
          <t>Центральное телевидение</t>
        </is>
      </c>
      <c r="H625" s="2" t="n">
        <v>28</v>
      </c>
      <c r="I625" s="2" t="inlineStr"/>
      <c r="J625" s="2" t="inlineStr">
        <is>
          <t>да</t>
        </is>
      </c>
      <c r="K625" s="3" t="inlineStr">
        <is>
          <t>Три новеллы из жизни завода.</t>
        </is>
      </c>
      <c r="L625" s="2" t="inlineStr">
        <is>
          <t>https://www.kino-teatr.ru/teatr/movie/93040/annot/</t>
        </is>
      </c>
      <c r="M625" s="2">
        <f>HYPERLINK("https://ru.wikipedia.org/w/index.php?search=%D0%92%D0%BE%D1%82%20%D1%82%D0%B0%D0%BA%D0%B8%D0%B5%20%D0%B8%D1%81%D1%82%D0%BE%D1%80%D0%B8%D0%B8%201974%20%D1%84%D0%B8%D0%BB%D1%8C%D0%BC","искать")</f>
        <v/>
      </c>
      <c r="N625" s="3" t="n"/>
      <c r="O625" s="2" t="n"/>
    </row>
    <row r="626">
      <c r="A626" s="2" t="n">
        <v>625</v>
      </c>
      <c r="B626" s="2" t="inlineStr">
        <is>
          <t>не сюжет</t>
        </is>
      </c>
      <c r="C626" s="2" t="n">
        <v>7929</v>
      </c>
      <c r="D626" s="3" t="inlineStr">
        <is>
          <t>На заре туманной юности</t>
        </is>
      </c>
      <c r="E626" s="2" t="n">
        <v>1970</v>
      </c>
      <c r="F626" s="2" t="inlineStr">
        <is>
          <t>телефильм</t>
        </is>
      </c>
      <c r="G626" s="2" t="n"/>
      <c r="H626" s="2" t="n">
        <v>29</v>
      </c>
      <c r="I626" s="2" t="inlineStr"/>
      <c r="J626" s="2" t="inlineStr">
        <is>
          <t>да</t>
        </is>
      </c>
      <c r="K626" s="3" t="inlineStr">
        <is>
          <t>По рассказу Андрея Платонова.</t>
        </is>
      </c>
      <c r="L626" s="2" t="inlineStr">
        <is>
          <t>Кино_СССР сводный каталог.xlsx: список телефильмов</t>
        </is>
      </c>
      <c r="M626" s="2">
        <f>HYPERLINK("https://ru.wikipedia.org/w/index.php?search=%D0%9D%D0%B0%20%D0%B7%D0%B0%D1%80%D0%B5%20%D1%82%D1%83%D0%BC%D0%B0%D0%BD%D0%BD%D0%BE%D0%B9%20%D1%8E%D0%BD%D0%BE%D1%81%D1%82%D0%B8%201970%20%D1%84%D0%B8%D0%BB%D1%8C%D0%BC","искать")</f>
        <v/>
      </c>
      <c r="N626" s="3" t="n"/>
      <c r="O626" s="2" t="n"/>
    </row>
    <row r="627">
      <c r="A627" s="2" t="n">
        <v>626</v>
      </c>
      <c r="B627" s="2" t="inlineStr">
        <is>
          <t>не сюжет</t>
        </is>
      </c>
      <c r="C627" s="2" t="n">
        <v>8890</v>
      </c>
      <c r="D627" s="3" t="inlineStr">
        <is>
          <t>Один в поле не воин</t>
        </is>
      </c>
      <c r="E627" s="2" t="n">
        <v>1929</v>
      </c>
      <c r="F627" s="2" t="inlineStr">
        <is>
          <t>кинофильм</t>
        </is>
      </c>
      <c r="G627" s="2" t="n"/>
      <c r="H627" s="2" t="n">
        <v>29</v>
      </c>
      <c r="I627" s="2" t="inlineStr"/>
      <c r="J627" s="2" t="inlineStr">
        <is>
          <t>да</t>
        </is>
      </c>
      <c r="K627" s="3" t="inlineStr">
        <is>
          <t>Агитпропфильм в шести частях.</t>
        </is>
      </c>
      <c r="L627" s="2" t="inlineStr">
        <is>
          <t>Кино_СССР сводный каталог.xlsx: список фильмов (доп.)</t>
        </is>
      </c>
      <c r="M627" s="2">
        <f>HYPERLINK("https://ru.wikipedia.org/w/index.php?search=%D0%9E%D0%B4%D0%B8%D0%BD%20%D0%B2%20%D0%BF%D0%BE%D0%BB%D0%B5%20%D0%BD%D0%B5%20%D0%B2%D0%BE%D0%B8%D0%BD%201929%20%D1%84%D0%B8%D0%BB%D1%8C%D0%BC","искать")</f>
        <v/>
      </c>
      <c r="N627" s="3" t="n"/>
      <c r="O627" s="2" t="n"/>
    </row>
    <row r="628">
      <c r="A628" s="2" t="n">
        <v>627</v>
      </c>
      <c r="B628" s="2" t="inlineStr">
        <is>
          <t>не сюжет</t>
        </is>
      </c>
      <c r="C628" s="2" t="n">
        <v>9056</v>
      </c>
      <c r="D628" s="3" t="inlineStr">
        <is>
          <t>Совет да любовь</t>
        </is>
      </c>
      <c r="E628" s="2" t="n">
        <v>1971</v>
      </c>
      <c r="F628" s="2" t="inlineStr">
        <is>
          <t>кинофильм</t>
        </is>
      </c>
      <c r="G628" s="2" t="n"/>
      <c r="H628" s="2" t="n">
        <v>29</v>
      </c>
      <c r="I628" s="2" t="inlineStr"/>
      <c r="J628" s="2" t="inlineStr">
        <is>
          <t>да</t>
        </is>
      </c>
      <c r="K628" s="3" t="inlineStr">
        <is>
          <t>История любви юноши и девушки</t>
        </is>
      </c>
      <c r="L628" s="2" t="inlineStr">
        <is>
          <t>Кино_СССР сводный каталог.xlsx: список фильмов (доп.)</t>
        </is>
      </c>
      <c r="M628" s="2">
        <f>HYPERLINK("https://ru.wikipedia.org/w/index.php?search=%D0%A1%D0%BE%D0%B2%D0%B5%D1%82%20%D0%B4%D0%B0%20%D0%BB%D1%8E%D0%B1%D0%BE%D0%B2%D1%8C%201971%20%D1%84%D0%B8%D0%BB%D1%8C%D0%BC","искать")</f>
        <v/>
      </c>
      <c r="N628" s="3" t="n"/>
      <c r="O628" s="2" t="n"/>
    </row>
    <row r="629">
      <c r="A629" s="2" t="n">
        <v>628</v>
      </c>
      <c r="B629" s="2" t="inlineStr">
        <is>
          <t>не сюжет</t>
        </is>
      </c>
      <c r="C629" s="2" t="n">
        <v>10052</v>
      </c>
      <c r="D629" s="3" t="inlineStr">
        <is>
          <t>Автобус</t>
        </is>
      </c>
      <c r="E629" s="2" t="n">
        <v>1991</v>
      </c>
      <c r="F629" s="2" t="inlineStr">
        <is>
          <t>телефильм</t>
        </is>
      </c>
      <c r="G629" s="2" t="n"/>
      <c r="H629" s="2" t="n">
        <v>29</v>
      </c>
      <c r="I629" s="2" t="inlineStr"/>
      <c r="J629" s="2" t="inlineStr">
        <is>
          <t>да</t>
        </is>
      </c>
      <c r="K629" s="3" t="inlineStr">
        <is>
          <t>По рассказам Хулио Кортасара.</t>
        </is>
      </c>
      <c r="L629" s="2" t="inlineStr">
        <is>
          <t>https://www.kino-teatr.ru/short/movie/sov/113/annot/</t>
        </is>
      </c>
      <c r="M629" s="2">
        <f>HYPERLINK("https://ru.wikipedia.org/w/index.php?search=%D0%90%D0%B2%D1%82%D0%BE%D0%B1%D1%83%D1%81%201991%20%D1%84%D0%B8%D0%BB%D1%8C%D0%BC","искать")</f>
        <v/>
      </c>
      <c r="N629" s="3" t="n"/>
      <c r="O629" s="2" t="n"/>
    </row>
    <row r="630">
      <c r="A630" s="2" t="n">
        <v>629</v>
      </c>
      <c r="B630" s="2" t="inlineStr">
        <is>
          <t>не сюжет</t>
        </is>
      </c>
      <c r="C630" s="2" t="n">
        <v>10288</v>
      </c>
      <c r="D630" s="3" t="inlineStr">
        <is>
          <t>Архимеды XX века</t>
        </is>
      </c>
      <c r="E630" s="2" t="n">
        <v>1969</v>
      </c>
      <c r="F630" s="2" t="inlineStr">
        <is>
          <t>фильм-спектакль</t>
        </is>
      </c>
      <c r="G630" s="2" t="inlineStr">
        <is>
          <t>Ленинградское телевидение</t>
        </is>
      </c>
      <c r="H630" s="2" t="n">
        <v>29</v>
      </c>
      <c r="I630" s="2" t="inlineStr"/>
      <c r="J630" s="2" t="inlineStr">
        <is>
          <t>да</t>
        </is>
      </c>
      <c r="K630" s="3" t="inlineStr">
        <is>
          <t>По рассказам Николая Внукова.</t>
        </is>
      </c>
      <c r="L630" s="2" t="inlineStr">
        <is>
          <t>https://www.kino-teatr.ru/teatr/movie/119098/annot/</t>
        </is>
      </c>
      <c r="M630" s="2">
        <f>HYPERLINK("https://ru.wikipedia.org/w/index.php?search=%D0%90%D1%80%D1%85%D0%B8%D0%BC%D0%B5%D0%B4%D1%8B%20XX%20%D0%B2%D0%B5%D0%BA%D0%B0%201969%20%D1%84%D0%B8%D0%BB%D1%8C%D0%BC","искать")</f>
        <v/>
      </c>
      <c r="N630" s="3" t="n"/>
      <c r="O630" s="2" t="n"/>
    </row>
    <row r="631">
      <c r="A631" s="2" t="n">
        <v>630</v>
      </c>
      <c r="B631" s="2" t="inlineStr">
        <is>
          <t>не сюжет</t>
        </is>
      </c>
      <c r="C631" s="2" t="n">
        <v>7198</v>
      </c>
      <c r="D631" s="3" t="inlineStr">
        <is>
          <t>Ак Меер</t>
        </is>
      </c>
      <c r="E631" s="2" t="n">
        <v>1969</v>
      </c>
      <c r="F631" s="2" t="inlineStr">
        <is>
          <t>телефильм</t>
        </is>
      </c>
      <c r="G631" s="2" t="n"/>
      <c r="H631" s="2" t="n">
        <v>30</v>
      </c>
      <c r="I631" s="2" t="inlineStr"/>
      <c r="J631" s="2" t="inlineStr">
        <is>
          <t>да</t>
        </is>
      </c>
      <c r="K631" s="3" t="inlineStr">
        <is>
          <t>Телефильм по народной легенде.</t>
        </is>
      </c>
      <c r="L631" s="2" t="inlineStr">
        <is>
          <t>Кино_СССР сводный каталог.xlsx: список телефильмов</t>
        </is>
      </c>
      <c r="M631" s="2">
        <f>HYPERLINK("https://ru.wikipedia.org/w/index.php?search=%D0%90%D0%BA%20%D0%9C%D0%B5%D0%B5%D1%80%201969%20%D1%84%D0%B8%D0%BB%D1%8C%D0%BC","искать")</f>
        <v/>
      </c>
      <c r="N631" s="3" t="n"/>
      <c r="O631" s="2" t="n"/>
    </row>
    <row r="632">
      <c r="A632" s="2" t="n">
        <v>631</v>
      </c>
      <c r="B632" s="2" t="inlineStr">
        <is>
          <t>не сюжет</t>
        </is>
      </c>
      <c r="C632" s="2" t="n">
        <v>9053</v>
      </c>
      <c r="D632" s="3" t="inlineStr">
        <is>
          <t>Сны между праздниками</t>
        </is>
      </c>
      <c r="E632" s="2" t="n">
        <v>1989</v>
      </c>
      <c r="F632" s="2" t="inlineStr">
        <is>
          <t>кинофильм</t>
        </is>
      </c>
      <c r="G632" s="2" t="n"/>
      <c r="H632" s="2" t="n">
        <v>30</v>
      </c>
      <c r="I632" s="2" t="inlineStr"/>
      <c r="J632" s="2" t="inlineStr">
        <is>
          <t>да</t>
        </is>
      </c>
      <c r="K632" s="3" t="inlineStr">
        <is>
          <t>Рассказ про спящего режиссера.</t>
        </is>
      </c>
      <c r="L632" s="2" t="inlineStr">
        <is>
          <t>Кино_СССР сводный каталог.xlsx: список фильмов (доп.)</t>
        </is>
      </c>
      <c r="M632" s="2">
        <f>HYPERLINK("https://ru.wikipedia.org/w/index.php?search=%D0%A1%D0%BD%D1%8B%20%D0%BC%D0%B5%D0%B6%D0%B4%D1%83%20%D0%BF%D1%80%D0%B0%D0%B7%D0%B4%D0%BD%D0%B8%D0%BA%D0%B0%D0%BC%D0%B8%201989%20%D1%84%D0%B8%D0%BB%D1%8C%D0%BC","искать")</f>
        <v/>
      </c>
      <c r="N632" s="3" t="n"/>
      <c r="O632" s="2" t="n"/>
    </row>
    <row r="633">
      <c r="A633" s="2" t="n">
        <v>632</v>
      </c>
      <c r="B633" s="2" t="inlineStr">
        <is>
          <t>не сюжет</t>
        </is>
      </c>
      <c r="C633" s="2" t="n">
        <v>9161</v>
      </c>
      <c r="D633" s="3" t="inlineStr">
        <is>
          <t>Что это?</t>
        </is>
      </c>
      <c r="E633" s="2" t="n">
        <v>1929</v>
      </c>
      <c r="F633" s="2" t="inlineStr">
        <is>
          <t>кинофильм</t>
        </is>
      </c>
      <c r="G633" s="2" t="n"/>
      <c r="H633" s="2" t="n">
        <v>30</v>
      </c>
      <c r="I633" s="2" t="inlineStr"/>
      <c r="J633" s="2" t="inlineStr">
        <is>
          <t>да</t>
        </is>
      </c>
      <c r="K633" s="3" t="inlineStr">
        <is>
          <t>Культурфильм о проблемах быта.</t>
        </is>
      </c>
      <c r="L633" s="2" t="inlineStr">
        <is>
          <t>Кино_СССР сводный каталог.xlsx: список фильмов (доп.)</t>
        </is>
      </c>
      <c r="M633" s="2">
        <f>HYPERLINK("https://ru.wikipedia.org/w/index.php?search=%D0%A7%D1%82%D0%BE%20%D1%8D%D1%82%D0%BE%3F%201929%20%D1%84%D0%B8%D0%BB%D1%8C%D0%BC","искать")</f>
        <v/>
      </c>
      <c r="N633" s="3" t="n"/>
      <c r="O633" s="2" t="n"/>
    </row>
    <row r="634">
      <c r="A634" s="2" t="n">
        <v>633</v>
      </c>
      <c r="B634" s="2" t="inlineStr">
        <is>
          <t>не сюжет</t>
        </is>
      </c>
      <c r="C634" s="2" t="n">
        <v>10555</v>
      </c>
      <c r="D634" s="3" t="inlineStr">
        <is>
          <t>Гости и хозяева</t>
        </is>
      </c>
      <c r="E634" s="2" t="n">
        <v>1974</v>
      </c>
      <c r="F634" s="2" t="inlineStr">
        <is>
          <t>фильм-спектакль</t>
        </is>
      </c>
      <c r="G634" s="2" t="inlineStr">
        <is>
          <t>Ленинградское телевидение</t>
        </is>
      </c>
      <c r="H634" s="2" t="n">
        <v>30</v>
      </c>
      <c r="I634" s="2" t="inlineStr"/>
      <c r="J634" s="2" t="inlineStr">
        <is>
          <t>да</t>
        </is>
      </c>
      <c r="K634" s="3" t="inlineStr">
        <is>
          <t>По повести Ирины Велембовской.</t>
        </is>
      </c>
      <c r="L634" s="2" t="inlineStr">
        <is>
          <t>https://www.kino-teatr.ru/teatr/movie/137188/annot/</t>
        </is>
      </c>
      <c r="M634" s="2">
        <f>HYPERLINK("https://ru.wikipedia.org/w/index.php?search=%D0%93%D0%BE%D1%81%D1%82%D0%B8%20%D0%B8%20%D1%85%D0%BE%D0%B7%D1%8F%D0%B5%D0%B2%D0%B0%201974%20%D1%84%D0%B8%D0%BB%D1%8C%D0%BC","искать")</f>
        <v/>
      </c>
      <c r="N634" s="3" t="n"/>
      <c r="O634" s="2" t="n"/>
    </row>
    <row r="635">
      <c r="A635" s="2" t="n">
        <v>634</v>
      </c>
      <c r="B635" s="2" t="inlineStr">
        <is>
          <t>не сюжет</t>
        </is>
      </c>
      <c r="C635" s="2" t="n">
        <v>11243</v>
      </c>
      <c r="D635" s="3" t="inlineStr">
        <is>
          <t>Трое на красном ковре (1988-1990)</t>
        </is>
      </c>
      <c r="E635" s="2" t="n">
        <v>1988</v>
      </c>
      <c r="F635" s="2" t="inlineStr">
        <is>
          <t>фильм-спектакль</t>
        </is>
      </c>
      <c r="G635" s="2" t="inlineStr">
        <is>
          <t>Главная редакция литературно-драматических программ ЦТ</t>
        </is>
      </c>
      <c r="H635" s="2" t="n">
        <v>30</v>
      </c>
      <c r="I635" s="2" t="inlineStr"/>
      <c r="J635" s="2" t="inlineStr">
        <is>
          <t>да</t>
        </is>
      </c>
      <c r="K635" s="3" t="inlineStr">
        <is>
          <t>Из цикла "Политический театр".</t>
        </is>
      </c>
      <c r="L635" s="2" t="inlineStr">
        <is>
          <t>https://www.kino-teatr.ru/teatr/movie/11180/annot/</t>
        </is>
      </c>
      <c r="M635" s="2">
        <f>HYPERLINK("https://ru.wikipedia.org/w/index.php?search=%D0%A2%D1%80%D0%BE%D0%B5%20%D0%BD%D0%B0%20%D0%BA%D1%80%D0%B0%D1%81%D0%BD%D0%BE%D0%BC%20%D0%BA%D0%BE%D0%B2%D1%80%D0%B5%20%281988-1990%29%201988%20%D1%84%D0%B8%D0%BB%D1%8C%D0%BC","искать")</f>
        <v/>
      </c>
      <c r="N635" s="3" t="n"/>
      <c r="O635" s="2" t="n"/>
    </row>
    <row r="636">
      <c r="A636" s="2" t="n">
        <v>635</v>
      </c>
      <c r="B636" s="2" t="inlineStr">
        <is>
          <t>не сюжет</t>
        </is>
      </c>
      <c r="C636" s="2" t="n">
        <v>8872</v>
      </c>
      <c r="D636" s="3" t="inlineStr">
        <is>
          <t>Нелюбимая</t>
        </is>
      </c>
      <c r="E636" s="2" t="n">
        <v>1991</v>
      </c>
      <c r="F636" s="2" t="inlineStr">
        <is>
          <t>кинофильм</t>
        </is>
      </c>
      <c r="G636" s="2" t="n"/>
      <c r="H636" s="2" t="n">
        <v>31</v>
      </c>
      <c r="I636" s="2" t="inlineStr"/>
      <c r="J636" s="2" t="inlineStr">
        <is>
          <t>да</t>
        </is>
      </c>
      <c r="K636" s="3" t="inlineStr">
        <is>
          <t>Шесть новелл о женских судьбах.</t>
        </is>
      </c>
      <c r="L636" s="2" t="inlineStr">
        <is>
          <t>Кино_СССР сводный каталог.xlsx: список фильмов (доп.)</t>
        </is>
      </c>
      <c r="M636" s="2">
        <f>HYPERLINK("https://ru.wikipedia.org/w/index.php?search=%D0%9D%D0%B5%D0%BB%D1%8E%D0%B1%D0%B8%D0%BC%D0%B0%D1%8F%201991%20%D1%84%D0%B8%D0%BB%D1%8C%D0%BC","искать")</f>
        <v/>
      </c>
      <c r="N636" s="3" t="n"/>
      <c r="O636" s="2" t="n"/>
    </row>
    <row r="637">
      <c r="A637" s="2" t="n">
        <v>636</v>
      </c>
      <c r="B637" s="2" t="inlineStr">
        <is>
          <t>не сюжет</t>
        </is>
      </c>
      <c r="C637" s="2" t="n">
        <v>8909</v>
      </c>
      <c r="D637" s="3" t="inlineStr">
        <is>
          <t>Открытие</t>
        </is>
      </c>
      <c r="E637" s="2" t="n">
        <v>1982</v>
      </c>
      <c r="F637" s="2" t="inlineStr">
        <is>
          <t>кинофильм</t>
        </is>
      </c>
      <c r="G637" s="2" t="n"/>
      <c r="H637" s="2" t="n">
        <v>31</v>
      </c>
      <c r="I637" s="2" t="inlineStr"/>
      <c r="J637" s="2" t="inlineStr">
        <is>
          <t>да</t>
        </is>
      </c>
      <c r="K637" s="3" t="inlineStr">
        <is>
          <t>По одноименной книге Ю.Щербака.</t>
        </is>
      </c>
      <c r="L637" s="2" t="inlineStr">
        <is>
          <t>Кино_СССР сводный каталог.xlsx: список фильмов (доп.)</t>
        </is>
      </c>
      <c r="M637" s="2">
        <f>HYPERLINK("https://ru.wikipedia.org/w/index.php?search=%D0%9E%D1%82%D0%BA%D1%80%D1%8B%D1%82%D0%B8%D0%B5%201982%20%D1%84%D0%B8%D0%BB%D1%8C%D0%BC","искать")</f>
        <v/>
      </c>
      <c r="N637" s="3" t="n"/>
      <c r="O637" s="2" t="n"/>
    </row>
    <row r="638">
      <c r="A638" s="2" t="n">
        <v>637</v>
      </c>
      <c r="B638" s="2" t="inlineStr">
        <is>
          <t>не сюжет</t>
        </is>
      </c>
      <c r="C638" s="2" t="n">
        <v>9816</v>
      </c>
      <c r="D638" s="3" t="inlineStr">
        <is>
          <t>Плохая примета</t>
        </is>
      </c>
      <c r="E638" s="2" t="n">
        <v>1960</v>
      </c>
      <c r="F638" s="2" t="inlineStr">
        <is>
          <t>телефильм</t>
        </is>
      </c>
      <c r="G638" s="2" t="inlineStr">
        <is>
          <t>Ленфильм</t>
        </is>
      </c>
      <c r="H638" s="2" t="n">
        <v>32</v>
      </c>
      <c r="I638" s="2" t="inlineStr"/>
      <c r="J638" s="2" t="inlineStr">
        <is>
          <t>да</t>
        </is>
      </c>
      <c r="K638" s="3" t="inlineStr">
        <is>
          <t>Экранизация рассказа А. Чужмира.</t>
        </is>
      </c>
      <c r="L638" s="2" t="inlineStr">
        <is>
          <t>https://www.kino-teatr.ru/short/movie/sov/14927/annot/</t>
        </is>
      </c>
      <c r="M638" s="2">
        <f>HYPERLINK("https://ru.wikipedia.org/w/index.php?search=%D0%9F%D0%BB%D0%BE%D1%85%D0%B0%D1%8F%20%D0%BF%D1%80%D0%B8%D0%BC%D0%B5%D1%82%D0%B0%201960%20%D1%84%D0%B8%D0%BB%D1%8C%D0%BC","искать")</f>
        <v/>
      </c>
      <c r="N638" s="3" t="n"/>
      <c r="O638" s="2" t="n"/>
    </row>
    <row r="639">
      <c r="A639" s="2" t="n">
        <v>638</v>
      </c>
      <c r="B639" s="2" t="inlineStr">
        <is>
          <t>не сюжет</t>
        </is>
      </c>
      <c r="C639" s="2" t="n">
        <v>10136</v>
      </c>
      <c r="D639" s="3" t="inlineStr">
        <is>
          <t>Агитатор</t>
        </is>
      </c>
      <c r="E639" s="2" t="n">
        <v>1965</v>
      </c>
      <c r="F639" s="2" t="inlineStr">
        <is>
          <t>фильм-спектакль</t>
        </is>
      </c>
      <c r="G639" s="2" t="inlineStr">
        <is>
          <t>Ленинградское телевидение</t>
        </is>
      </c>
      <c r="H639" s="2" t="n">
        <v>32</v>
      </c>
      <c r="I639" s="2" t="inlineStr"/>
      <c r="J639" s="2" t="inlineStr">
        <is>
          <t>да</t>
        </is>
      </c>
      <c r="K639" s="3" t="inlineStr">
        <is>
          <t>По пьесе Д.Дэля "Третья верста".</t>
        </is>
      </c>
      <c r="L639" s="2" t="inlineStr">
        <is>
          <t>https://www.kino-teatr.ru/teatr/movie/136085/annot/</t>
        </is>
      </c>
      <c r="M639" s="2">
        <f>HYPERLINK("https://ru.wikipedia.org/w/index.php?search=%D0%90%D0%B3%D0%B8%D1%82%D0%B0%D1%82%D0%BE%D1%80%201965%20%D1%84%D0%B8%D0%BB%D1%8C%D0%BC","искать")</f>
        <v/>
      </c>
      <c r="N639" s="3" t="n"/>
      <c r="O639" s="2" t="n"/>
    </row>
    <row r="640">
      <c r="A640" s="2" t="n">
        <v>639</v>
      </c>
      <c r="B640" s="2" t="inlineStr">
        <is>
          <t>не сюжет</t>
        </is>
      </c>
      <c r="C640" s="2" t="n">
        <v>10241</v>
      </c>
      <c r="D640" s="3" t="inlineStr">
        <is>
          <t>Годы странствий</t>
        </is>
      </c>
      <c r="E640" s="2" t="n">
        <v>1968</v>
      </c>
      <c r="F640" s="2" t="inlineStr">
        <is>
          <t>фильм-спектакль</t>
        </is>
      </c>
      <c r="G640" s="2" t="inlineStr">
        <is>
          <t>Ленинградское ТВ</t>
        </is>
      </c>
      <c r="H640" s="2" t="n">
        <v>32</v>
      </c>
      <c r="I640" s="2" t="inlineStr"/>
      <c r="J640" s="2" t="inlineStr">
        <is>
          <t>да</t>
        </is>
      </c>
      <c r="K640" s="3" t="inlineStr">
        <is>
          <t>По одноименной пьесе А.Арбузова.</t>
        </is>
      </c>
      <c r="L640" s="2" t="inlineStr">
        <is>
          <t>https://www.kino-teatr.ru/teatr/movie/92882/annot/</t>
        </is>
      </c>
      <c r="M640" s="2">
        <f>HYPERLINK("https://ru.wikipedia.org/w/index.php?search=%D0%93%D0%BE%D0%B4%D1%8B%20%D1%81%D1%82%D1%80%D0%B0%D0%BD%D1%81%D1%82%D0%B2%D0%B8%D0%B9%201968%20%D1%84%D0%B8%D0%BB%D1%8C%D0%BC","искать")</f>
        <v/>
      </c>
      <c r="N640" s="3" t="n"/>
      <c r="O640" s="2" t="n"/>
    </row>
    <row r="641">
      <c r="A641" s="2" t="n">
        <v>640</v>
      </c>
      <c r="B641" s="2" t="inlineStr">
        <is>
          <t>не сюжет</t>
        </is>
      </c>
      <c r="C641" s="2" t="n">
        <v>10487</v>
      </c>
      <c r="D641" s="3" t="inlineStr">
        <is>
          <t>В добрый час</t>
        </is>
      </c>
      <c r="E641" s="2" t="n">
        <v>1973</v>
      </c>
      <c r="F641" s="2" t="inlineStr">
        <is>
          <t>фильм-спектакль</t>
        </is>
      </c>
      <c r="G641" s="2" t="inlineStr">
        <is>
          <t>Ленинградское телевидение</t>
        </is>
      </c>
      <c r="H641" s="2" t="n">
        <v>32</v>
      </c>
      <c r="I641" s="2" t="inlineStr"/>
      <c r="J641" s="2" t="inlineStr">
        <is>
          <t>да</t>
        </is>
      </c>
      <c r="K641" s="3" t="inlineStr">
        <is>
          <t>Телеспектакль по пьесе В.Розова.</t>
        </is>
      </c>
      <c r="L641" s="2" t="inlineStr">
        <is>
          <t>https://www.kino-teatr.ru/teatr/movie/106879/annot/</t>
        </is>
      </c>
      <c r="M641" s="2">
        <f>HYPERLINK("https://ru.wikipedia.org/w/index.php?search=%D0%92%20%D0%B4%D0%BE%D0%B1%D1%80%D1%8B%D0%B9%20%D1%87%D0%B0%D1%81%201973%20%D1%84%D0%B8%D0%BB%D1%8C%D0%BC","искать")</f>
        <v/>
      </c>
      <c r="N641" s="3" t="n"/>
      <c r="O641" s="2" t="n"/>
    </row>
    <row r="642">
      <c r="A642" s="2" t="n">
        <v>641</v>
      </c>
      <c r="B642" s="2" t="inlineStr">
        <is>
          <t>не сюжет</t>
        </is>
      </c>
      <c r="C642" s="2" t="n">
        <v>8828</v>
      </c>
      <c r="D642" s="3" t="inlineStr">
        <is>
          <t>Между воскресеньем и субботой</t>
        </is>
      </c>
      <c r="E642" s="2" t="n">
        <v>1991</v>
      </c>
      <c r="F642" s="2" t="inlineStr">
        <is>
          <t>кинофильм</t>
        </is>
      </c>
      <c r="G642" s="2" t="n"/>
      <c r="H642" s="2" t="n">
        <v>33</v>
      </c>
      <c r="I642" s="2" t="inlineStr"/>
      <c r="J642" s="2" t="inlineStr">
        <is>
          <t>да</t>
        </is>
      </c>
      <c r="K642" s="3" t="inlineStr">
        <is>
          <t>Роковая драма с пулевым ранением.</t>
        </is>
      </c>
      <c r="L642" s="2" t="inlineStr">
        <is>
          <t>Кино_СССР сводный каталог.xlsx: список фильмов (доп.)</t>
        </is>
      </c>
      <c r="M642" s="2">
        <f>HYPERLINK("https://ru.wikipedia.org/w/index.php?search=%D0%9C%D0%B5%D0%B6%D0%B4%D1%83%20%D0%B2%D0%BE%D1%81%D0%BA%D1%80%D0%B5%D1%81%D0%B5%D0%BD%D1%8C%D0%B5%D0%BC%20%D0%B8%20%D1%81%D1%83%D0%B1%D0%B1%D0%BE%D1%82%D0%BE%D0%B9%201991%20%D1%84%D0%B8%D0%BB%D1%8C%D0%BC","искать")</f>
        <v/>
      </c>
      <c r="N642" s="3" t="n"/>
      <c r="O642" s="2" t="n"/>
    </row>
    <row r="643">
      <c r="A643" s="2" t="n">
        <v>642</v>
      </c>
      <c r="B643" s="2" t="inlineStr">
        <is>
          <t>не сюжет</t>
        </is>
      </c>
      <c r="C643" s="2" t="n">
        <v>9144</v>
      </c>
      <c r="D643" s="3" t="inlineStr">
        <is>
          <t>Хижины надежды</t>
        </is>
      </c>
      <c r="E643" s="2" t="n">
        <v>1971</v>
      </c>
      <c r="F643" s="2" t="inlineStr">
        <is>
          <t>кинофильм</t>
        </is>
      </c>
      <c r="G643" s="2" t="n"/>
      <c r="H643" s="2" t="n">
        <v>34</v>
      </c>
      <c r="I643" s="2" t="inlineStr"/>
      <c r="J643" s="2" t="inlineStr">
        <is>
          <t>да</t>
        </is>
      </c>
      <c r="K643" s="3" t="inlineStr">
        <is>
          <t>О несчастной любви бедного рыбака.</t>
        </is>
      </c>
      <c r="L643" s="2" t="inlineStr">
        <is>
          <t>Кино_СССР сводный каталог.xlsx: список фильмов (доп.)</t>
        </is>
      </c>
      <c r="M643" s="2">
        <f>HYPERLINK("https://ru.wikipedia.org/w/index.php?search=%D0%A5%D0%B8%D0%B6%D0%B8%D0%BD%D1%8B%20%D0%BD%D0%B0%D0%B4%D0%B5%D0%B6%D0%B4%D1%8B%201971%20%D1%84%D0%B8%D0%BB%D1%8C%D0%BC","искать")</f>
        <v/>
      </c>
      <c r="N643" s="3" t="n"/>
      <c r="O643" s="2" t="n"/>
    </row>
    <row r="644">
      <c r="A644" s="2" t="n">
        <v>643</v>
      </c>
      <c r="B644" s="2" t="inlineStr">
        <is>
          <t>не сюжет</t>
        </is>
      </c>
      <c r="C644" s="2" t="n">
        <v>9920</v>
      </c>
      <c r="D644" s="3" t="inlineStr">
        <is>
          <t>Огневушка-поскакушка</t>
        </is>
      </c>
      <c r="E644" s="2" t="n">
        <v>1976</v>
      </c>
      <c r="F644" s="2" t="inlineStr">
        <is>
          <t>телефильм</t>
        </is>
      </c>
      <c r="G644" s="2" t="inlineStr">
        <is>
          <t>Свердловское телевидение</t>
        </is>
      </c>
      <c r="H644" s="2" t="n">
        <v>34</v>
      </c>
      <c r="I644" s="2" t="inlineStr"/>
      <c r="J644" s="2" t="inlineStr">
        <is>
          <t>да</t>
        </is>
      </c>
      <c r="K644" s="3" t="inlineStr">
        <is>
          <t>Экранизация рассказа Павла Бажова.</t>
        </is>
      </c>
      <c r="L644" s="2" t="inlineStr">
        <is>
          <t>https://www.kino-teatr.ru/short/movie/sov/108486/annot/</t>
        </is>
      </c>
      <c r="M644" s="2">
        <f>HYPERLINK("https://ru.wikipedia.org/w/index.php?search=%D0%9E%D0%B3%D0%BD%D0%B5%D0%B2%D1%83%D1%88%D0%BA%D0%B0-%D0%BF%D0%BE%D1%81%D0%BA%D0%B0%D0%BA%D1%83%D1%88%D0%BA%D0%B0%201976%20%D1%84%D0%B8%D0%BB%D1%8C%D0%BC","искать")</f>
        <v/>
      </c>
      <c r="N644" s="3" t="n"/>
      <c r="O644" s="2" t="n"/>
    </row>
    <row r="645">
      <c r="A645" s="2" t="n">
        <v>644</v>
      </c>
      <c r="B645" s="2" t="inlineStr">
        <is>
          <t>не сюжет</t>
        </is>
      </c>
      <c r="C645" s="2" t="n">
        <v>10285</v>
      </c>
      <c r="D645" s="3" t="inlineStr">
        <is>
          <t>Апрель</t>
        </is>
      </c>
      <c r="E645" s="2" t="n">
        <v>1969</v>
      </c>
      <c r="F645" s="2" t="inlineStr">
        <is>
          <t>фильм-спектакль</t>
        </is>
      </c>
      <c r="G645" s="2" t="inlineStr">
        <is>
          <t>Ленинградское телевидение</t>
        </is>
      </c>
      <c r="H645" s="2" t="n">
        <v>34</v>
      </c>
      <c r="I645" s="2" t="inlineStr"/>
      <c r="J645" s="2" t="inlineStr">
        <is>
          <t>да</t>
        </is>
      </c>
      <c r="K645" s="3" t="inlineStr">
        <is>
          <t>По пьесе А.Афиногенова "Машенька".</t>
        </is>
      </c>
      <c r="L645" s="2" t="inlineStr">
        <is>
          <t>https://www.kino-teatr.ru/teatr/movie/93619/annot/</t>
        </is>
      </c>
      <c r="M645" s="2">
        <f>HYPERLINK("https://ru.wikipedia.org/w/index.php?search=%D0%90%D0%BF%D1%80%D0%B5%D0%BB%D1%8C%201969%20%D1%84%D0%B8%D0%BB%D1%8C%D0%BC","искать")</f>
        <v/>
      </c>
      <c r="N645" s="3" t="n"/>
      <c r="O645" s="2" t="n"/>
    </row>
    <row r="646">
      <c r="A646" s="2" t="n">
        <v>645</v>
      </c>
      <c r="B646" s="2" t="inlineStr">
        <is>
          <t>не сюжет</t>
        </is>
      </c>
      <c r="C646" s="2" t="n">
        <v>10630</v>
      </c>
      <c r="D646" s="3" t="inlineStr">
        <is>
          <t>Троил и Крессида</t>
        </is>
      </c>
      <c r="E646" s="2" t="n">
        <v>1975</v>
      </c>
      <c r="F646" s="2" t="inlineStr">
        <is>
          <t>фильм-спектакль</t>
        </is>
      </c>
      <c r="G646" s="2" t="inlineStr">
        <is>
          <t>Ленинградское ТВ, Подборки фильмов, экранизации Шекспира</t>
        </is>
      </c>
      <c r="H646" s="2" t="n">
        <v>34</v>
      </c>
      <c r="I646" s="2" t="inlineStr"/>
      <c r="J646" s="2" t="inlineStr">
        <is>
          <t>да</t>
        </is>
      </c>
      <c r="K646" s="3" t="inlineStr">
        <is>
          <t>По мотивам пьесы Вильяма Шекспира.</t>
        </is>
      </c>
      <c r="L646" s="2" t="inlineStr">
        <is>
          <t>https://www.kino-teatr.ru/teatr/movie/98270/annot/</t>
        </is>
      </c>
      <c r="M646" s="2">
        <f>HYPERLINK("https://ru.wikipedia.org/w/index.php?search=%D0%A2%D1%80%D0%BE%D0%B8%D0%BB%20%D0%B8%20%D0%9A%D1%80%D0%B5%D1%81%D1%81%D0%B8%D0%B4%D0%B0%201975%20%D1%84%D0%B8%D0%BB%D1%8C%D0%BC","искать")</f>
        <v/>
      </c>
      <c r="N646" s="3" t="n"/>
      <c r="O646" s="2" t="n"/>
    </row>
    <row r="647">
      <c r="A647" s="2" t="n">
        <v>646</v>
      </c>
      <c r="B647" s="2" t="inlineStr">
        <is>
          <t>не сюжет</t>
        </is>
      </c>
      <c r="C647" s="2" t="n">
        <v>11329</v>
      </c>
      <c r="D647" s="3" t="inlineStr">
        <is>
          <t>Холодная осень</t>
        </is>
      </c>
      <c r="E647" s="2" t="n">
        <v>1990</v>
      </c>
      <c r="F647" s="2" t="inlineStr">
        <is>
          <t>фильм-спектакль</t>
        </is>
      </c>
      <c r="G647" s="2" t="inlineStr">
        <is>
          <t>Главная редакция литературно-драматический программ ЦТ</t>
        </is>
      </c>
      <c r="H647" s="2" t="n">
        <v>34</v>
      </c>
      <c r="I647" s="2" t="inlineStr"/>
      <c r="J647" s="2" t="inlineStr">
        <is>
          <t>да</t>
        </is>
      </c>
      <c r="K647" s="3" t="inlineStr">
        <is>
          <t>По одноименному рассказу И.Бунина.</t>
        </is>
      </c>
      <c r="L647" s="2" t="inlineStr">
        <is>
          <t>https://www.kino-teatr.ru/teatr/movie/9676/annot/</t>
        </is>
      </c>
      <c r="M647" s="2">
        <f>HYPERLINK("https://ru.wikipedia.org/w/index.php?search=%D0%A5%D0%BE%D0%BB%D0%BE%D0%B4%D0%BD%D0%B0%D1%8F%20%D0%BE%D1%81%D0%B5%D0%BD%D1%8C%201990%20%D1%84%D0%B8%D0%BB%D1%8C%D0%BC","искать")</f>
        <v/>
      </c>
      <c r="N647" s="3" t="n"/>
      <c r="O647" s="2" t="n"/>
    </row>
    <row r="648">
      <c r="A648" s="2" t="n">
        <v>647</v>
      </c>
      <c r="B648" s="2" t="inlineStr">
        <is>
          <t>не сюжет</t>
        </is>
      </c>
      <c r="C648" s="2" t="n">
        <v>7425</v>
      </c>
      <c r="D648" s="3" t="inlineStr">
        <is>
          <t>Выше только облака</t>
        </is>
      </c>
      <c r="E648" s="2" t="n">
        <v>1976</v>
      </c>
      <c r="F648" s="2" t="inlineStr">
        <is>
          <t>телефильм</t>
        </is>
      </c>
      <c r="G648" s="2" t="n"/>
      <c r="H648" s="2" t="n">
        <v>35</v>
      </c>
      <c r="I648" s="2" t="inlineStr"/>
      <c r="J648" s="2" t="inlineStr">
        <is>
          <t>да</t>
        </is>
      </c>
      <c r="K648" s="3" t="inlineStr">
        <is>
          <t>Телефильм повествует о быте чабанов</t>
        </is>
      </c>
      <c r="L648" s="2" t="inlineStr">
        <is>
          <t>Кино_СССР сводный каталог.xlsx: список телефильмов</t>
        </is>
      </c>
      <c r="M648" s="2">
        <f>HYPERLINK("https://ru.wikipedia.org/w/index.php?search=%D0%92%D1%8B%D1%88%D0%B5%20%D1%82%D0%BE%D0%BB%D1%8C%D0%BA%D0%BE%20%D0%BE%D0%B1%D0%BB%D0%B0%D0%BA%D0%B0%201976%20%D1%84%D0%B8%D0%BB%D1%8C%D0%BC","искать")</f>
        <v/>
      </c>
      <c r="N648" s="3" t="n"/>
      <c r="O648" s="2" t="n"/>
    </row>
    <row r="649">
      <c r="A649" s="2" t="n">
        <v>648</v>
      </c>
      <c r="B649" s="2" t="inlineStr">
        <is>
          <t>не сюжет</t>
        </is>
      </c>
      <c r="C649" s="2" t="n">
        <v>10092</v>
      </c>
      <c r="D649" s="3" t="inlineStr">
        <is>
          <t>Голубой огонёк-1962</t>
        </is>
      </c>
      <c r="E649" s="2" t="n">
        <v>1962</v>
      </c>
      <c r="F649" s="2" t="inlineStr">
        <is>
          <t>фильм-спектакль</t>
        </is>
      </c>
      <c r="G649" s="2" t="inlineStr">
        <is>
          <t>Центральное телевидение СССР</t>
        </is>
      </c>
      <c r="H649" s="2" t="n">
        <v>35</v>
      </c>
      <c r="I649" s="2" t="inlineStr"/>
      <c r="J649" s="2" t="inlineStr">
        <is>
          <t>да</t>
        </is>
      </c>
      <c r="K649" s="3" t="inlineStr">
        <is>
          <t>Первый новогодний "Голубой огонек".</t>
        </is>
      </c>
      <c r="L649" s="2" t="inlineStr">
        <is>
          <t>https://www.kino-teatr.ru/teatr/movie/103797/annot/</t>
        </is>
      </c>
      <c r="M649" s="2">
        <f>HYPERLINK("https://ru.wikipedia.org/w/index.php?search=%D0%93%D0%BE%D0%BB%D1%83%D0%B1%D0%BE%D0%B9%20%D0%BE%D0%B3%D0%BE%D0%BD%D1%91%D0%BA-1962%201962%20%D1%84%D0%B8%D0%BB%D1%8C%D0%BC","искать")</f>
        <v/>
      </c>
      <c r="N649" s="3" t="n"/>
      <c r="O649" s="2" t="n"/>
    </row>
    <row r="650">
      <c r="A650" s="2" t="n">
        <v>649</v>
      </c>
      <c r="B650" s="2" t="inlineStr">
        <is>
          <t>не сюжет</t>
        </is>
      </c>
      <c r="C650" s="2" t="n">
        <v>10209</v>
      </c>
      <c r="D650" s="3" t="inlineStr">
        <is>
          <t>На большой дороге</t>
        </is>
      </c>
      <c r="E650" s="2" t="n">
        <v>1967</v>
      </c>
      <c r="F650" s="2" t="inlineStr">
        <is>
          <t>фильм-спектакль</t>
        </is>
      </c>
      <c r="G650" s="2" t="inlineStr">
        <is>
          <t>Ленинградское ТВ</t>
        </is>
      </c>
      <c r="H650" s="2" t="n">
        <v>35</v>
      </c>
      <c r="I650" s="2" t="inlineStr"/>
      <c r="J650" s="2" t="inlineStr">
        <is>
          <t>да</t>
        </is>
      </c>
      <c r="K650" s="3" t="inlineStr">
        <is>
          <t>По драматическому этюду А.П.Чехова.</t>
        </is>
      </c>
      <c r="L650" s="2" t="inlineStr">
        <is>
          <t>https://www.kino-teatr.ru/teatr/movie/92825/annot/</t>
        </is>
      </c>
      <c r="M650" s="2">
        <f>HYPERLINK("https://ru.wikipedia.org/w/index.php?search=%D0%9D%D0%B0%20%D0%B1%D0%BE%D0%BB%D1%8C%D1%88%D0%BE%D0%B9%20%D0%B4%D0%BE%D1%80%D0%BE%D0%B3%D0%B5%201967%20%D1%84%D0%B8%D0%BB%D1%8C%D0%BC","искать")</f>
        <v/>
      </c>
      <c r="N650" s="3" t="n"/>
      <c r="O650" s="2" t="n"/>
    </row>
    <row r="651">
      <c r="A651" s="2" t="n">
        <v>650</v>
      </c>
      <c r="B651" s="2" t="inlineStr">
        <is>
          <t>не сюжет</t>
        </is>
      </c>
      <c r="C651" s="2" t="n">
        <v>10215</v>
      </c>
      <c r="D651" s="3" t="inlineStr">
        <is>
          <t>Прощай, оружие!</t>
        </is>
      </c>
      <c r="E651" s="2" t="n">
        <v>1967</v>
      </c>
      <c r="F651" s="2" t="inlineStr">
        <is>
          <t>фильм-спектакль</t>
        </is>
      </c>
      <c r="G651" s="2" t="inlineStr">
        <is>
          <t>Ленинградское ТВ</t>
        </is>
      </c>
      <c r="H651" s="2" t="n">
        <v>35</v>
      </c>
      <c r="I651" s="2" t="inlineStr"/>
      <c r="J651" s="2" t="inlineStr">
        <is>
          <t>да</t>
        </is>
      </c>
      <c r="K651" s="3" t="inlineStr">
        <is>
          <t>По одноименному роману Э.Хемингуэя.</t>
        </is>
      </c>
      <c r="L651" s="2" t="inlineStr">
        <is>
          <t>https://www.kino-teatr.ru/teatr/movie/79316/annot/</t>
        </is>
      </c>
      <c r="M651" s="2">
        <f>HYPERLINK("https://ru.wikipedia.org/w/index.php?search=%D0%9F%D1%80%D0%BE%D1%89%D0%B0%D0%B9%2C%20%D0%BE%D1%80%D1%83%D0%B6%D0%B8%D0%B5%21%201967%20%D1%84%D0%B8%D0%BB%D1%8C%D0%BC","искать")</f>
        <v/>
      </c>
      <c r="N651" s="3" t="n"/>
      <c r="O651" s="2" t="n"/>
    </row>
    <row r="652">
      <c r="A652" s="2" t="n">
        <v>651</v>
      </c>
      <c r="B652" s="2" t="inlineStr">
        <is>
          <t>не сюжет</t>
        </is>
      </c>
      <c r="C652" s="2" t="n">
        <v>10271</v>
      </c>
      <c r="D652" s="3" t="inlineStr">
        <is>
          <t>Пядь земли</t>
        </is>
      </c>
      <c r="E652" s="2" t="n">
        <v>1968</v>
      </c>
      <c r="F652" s="2" t="inlineStr">
        <is>
          <t>фильм-спектакль</t>
        </is>
      </c>
      <c r="G652" s="2" t="inlineStr">
        <is>
          <t>Ленинградская студия телевидения</t>
        </is>
      </c>
      <c r="H652" s="2" t="n">
        <v>35</v>
      </c>
      <c r="I652" s="2" t="inlineStr"/>
      <c r="J652" s="2" t="inlineStr">
        <is>
          <t>да</t>
        </is>
      </c>
      <c r="K652" s="3" t="inlineStr">
        <is>
          <t>По одноименной пьесе Бориса Рымаря.</t>
        </is>
      </c>
      <c r="L652" s="2" t="inlineStr">
        <is>
          <t>https://www.kino-teatr.ru/teatr/movie/80372/annot/</t>
        </is>
      </c>
      <c r="M652" s="2">
        <f>HYPERLINK("https://ru.wikipedia.org/w/index.php?search=%D0%9F%D1%8F%D0%B4%D1%8C%20%D0%B7%D0%B5%D0%BC%D0%BB%D0%B8%201968%20%D1%84%D0%B8%D0%BB%D1%8C%D0%BC","искать")</f>
        <v/>
      </c>
      <c r="N652" s="3" t="n"/>
      <c r="O652" s="2" t="n"/>
    </row>
    <row r="653">
      <c r="A653" s="2" t="n">
        <v>652</v>
      </c>
      <c r="B653" s="2" t="inlineStr">
        <is>
          <t>не сюжет</t>
        </is>
      </c>
      <c r="C653" s="2" t="n">
        <v>10326</v>
      </c>
      <c r="D653" s="3" t="inlineStr">
        <is>
          <t>Провинциалка</t>
        </is>
      </c>
      <c r="E653" s="2" t="n">
        <v>1969</v>
      </c>
      <c r="F653" s="2" t="inlineStr">
        <is>
          <t>фильм-спектакль</t>
        </is>
      </c>
      <c r="G653" s="2" t="inlineStr">
        <is>
          <t>Гл. ред. лит.-драм. программ</t>
        </is>
      </c>
      <c r="H653" s="2" t="n">
        <v>35</v>
      </c>
      <c r="I653" s="2" t="inlineStr"/>
      <c r="J653" s="2" t="inlineStr">
        <is>
          <t>да</t>
        </is>
      </c>
      <c r="K653" s="3" t="inlineStr">
        <is>
          <t>По одноименной пьесе И.С.Тургенева.</t>
        </is>
      </c>
      <c r="L653" s="2" t="inlineStr">
        <is>
          <t>https://www.kino-teatr.ru/teatr/movie/93058/annot/</t>
        </is>
      </c>
      <c r="M653" s="2">
        <f>HYPERLINK("https://ru.wikipedia.org/w/index.php?search=%D0%9F%D1%80%D0%BE%D0%B2%D0%B8%D0%BD%D1%86%D0%B8%D0%B0%D0%BB%D0%BA%D0%B0%201969%20%D1%84%D0%B8%D0%BB%D1%8C%D0%BC","искать")</f>
        <v/>
      </c>
      <c r="N653" s="3" t="n"/>
      <c r="O653" s="2" t="n"/>
    </row>
    <row r="654">
      <c r="A654" s="2" t="n">
        <v>653</v>
      </c>
      <c r="B654" s="2" t="inlineStr">
        <is>
          <t>не сюжет</t>
        </is>
      </c>
      <c r="C654" s="2" t="n">
        <v>10433</v>
      </c>
      <c r="D654" s="3" t="inlineStr">
        <is>
          <t>Былое и думы</t>
        </is>
      </c>
      <c r="E654" s="2" t="n">
        <v>1972</v>
      </c>
      <c r="F654" s="2" t="inlineStr">
        <is>
          <t>фильм-спектакль</t>
        </is>
      </c>
      <c r="G654" s="2" t="inlineStr">
        <is>
          <t>Главная редакция литературно-драматических программ</t>
        </is>
      </c>
      <c r="H654" s="2" t="n">
        <v>35</v>
      </c>
      <c r="I654" s="2" t="inlineStr"/>
      <c r="J654" s="2" t="inlineStr">
        <is>
          <t>да</t>
        </is>
      </c>
      <c r="K654" s="3" t="inlineStr">
        <is>
          <t>По одноименному роману А.И.Герцена.</t>
        </is>
      </c>
      <c r="L654" s="2" t="inlineStr">
        <is>
          <t>https://www.kino-teatr.ru/teatr/movie/90609/annot/</t>
        </is>
      </c>
      <c r="M654" s="2">
        <f>HYPERLINK("https://ru.wikipedia.org/w/index.php?search=%D0%91%D1%8B%D0%BB%D0%BE%D0%B5%20%D0%B8%20%D0%B4%D1%83%D0%BC%D1%8B%201972%20%D1%84%D0%B8%D0%BB%D1%8C%D0%BC","искать")</f>
        <v/>
      </c>
      <c r="N654" s="3" t="n"/>
      <c r="O654" s="2" t="n"/>
    </row>
    <row r="655">
      <c r="A655" s="2" t="n">
        <v>654</v>
      </c>
      <c r="B655" s="2" t="inlineStr">
        <is>
          <t>не сюжет</t>
        </is>
      </c>
      <c r="C655" s="2" t="n">
        <v>10660</v>
      </c>
      <c r="D655" s="3" t="inlineStr">
        <is>
          <t>Ну, публика!</t>
        </is>
      </c>
      <c r="E655" s="2" t="n">
        <v>1976</v>
      </c>
      <c r="F655" s="2" t="inlineStr">
        <is>
          <t>фильм-спектакль</t>
        </is>
      </c>
      <c r="G655" s="2" t="inlineStr">
        <is>
          <t>ГРЛДП ЦТ</t>
        </is>
      </c>
      <c r="H655" s="2" t="n">
        <v>35</v>
      </c>
      <c r="I655" s="2" t="inlineStr"/>
      <c r="J655" s="2" t="inlineStr">
        <is>
          <t>да</t>
        </is>
      </c>
      <c r="K655" s="3" t="inlineStr">
        <is>
          <t>По мотивам ранних рассказов Чехова.</t>
        </is>
      </c>
      <c r="L655" s="2" t="inlineStr">
        <is>
          <t>https://www.kino-teatr.ru/teatr/movie/80822/annot/</t>
        </is>
      </c>
      <c r="M655" s="2">
        <f>HYPERLINK("https://ru.wikipedia.org/w/index.php?search=%D0%9D%D1%83%2C%20%D0%BF%D1%83%D0%B1%D0%BB%D0%B8%D0%BA%D0%B0%21%201976%20%D1%84%D0%B8%D0%BB%D1%8C%D0%BC","искать")</f>
        <v/>
      </c>
      <c r="N655" s="3" t="n"/>
      <c r="O655" s="2" t="n"/>
    </row>
    <row r="656">
      <c r="A656" s="2" t="n">
        <v>655</v>
      </c>
      <c r="B656" s="2" t="inlineStr">
        <is>
          <t>не сюжет</t>
        </is>
      </c>
      <c r="C656" s="2" t="n">
        <v>11217</v>
      </c>
      <c r="D656" s="3" t="inlineStr">
        <is>
          <t>Натали</t>
        </is>
      </c>
      <c r="E656" s="2" t="n">
        <v>1988</v>
      </c>
      <c r="F656" s="2" t="inlineStr">
        <is>
          <t>фильм-спектакль</t>
        </is>
      </c>
      <c r="G656" s="2" t="inlineStr">
        <is>
          <t>Ленинградское ТВ</t>
        </is>
      </c>
      <c r="H656" s="2" t="n">
        <v>35</v>
      </c>
      <c r="I656" s="2" t="inlineStr"/>
      <c r="J656" s="2" t="inlineStr">
        <is>
          <t>да</t>
        </is>
      </c>
      <c r="K656" s="3" t="inlineStr">
        <is>
          <t>По мотивам произведений И.А.Бунина.</t>
        </is>
      </c>
      <c r="L656" s="2" t="inlineStr">
        <is>
          <t>https://www.kino-teatr.ru/teatr/movie/14347/annot/</t>
        </is>
      </c>
      <c r="M656" s="2">
        <f>HYPERLINK("https://ru.wikipedia.org/w/index.php?search=%D0%9D%D0%B0%D1%82%D0%B0%D0%BB%D0%B8%201988%20%D1%84%D0%B8%D0%BB%D1%8C%D0%BC","искать")</f>
        <v/>
      </c>
      <c r="N656" s="3" t="n"/>
      <c r="O656" s="2" t="n"/>
    </row>
    <row r="657">
      <c r="A657" s="2" t="n">
        <v>656</v>
      </c>
      <c r="B657" s="2" t="inlineStr">
        <is>
          <t>не сюжет</t>
        </is>
      </c>
      <c r="C657" s="2" t="n">
        <v>7331</v>
      </c>
      <c r="D657" s="3" t="inlineStr">
        <is>
          <t>Ветер каждый день</t>
        </is>
      </c>
      <c r="E657" s="2" t="n">
        <v>1973</v>
      </c>
      <c r="F657" s="2" t="inlineStr">
        <is>
          <t>телефильм</t>
        </is>
      </c>
      <c r="G657" s="2" t="n"/>
      <c r="H657" s="2" t="n">
        <v>36</v>
      </c>
      <c r="I657" s="2" t="inlineStr"/>
      <c r="J657" s="2" t="inlineStr">
        <is>
          <t>да</t>
        </is>
      </c>
      <c r="K657" s="3" t="inlineStr">
        <is>
          <t>О строительстве гидроэлектростанции.</t>
        </is>
      </c>
      <c r="L657" s="2" t="inlineStr">
        <is>
          <t>Кино_СССР сводный каталог.xlsx: список телефильмов</t>
        </is>
      </c>
      <c r="M657" s="2">
        <f>HYPERLINK("https://ru.wikipedia.org/w/index.php?search=%D0%92%D0%B5%D1%82%D0%B5%D1%80%20%D0%BA%D0%B0%D0%B6%D0%B4%D1%8B%D0%B9%20%D0%B4%D0%B5%D0%BD%D1%8C%201973%20%D1%84%D0%B8%D0%BB%D1%8C%D0%BC","искать")</f>
        <v/>
      </c>
      <c r="N657" s="3" t="n"/>
      <c r="O657" s="2" t="n"/>
    </row>
    <row r="658">
      <c r="A658" s="2" t="n">
        <v>657</v>
      </c>
      <c r="B658" s="2" t="inlineStr">
        <is>
          <t>не сюжет</t>
        </is>
      </c>
      <c r="C658" s="2" t="n">
        <v>7822</v>
      </c>
      <c r="D658" s="3" t="inlineStr">
        <is>
          <t>Лучафэрул</t>
        </is>
      </c>
      <c r="E658" s="2" t="n">
        <v>1986</v>
      </c>
      <c r="F658" s="2" t="inlineStr">
        <is>
          <t>телефильм</t>
        </is>
      </c>
      <c r="G658" s="2" t="n"/>
      <c r="H658" s="2" t="n">
        <v>36</v>
      </c>
      <c r="I658" s="2" t="inlineStr"/>
      <c r="J658" s="2" t="inlineStr">
        <is>
          <t>да</t>
        </is>
      </c>
      <c r="K658" s="3" t="inlineStr">
        <is>
          <t>По одноименной поэме Михая Эминеску.</t>
        </is>
      </c>
      <c r="L658" s="2" t="inlineStr">
        <is>
          <t>Кино_СССР сводный каталог.xlsx: список телефильмов</t>
        </is>
      </c>
      <c r="M658" s="2">
        <f>HYPERLINK("https://ru.wikipedia.org/w/index.php?search=%D0%9B%D1%83%D1%87%D0%B0%D1%84%D1%8D%D1%80%D1%83%D0%BB%201986%20%D1%84%D0%B8%D0%BB%D1%8C%D0%BC","искать")</f>
        <v/>
      </c>
      <c r="N658" s="3" t="n"/>
      <c r="O658" s="2" t="n"/>
    </row>
    <row r="659">
      <c r="A659" s="2" t="n">
        <v>658</v>
      </c>
      <c r="B659" s="2" t="inlineStr">
        <is>
          <t>не сюжет</t>
        </is>
      </c>
      <c r="C659" s="2" t="n">
        <v>9117</v>
      </c>
      <c r="D659" s="3" t="inlineStr">
        <is>
          <t>У истока дней</t>
        </is>
      </c>
      <c r="E659" s="2" t="n">
        <v>1990</v>
      </c>
      <c r="F659" s="2" t="inlineStr">
        <is>
          <t>кинофильм</t>
        </is>
      </c>
      <c r="G659" s="2" t="n"/>
      <c r="H659" s="2" t="n">
        <v>36</v>
      </c>
      <c r="I659" s="2" t="inlineStr"/>
      <c r="J659" s="2" t="inlineStr">
        <is>
          <t>да</t>
        </is>
      </c>
      <c r="K659" s="3" t="inlineStr">
        <is>
          <t>По одноименному рассказу И.А.Бунина.</t>
        </is>
      </c>
      <c r="L659" s="2" t="inlineStr">
        <is>
          <t>Кино_СССР сводный каталог.xlsx: список фильмов (доп.)</t>
        </is>
      </c>
      <c r="M659" s="2">
        <f>HYPERLINK("https://ru.wikipedia.org/w/index.php?search=%D0%A3%20%D0%B8%D1%81%D1%82%D0%BE%D0%BA%D0%B0%20%D0%B4%D0%BD%D0%B5%D0%B9%201990%20%D1%84%D0%B8%D0%BB%D1%8C%D0%BC","искать")</f>
        <v/>
      </c>
      <c r="N659" s="3" t="n"/>
      <c r="O659" s="2" t="n"/>
    </row>
    <row r="660">
      <c r="A660" s="2" t="n">
        <v>659</v>
      </c>
      <c r="B660" s="2" t="inlineStr">
        <is>
          <t>не сюжет</t>
        </is>
      </c>
      <c r="C660" s="2" t="n">
        <v>9806</v>
      </c>
      <c r="D660" s="3" t="inlineStr">
        <is>
          <t>Плач волчицы</t>
        </is>
      </c>
      <c r="E660" s="2" t="n">
        <v>1989</v>
      </c>
      <c r="F660" s="2" t="inlineStr">
        <is>
          <t>кинофильм</t>
        </is>
      </c>
      <c r="G660" s="2" t="inlineStr">
        <is>
          <t>Киргизфильм</t>
        </is>
      </c>
      <c r="H660" s="2" t="n">
        <v>36</v>
      </c>
      <c r="I660" s="2" t="inlineStr"/>
      <c r="J660" s="2" t="inlineStr">
        <is>
          <t>да</t>
        </is>
      </c>
      <c r="K660" s="3" t="inlineStr">
        <is>
          <t>По роману "Плаха" Чингиза Айтматова.</t>
        </is>
      </c>
      <c r="L660" s="2" t="inlineStr">
        <is>
          <t>https://www.kino-teatr.ru/kino/movie/sov/152081/annot/</t>
        </is>
      </c>
      <c r="M660" s="2">
        <f>HYPERLINK("https://ru.wikipedia.org/w/index.php?search=%D0%9F%D0%BB%D0%B0%D1%87%20%D0%B2%D0%BE%D0%BB%D1%87%D0%B8%D1%86%D1%8B%201989%20%D1%84%D0%B8%D0%BB%D1%8C%D0%BC","искать")</f>
        <v/>
      </c>
      <c r="N660" s="3" t="n"/>
      <c r="O660" s="2" t="n"/>
    </row>
    <row r="661">
      <c r="A661" s="2" t="n">
        <v>660</v>
      </c>
      <c r="B661" s="2" t="inlineStr">
        <is>
          <t>не сюжет</t>
        </is>
      </c>
      <c r="C661" s="2" t="n">
        <v>9976</v>
      </c>
      <c r="D661" s="3" t="inlineStr">
        <is>
          <t>Старый машинист</t>
        </is>
      </c>
      <c r="E661" s="2" t="n">
        <v>1981</v>
      </c>
      <c r="F661" s="2" t="inlineStr">
        <is>
          <t>телефильм</t>
        </is>
      </c>
      <c r="G661" s="2" t="inlineStr">
        <is>
          <t>Грузия-фильм</t>
        </is>
      </c>
      <c r="H661" s="2" t="n">
        <v>36</v>
      </c>
      <c r="I661" s="2" t="inlineStr"/>
      <c r="J661" s="2" t="inlineStr">
        <is>
          <t>да</t>
        </is>
      </c>
      <c r="K661" s="3" t="inlineStr">
        <is>
          <t>По рассказу Арчила Сулакаури "Габо".</t>
        </is>
      </c>
      <c r="L661" s="2" t="inlineStr">
        <is>
          <t>https://www.kino-teatr.ru/short/movie/sov/16026/annot/</t>
        </is>
      </c>
      <c r="M661" s="2">
        <f>HYPERLINK("https://ru.wikipedia.org/w/index.php?search=%D0%A1%D1%82%D0%B0%D1%80%D1%8B%D0%B9%20%D0%BC%D0%B0%D1%88%D0%B8%D0%BD%D0%B8%D1%81%D1%82%201981%20%D1%84%D0%B8%D0%BB%D1%8C%D0%BC","искать")</f>
        <v/>
      </c>
      <c r="N661" s="3" t="n"/>
      <c r="O661" s="2" t="n"/>
    </row>
    <row r="662">
      <c r="A662" s="2" t="n">
        <v>661</v>
      </c>
      <c r="B662" s="2" t="inlineStr">
        <is>
          <t>не сюжет</t>
        </is>
      </c>
      <c r="C662" s="2" t="n">
        <v>10158</v>
      </c>
      <c r="D662" s="3" t="inlineStr">
        <is>
          <t>Учитель словесности</t>
        </is>
      </c>
      <c r="E662" s="2" t="n">
        <v>1965</v>
      </c>
      <c r="F662" s="2" t="inlineStr">
        <is>
          <t>фильм-спектакль</t>
        </is>
      </c>
      <c r="G662" s="2" t="inlineStr">
        <is>
          <t>Центральное телевидение</t>
        </is>
      </c>
      <c r="H662" s="2" t="n">
        <v>36</v>
      </c>
      <c r="I662" s="2" t="inlineStr"/>
      <c r="J662" s="2" t="inlineStr">
        <is>
          <t>да</t>
        </is>
      </c>
      <c r="K662" s="3" t="inlineStr">
        <is>
          <t>По одноименному рассказу А.П.Чехова.</t>
        </is>
      </c>
      <c r="L662" s="2" t="inlineStr">
        <is>
          <t>https://www.kino-teatr.ru/teatr/movie/9440/annot/</t>
        </is>
      </c>
      <c r="M662" s="2">
        <f>HYPERLINK("https://ru.wikipedia.org/w/index.php?search=%D0%A3%D1%87%D0%B8%D1%82%D0%B5%D0%BB%D1%8C%20%D1%81%D0%BB%D0%BE%D0%B2%D0%B5%D1%81%D0%BD%D0%BE%D1%81%D1%82%D0%B8%201965%20%D1%84%D0%B8%D0%BB%D1%8C%D0%BC","искать")</f>
        <v/>
      </c>
      <c r="N662" s="3" t="n"/>
      <c r="O662" s="2" t="n"/>
    </row>
    <row r="663">
      <c r="A663" s="2" t="n">
        <v>662</v>
      </c>
      <c r="B663" s="2" t="inlineStr">
        <is>
          <t>не сюжет</t>
        </is>
      </c>
      <c r="C663" s="2" t="n">
        <v>10348</v>
      </c>
      <c r="D663" s="3" t="inlineStr">
        <is>
          <t>Арап Петра Великого</t>
        </is>
      </c>
      <c r="E663" s="2" t="n">
        <v>1970</v>
      </c>
      <c r="F663" s="2" t="inlineStr">
        <is>
          <t>фильм-спектакль</t>
        </is>
      </c>
      <c r="G663" s="2" t="inlineStr">
        <is>
          <t>Центральное телевидение, Подборки фильмов, экранизации Пушкина</t>
        </is>
      </c>
      <c r="H663" s="2" t="n">
        <v>36</v>
      </c>
      <c r="I663" s="2" t="inlineStr"/>
      <c r="J663" s="2" t="inlineStr">
        <is>
          <t>да</t>
        </is>
      </c>
      <c r="K663" s="3" t="inlineStr">
        <is>
          <t>По незаконченному роману А.С.Пушкина</t>
        </is>
      </c>
      <c r="L663" s="2" t="inlineStr">
        <is>
          <t>https://www.kino-teatr.ru/teatr/movie/136502/annot/</t>
        </is>
      </c>
      <c r="M663" s="2">
        <f>HYPERLINK("https://ru.wikipedia.org/w/index.php?search=%D0%90%D1%80%D0%B0%D0%BF%20%D0%9F%D0%B5%D1%82%D1%80%D0%B0%20%D0%92%D0%B5%D0%BB%D0%B8%D0%BA%D0%BE%D0%B3%D0%BE%201970%20%D1%84%D0%B8%D0%BB%D1%8C%D0%BC","искать")</f>
        <v/>
      </c>
      <c r="N663" s="3" t="n"/>
      <c r="O663" s="2" t="n"/>
    </row>
    <row r="664">
      <c r="A664" s="2" t="n">
        <v>663</v>
      </c>
      <c r="B664" s="2" t="inlineStr">
        <is>
          <t>не сюжет</t>
        </is>
      </c>
      <c r="C664" s="2" t="n">
        <v>10349</v>
      </c>
      <c r="D664" s="3" t="inlineStr">
        <is>
          <t>Борис Годунов. Сцены из трагедии</t>
        </is>
      </c>
      <c r="E664" s="2" t="n">
        <v>1970</v>
      </c>
      <c r="F664" s="2" t="inlineStr">
        <is>
          <t>фильм-спектакль</t>
        </is>
      </c>
      <c r="G664" s="2" t="inlineStr">
        <is>
          <t>ЦТ, Подборки фильмов, экранизации Пушкина, фильмы про 16-й век</t>
        </is>
      </c>
      <c r="H664" s="2" t="n">
        <v>36</v>
      </c>
      <c r="I664" s="2" t="inlineStr"/>
      <c r="J664" s="2" t="inlineStr">
        <is>
          <t>да</t>
        </is>
      </c>
      <c r="K664" s="3" t="inlineStr">
        <is>
          <t>По одноименной трагедии А.С.Пушкина.</t>
        </is>
      </c>
      <c r="L664" s="2" t="inlineStr">
        <is>
          <t>https://www.kino-teatr.ru/teatr/movie/621/annot/</t>
        </is>
      </c>
      <c r="M664" s="2">
        <f>HYPERLINK("https://ru.wikipedia.org/w/index.php?search=%D0%91%D0%BE%D1%80%D0%B8%D1%81%20%D0%93%D0%BE%D0%B4%D1%83%D0%BD%D0%BE%D0%B2.%20%D0%A1%D1%86%D0%B5%D0%BD%D1%8B%20%D0%B8%D0%B7%20%D1%82%D1%80%D0%B0%D0%B3%D0%B5%D0%B4%D0%B8%D0%B8%201970%20%D1%84%D0%B8%D0%BB%D1%8C%D0%BC","искать")</f>
        <v/>
      </c>
      <c r="N664" s="3" t="n"/>
      <c r="O664" s="2" t="n"/>
    </row>
    <row r="665">
      <c r="A665" s="2" t="n">
        <v>664</v>
      </c>
      <c r="B665" s="2" t="inlineStr">
        <is>
          <t>не сюжет</t>
        </is>
      </c>
      <c r="C665" s="2" t="n">
        <v>10734</v>
      </c>
      <c r="D665" s="3" t="inlineStr">
        <is>
          <t>Возвращение на круги своя</t>
        </is>
      </c>
      <c r="E665" s="2" t="n">
        <v>1978</v>
      </c>
      <c r="F665" s="2" t="inlineStr">
        <is>
          <t>фильм-спектакль</t>
        </is>
      </c>
      <c r="G665" s="2" t="inlineStr">
        <is>
          <t>Ленинградское телевидение</t>
        </is>
      </c>
      <c r="H665" s="2" t="n">
        <v>36</v>
      </c>
      <c r="I665" s="2" t="inlineStr"/>
      <c r="J665" s="2" t="inlineStr">
        <is>
          <t>да</t>
        </is>
      </c>
      <c r="K665" s="3" t="inlineStr">
        <is>
          <t>Телеспектакль по повести Иона Друцэ.</t>
        </is>
      </c>
      <c r="L665" s="2" t="inlineStr">
        <is>
          <t>https://www.kino-teatr.ru/teatr/movie/120257/annot/</t>
        </is>
      </c>
      <c r="M665" s="2">
        <f>HYPERLINK("https://ru.wikipedia.org/w/index.php?search=%D0%92%D0%BE%D0%B7%D0%B2%D1%80%D0%B0%D1%89%D0%B5%D0%BD%D0%B8%D0%B5%20%D0%BD%D0%B0%20%D0%BA%D1%80%D1%83%D0%B3%D0%B8%20%D1%81%D0%B2%D0%BE%D1%8F%201978%20%D1%84%D0%B8%D0%BB%D1%8C%D0%BC","искать")</f>
        <v/>
      </c>
      <c r="N665" s="3" t="n"/>
      <c r="O665" s="2" t="n"/>
    </row>
    <row r="666">
      <c r="A666" s="2" t="n">
        <v>665</v>
      </c>
      <c r="B666" s="2" t="inlineStr">
        <is>
          <t>не сюжет</t>
        </is>
      </c>
      <c r="C666" s="2" t="n">
        <v>11265</v>
      </c>
      <c r="D666" s="3" t="inlineStr">
        <is>
          <t>Мелкий бес</t>
        </is>
      </c>
      <c r="E666" s="2" t="n">
        <v>1989</v>
      </c>
      <c r="F666" s="2" t="inlineStr">
        <is>
          <t>фильм-спектакль</t>
        </is>
      </c>
      <c r="G666" s="2" t="inlineStr">
        <is>
          <t>Ленинградское телевидение</t>
        </is>
      </c>
      <c r="H666" s="2" t="n">
        <v>36</v>
      </c>
      <c r="I666" s="2" t="inlineStr"/>
      <c r="J666" s="2" t="inlineStr">
        <is>
          <t>да</t>
        </is>
      </c>
      <c r="K666" s="3" t="inlineStr">
        <is>
          <t>Телеспектакль по повести Ф.Сологуба.</t>
        </is>
      </c>
      <c r="L666" s="2" t="inlineStr">
        <is>
          <t>https://www.kino-teatr.ru/teatr/movie/119943/annot/</t>
        </is>
      </c>
      <c r="M666" s="2">
        <f>HYPERLINK("https://ru.wikipedia.org/w/index.php?search=%D0%9C%D0%B5%D0%BB%D0%BA%D0%B8%D0%B9%20%D0%B1%D0%B5%D1%81%201989%20%D1%84%D0%B8%D0%BB%D1%8C%D0%BC","искать")</f>
        <v/>
      </c>
      <c r="N666" s="3" t="n"/>
      <c r="O666" s="2" t="n"/>
    </row>
    <row r="667">
      <c r="A667" s="2" t="n">
        <v>666</v>
      </c>
      <c r="B667" s="2" t="inlineStr">
        <is>
          <t>не сюжет</t>
        </is>
      </c>
      <c r="C667" s="2" t="n">
        <v>11352</v>
      </c>
      <c r="D667" s="3" t="inlineStr">
        <is>
          <t>Я играю Шостаковича</t>
        </is>
      </c>
      <c r="E667" s="2" t="n">
        <v>1991</v>
      </c>
      <c r="F667" s="2" t="inlineStr">
        <is>
          <t>фильм-спектакль</t>
        </is>
      </c>
      <c r="G667" s="2" t="inlineStr">
        <is>
          <t>Московский театр эстрады</t>
        </is>
      </c>
      <c r="H667" s="2" t="n">
        <v>36</v>
      </c>
      <c r="I667" s="2" t="inlineStr"/>
      <c r="J667" s="2" t="inlineStr">
        <is>
          <t>да</t>
        </is>
      </c>
      <c r="K667" s="3" t="inlineStr">
        <is>
          <t>Эстрадный музыкальный моноспектакль.</t>
        </is>
      </c>
      <c r="L667" s="2" t="inlineStr">
        <is>
          <t>https://www.kino-teatr.ru/teatr/movie/90338/annot/</t>
        </is>
      </c>
      <c r="M667" s="2">
        <f>HYPERLINK("https://ru.wikipedia.org/w/index.php?search=%D0%AF%20%D0%B8%D0%B3%D1%80%D0%B0%D1%8E%20%D0%A8%D0%BE%D1%81%D1%82%D0%B0%D0%BA%D0%BE%D0%B2%D0%B8%D1%87%D0%B0%201991%20%D1%84%D0%B8%D0%BB%D1%8C%D0%BC","искать")</f>
        <v/>
      </c>
      <c r="N667" s="3" t="n"/>
      <c r="O667" s="2" t="n"/>
    </row>
    <row r="668">
      <c r="A668" s="2" t="n">
        <v>667</v>
      </c>
      <c r="B668" s="2" t="inlineStr">
        <is>
          <t>не сюжет</t>
        </is>
      </c>
      <c r="C668" s="2" t="n">
        <v>9246</v>
      </c>
      <c r="D668" s="3" t="inlineStr">
        <is>
          <t>Боевой киносборник "Наши девушки"</t>
        </is>
      </c>
      <c r="E668" s="2" t="n">
        <v>1942</v>
      </c>
      <c r="F668" s="2" t="inlineStr">
        <is>
          <t>кинофильм</t>
        </is>
      </c>
      <c r="G668" s="2" t="inlineStr">
        <is>
          <t>ЦОКС</t>
        </is>
      </c>
      <c r="H668" s="2" t="n">
        <v>37</v>
      </c>
      <c r="I668" s="2" t="inlineStr"/>
      <c r="J668" s="2" t="inlineStr">
        <is>
          <t>да</t>
        </is>
      </c>
      <c r="K668" s="3" t="inlineStr">
        <is>
          <t>Фильмы в составе: Тоня, Однажды ночью</t>
        </is>
      </c>
      <c r="L668" s="2" t="inlineStr">
        <is>
          <t>Кино_СССР сводный каталог.xlsx: список фильмов (доп.)</t>
        </is>
      </c>
      <c r="M668" s="2">
        <f>HYPERLINK("https://ru.wikipedia.org/w/index.php?search=%D0%91%D0%BE%D0%B5%D0%B2%D0%BE%D0%B9%20%D0%BA%D0%B8%D0%BD%D0%BE%D1%81%D0%B1%D0%BE%D1%80%D0%BD%D0%B8%D0%BA%20%22%D0%9D%D0%B0%D1%88%D0%B8%20%D0%B4%D0%B5%D0%B2%D1%83%D1%88%D0%BA%D0%B8%22%201942%20%D1%84%D0%B8%D0%BB%D1%8C%D0%BC","искать")</f>
        <v/>
      </c>
      <c r="N668" s="3" t="n"/>
      <c r="O668" s="2" t="n"/>
    </row>
    <row r="669">
      <c r="A669" s="2" t="n">
        <v>668</v>
      </c>
      <c r="B669" s="2" t="inlineStr">
        <is>
          <t>не сюжет</t>
        </is>
      </c>
      <c r="C669" s="2" t="n">
        <v>10077</v>
      </c>
      <c r="D669" s="3" t="inlineStr">
        <is>
          <t>Макар Дубрава</t>
        </is>
      </c>
      <c r="E669" s="2" t="n">
        <v>1960</v>
      </c>
      <c r="F669" s="2" t="inlineStr">
        <is>
          <t>фильм-спектакль</t>
        </is>
      </c>
      <c r="G669" s="2" t="n"/>
      <c r="H669" s="2" t="n">
        <v>37</v>
      </c>
      <c r="I669" s="2" t="inlineStr"/>
      <c r="J669" s="2" t="inlineStr">
        <is>
          <t>да</t>
        </is>
      </c>
      <c r="K669" s="3" t="inlineStr">
        <is>
          <t>Фильм-спектакль по пьесе А.Корнейчука</t>
        </is>
      </c>
      <c r="L669" s="2" t="inlineStr">
        <is>
          <t>https://www.kino-teatr.ru/teatr/movie/13114/annot/</t>
        </is>
      </c>
      <c r="M669" s="2">
        <f>HYPERLINK("https://ru.wikipedia.org/w/index.php?search=%D0%9C%D0%B0%D0%BA%D0%B0%D1%80%20%D0%94%D1%83%D0%B1%D1%80%D0%B0%D0%B2%D0%B0%201960%20%D1%84%D0%B8%D0%BB%D1%8C%D0%BC","искать")</f>
        <v/>
      </c>
      <c r="N669" s="3" t="n"/>
      <c r="O669" s="2" t="n"/>
    </row>
    <row r="670">
      <c r="A670" s="2" t="n">
        <v>669</v>
      </c>
      <c r="B670" s="2" t="inlineStr">
        <is>
          <t>не сюжет</t>
        </is>
      </c>
      <c r="C670" s="2" t="n">
        <v>10086</v>
      </c>
      <c r="D670" s="3" t="inlineStr">
        <is>
          <t>Коллеги</t>
        </is>
      </c>
      <c r="E670" s="2" t="n">
        <v>1961</v>
      </c>
      <c r="F670" s="2" t="inlineStr">
        <is>
          <t>фильм-спектакль</t>
        </is>
      </c>
      <c r="G670" s="2" t="inlineStr">
        <is>
          <t>Ленинградское телевидение</t>
        </is>
      </c>
      <c r="H670" s="2" t="n">
        <v>37</v>
      </c>
      <c r="I670" s="2" t="inlineStr"/>
      <c r="J670" s="2" t="inlineStr">
        <is>
          <t>да</t>
        </is>
      </c>
      <c r="K670" s="3" t="inlineStr">
        <is>
          <t>Телеспектакль по повести В. Аксёнова.</t>
        </is>
      </c>
      <c r="L670" s="2" t="inlineStr">
        <is>
          <t>https://www.kino-teatr.ru/teatr/movie/122893/annot/</t>
        </is>
      </c>
      <c r="M670" s="2">
        <f>HYPERLINK("https://ru.wikipedia.org/w/index.php?search=%D0%9A%D0%BE%D0%BB%D0%BB%D0%B5%D0%B3%D0%B8%201961%20%D1%84%D0%B8%D0%BB%D1%8C%D0%BC","искать")</f>
        <v/>
      </c>
      <c r="N670" s="3" t="n"/>
      <c r="O670" s="2" t="n"/>
    </row>
    <row r="671">
      <c r="A671" s="2" t="n">
        <v>670</v>
      </c>
      <c r="B671" s="2" t="inlineStr">
        <is>
          <t>не сюжет</t>
        </is>
      </c>
      <c r="C671" s="2" t="n">
        <v>10149</v>
      </c>
      <c r="D671" s="3" t="inlineStr">
        <is>
          <t>Обломов</t>
        </is>
      </c>
      <c r="E671" s="2" t="n">
        <v>1965</v>
      </c>
      <c r="F671" s="2" t="inlineStr">
        <is>
          <t>фильм-спектакль</t>
        </is>
      </c>
      <c r="G671" s="2" t="inlineStr">
        <is>
          <t>Ленинградское телевидение</t>
        </is>
      </c>
      <c r="H671" s="2" t="n">
        <v>37</v>
      </c>
      <c r="I671" s="2" t="inlineStr"/>
      <c r="J671" s="2" t="inlineStr">
        <is>
          <t>да</t>
        </is>
      </c>
      <c r="K671" s="3" t="inlineStr">
        <is>
          <t>По одноименному роману И.А.Гончарова.</t>
        </is>
      </c>
      <c r="L671" s="2" t="inlineStr">
        <is>
          <t>https://www.kino-teatr.ru/teatr/movie/93049/annot/</t>
        </is>
      </c>
      <c r="M671" s="2">
        <f>HYPERLINK("https://ru.wikipedia.org/w/index.php?search=%D0%9E%D0%B1%D0%BB%D0%BE%D0%BC%D0%BE%D0%B2%201965%20%D1%84%D0%B8%D0%BB%D1%8C%D0%BC","искать")</f>
        <v/>
      </c>
      <c r="N671" s="3" t="n"/>
      <c r="O671" s="2" t="n"/>
    </row>
    <row r="672">
      <c r="A672" s="2" t="n">
        <v>671</v>
      </c>
      <c r="B672" s="2" t="inlineStr">
        <is>
          <t>не сюжет</t>
        </is>
      </c>
      <c r="C672" s="2" t="n">
        <v>10273</v>
      </c>
      <c r="D672" s="3" t="inlineStr">
        <is>
          <t>Скучная история. Из записок старого человека</t>
        </is>
      </c>
      <c r="E672" s="2" t="n">
        <v>1968</v>
      </c>
      <c r="F672" s="2" t="inlineStr">
        <is>
          <t>фильм-спектакль</t>
        </is>
      </c>
      <c r="G672" s="2" t="inlineStr">
        <is>
          <t>Центральное телевидение</t>
        </is>
      </c>
      <c r="H672" s="2" t="n">
        <v>37</v>
      </c>
      <c r="I672" s="2" t="inlineStr"/>
      <c r="J672" s="2" t="inlineStr">
        <is>
          <t>да</t>
        </is>
      </c>
      <c r="K672" s="3" t="inlineStr">
        <is>
          <t>По одноименному рассказу А.П. Чехова.</t>
        </is>
      </c>
      <c r="L672" s="2" t="inlineStr">
        <is>
          <t>https://www.kino-teatr.ru/teatr/movie/14269/annot/</t>
        </is>
      </c>
      <c r="M672" s="2">
        <f>HYPERLINK("https://ru.wikipedia.org/w/index.php?search=%D0%A1%D0%BA%D1%83%D1%87%D0%BD%D0%B0%D1%8F%20%D0%B8%D1%81%D1%82%D0%BE%D1%80%D0%B8%D1%8F.%20%D0%98%D0%B7%20%D0%B7%D0%B0%D0%BF%D0%B8%D1%81%D0%BE%D0%BA%20%D1%81%D1%82%D0%B0%D1%80%D0%BE%D0%B3%D0%BE%20%D1%87%D0%B5%D0%BB%D0%BE%D0%B2%D0%B5%D0%BA%D0%B0%201968%20%D1%84%D0%B8%D0%BB%D1%8C%D0%BC","искать")</f>
        <v/>
      </c>
      <c r="N672" s="3" t="n"/>
      <c r="O672" s="2" t="n"/>
    </row>
    <row r="673">
      <c r="A673" s="2" t="n">
        <v>672</v>
      </c>
      <c r="B673" s="2" t="inlineStr">
        <is>
          <t>не сюжет</t>
        </is>
      </c>
      <c r="C673" s="2" t="n">
        <v>10488</v>
      </c>
      <c r="D673" s="3" t="inlineStr">
        <is>
          <t>В номерах</t>
        </is>
      </c>
      <c r="E673" s="2" t="n">
        <v>1973</v>
      </c>
      <c r="F673" s="2" t="inlineStr">
        <is>
          <t>фильм-спектакль</t>
        </is>
      </c>
      <c r="G673" s="2" t="inlineStr">
        <is>
          <t>Главная редакция литературно-драматических программ Центрального телевидения, Подборки фильмов, экранизации Чехова</t>
        </is>
      </c>
      <c r="H673" s="2" t="n">
        <v>37</v>
      </c>
      <c r="I673" s="2" t="inlineStr"/>
      <c r="J673" s="2" t="inlineStr">
        <is>
          <t>да</t>
        </is>
      </c>
      <c r="K673" s="3" t="inlineStr">
        <is>
          <t>По рассказам Антона Павловича Чехова.</t>
        </is>
      </c>
      <c r="L673" s="2" t="inlineStr">
        <is>
          <t>https://www.kino-teatr.ru/teatr/movie/13933/annot/</t>
        </is>
      </c>
      <c r="M673" s="2">
        <f>HYPERLINK("https://ru.wikipedia.org/w/index.php?search=%D0%92%20%D0%BD%D0%BE%D0%BC%D0%B5%D1%80%D0%B0%D1%85%201973%20%D1%84%D0%B8%D0%BB%D1%8C%D0%BC","искать")</f>
        <v/>
      </c>
      <c r="N673" s="3" t="n"/>
      <c r="O673" s="2" t="n"/>
    </row>
    <row r="674">
      <c r="A674" s="2" t="n">
        <v>673</v>
      </c>
      <c r="B674" s="2" t="inlineStr">
        <is>
          <t>не сюжет</t>
        </is>
      </c>
      <c r="C674" s="2" t="n">
        <v>7985</v>
      </c>
      <c r="D674" s="3" t="inlineStr">
        <is>
          <t>Необыкновенное лето</t>
        </is>
      </c>
      <c r="E674" s="2" t="n">
        <v>1979</v>
      </c>
      <c r="F674" s="2" t="inlineStr">
        <is>
          <t>телефильм</t>
        </is>
      </c>
      <c r="G674" s="2" t="n"/>
      <c r="H674" s="2" t="n">
        <v>38</v>
      </c>
      <c r="I674" s="2" t="inlineStr"/>
      <c r="J674" s="2" t="inlineStr">
        <is>
          <t>да</t>
        </is>
      </c>
      <c r="K674" s="3" t="inlineStr">
        <is>
          <t>Сериал по одноименному роману К.Федина</t>
        </is>
      </c>
      <c r="L674" s="2" t="inlineStr">
        <is>
          <t>Кино_СССР сводный каталог.xlsx: список телефильмов</t>
        </is>
      </c>
      <c r="M674" s="2">
        <f>HYPERLINK("https://ru.wikipedia.org/w/index.php?search=%D0%9D%D0%B5%D0%BE%D0%B1%D1%8B%D0%BA%D0%BD%D0%BE%D0%B2%D0%B5%D0%BD%D0%BD%D0%BE%D0%B5%20%D0%BB%D0%B5%D1%82%D0%BE%201979%20%D1%84%D0%B8%D0%BB%D1%8C%D0%BC","искать")</f>
        <v/>
      </c>
      <c r="N674" s="3" t="n"/>
      <c r="O674" s="2" t="n"/>
    </row>
    <row r="675">
      <c r="A675" s="2" t="n">
        <v>674</v>
      </c>
      <c r="B675" s="2" t="inlineStr">
        <is>
          <t>не сюжет</t>
        </is>
      </c>
      <c r="C675" s="2" t="n">
        <v>8316</v>
      </c>
      <c r="D675" s="3" t="inlineStr">
        <is>
          <t>Своя земля</t>
        </is>
      </c>
      <c r="E675" s="2" t="n">
        <v>1973</v>
      </c>
      <c r="F675" s="2" t="inlineStr">
        <is>
          <t>телефильм</t>
        </is>
      </c>
      <c r="G675" s="2" t="inlineStr">
        <is>
          <t>ТО «Экран»</t>
        </is>
      </c>
      <c r="H675" s="2" t="n">
        <v>38</v>
      </c>
      <c r="I675" s="2" t="inlineStr"/>
      <c r="J675" s="2" t="inlineStr">
        <is>
          <t>да</t>
        </is>
      </c>
      <c r="K675" s="3" t="inlineStr">
        <is>
          <t>По повести Ф. Абрамова «Безотцовщина».</t>
        </is>
      </c>
      <c r="L675" s="2" t="inlineStr">
        <is>
          <t>Кино_СССР сводный каталог.xlsx: список телефильмов</t>
        </is>
      </c>
      <c r="M675" s="2">
        <f>HYPERLINK("https://ru.wikipedia.org/w/index.php?search=%D0%A1%D0%B2%D0%BE%D1%8F%20%D0%B7%D0%B5%D0%BC%D0%BB%D1%8F%201973%20%D1%84%D0%B8%D0%BB%D1%8C%D0%BC","искать")</f>
        <v/>
      </c>
      <c r="N675" s="3" t="n"/>
      <c r="O675" s="2" t="n"/>
    </row>
    <row r="676">
      <c r="A676" s="2" t="n">
        <v>675</v>
      </c>
      <c r="B676" s="2" t="inlineStr">
        <is>
          <t>не сюжет</t>
        </is>
      </c>
      <c r="C676" s="2" t="n">
        <v>9818</v>
      </c>
      <c r="D676" s="3" t="inlineStr">
        <is>
          <t>После бала</t>
        </is>
      </c>
      <c r="E676" s="2" t="n">
        <v>1961</v>
      </c>
      <c r="F676" s="2" t="inlineStr">
        <is>
          <t>телефильм</t>
        </is>
      </c>
      <c r="G676" s="2" t="inlineStr">
        <is>
          <t>Главная редакция литературно-драматических программ ЦТ</t>
        </is>
      </c>
      <c r="H676" s="2" t="n">
        <v>38</v>
      </c>
      <c r="I676" s="2" t="inlineStr"/>
      <c r="J676" s="2" t="inlineStr">
        <is>
          <t>да</t>
        </is>
      </c>
      <c r="K676" s="3" t="inlineStr">
        <is>
          <t>По одноименному рассказу Л.Н.Толстого.</t>
        </is>
      </c>
      <c r="L676" s="2" t="inlineStr">
        <is>
          <t>https://www.kino-teatr.ru/short/movie/sov/12137/annot/</t>
        </is>
      </c>
      <c r="M676" s="2">
        <f>HYPERLINK("https://ru.wikipedia.org/w/index.php?search=%D0%9F%D0%BE%D1%81%D0%BB%D0%B5%20%D0%B1%D0%B0%D0%BB%D0%B0%201961%20%D1%84%D0%B8%D0%BB%D1%8C%D0%BC","искать")</f>
        <v/>
      </c>
      <c r="N676" s="3" t="n"/>
      <c r="O676" s="2" t="n"/>
    </row>
    <row r="677">
      <c r="A677" s="2" t="n">
        <v>676</v>
      </c>
      <c r="B677" s="2" t="inlineStr">
        <is>
          <t>не сюжет</t>
        </is>
      </c>
      <c r="C677" s="2" t="n">
        <v>9835</v>
      </c>
      <c r="D677" s="3" t="inlineStr">
        <is>
          <t>Подарок</t>
        </is>
      </c>
      <c r="E677" s="2" t="n">
        <v>1966</v>
      </c>
      <c r="F677" s="2" t="inlineStr">
        <is>
          <t>кинофильм</t>
        </is>
      </c>
      <c r="G677" s="2" t="inlineStr">
        <is>
          <t>Мосфильм</t>
        </is>
      </c>
      <c r="H677" s="2" t="n">
        <v>38</v>
      </c>
      <c r="I677" s="2" t="inlineStr"/>
      <c r="J677" s="2" t="inlineStr">
        <is>
          <t>да</t>
        </is>
      </c>
      <c r="K677" s="3" t="inlineStr">
        <is>
          <t>Фильм снят по заказу Госавтоинспекции.</t>
        </is>
      </c>
      <c r="L677" s="2" t="inlineStr">
        <is>
          <t>https://www.kino-teatr.ru/short/movie/sov/5261/annot/</t>
        </is>
      </c>
      <c r="M677" s="2">
        <f>HYPERLINK("https://ru.wikipedia.org/w/index.php?search=%D0%9F%D0%BE%D0%B4%D0%B0%D1%80%D0%BE%D0%BA%201966%20%D1%84%D0%B8%D0%BB%D1%8C%D0%BC","искать")</f>
        <v/>
      </c>
      <c r="N677" s="3" t="n"/>
      <c r="O677" s="2" t="n"/>
    </row>
    <row r="678">
      <c r="A678" s="2" t="n">
        <v>677</v>
      </c>
      <c r="B678" s="2" t="inlineStr">
        <is>
          <t>не сюжет</t>
        </is>
      </c>
      <c r="C678" s="2" t="n">
        <v>9926</v>
      </c>
      <c r="D678" s="3" t="inlineStr">
        <is>
          <t>Колесо</t>
        </is>
      </c>
      <c r="E678" s="2" t="n">
        <v>1977</v>
      </c>
      <c r="F678" s="2" t="inlineStr">
        <is>
          <t>телефильм</t>
        </is>
      </c>
      <c r="G678" s="2" t="inlineStr">
        <is>
          <t>Белорусское телевидение</t>
        </is>
      </c>
      <c r="H678" s="2" t="n">
        <v>38</v>
      </c>
      <c r="I678" s="2" t="inlineStr"/>
      <c r="J678" s="2" t="inlineStr">
        <is>
          <t>да</t>
        </is>
      </c>
      <c r="K678" s="3" t="inlineStr">
        <is>
          <t>По рассказу А.Дударева "Святая птица".</t>
        </is>
      </c>
      <c r="L678" s="2" t="inlineStr">
        <is>
          <t>https://www.kino-teatr.ru/short/movie/sov/37765/annot/</t>
        </is>
      </c>
      <c r="M678" s="2">
        <f>HYPERLINK("https://ru.wikipedia.org/w/index.php?search=%D0%9A%D0%BE%D0%BB%D0%B5%D1%81%D0%BE%201977%20%D1%84%D0%B8%D0%BB%D1%8C%D0%BC","искать")</f>
        <v/>
      </c>
      <c r="N678" s="3" t="n"/>
      <c r="O678" s="2" t="n"/>
    </row>
    <row r="679">
      <c r="A679" s="2" t="n">
        <v>678</v>
      </c>
      <c r="B679" s="2" t="inlineStr">
        <is>
          <t>не сюжет</t>
        </is>
      </c>
      <c r="C679" s="2" t="n">
        <v>10061</v>
      </c>
      <c r="D679" s="3" t="inlineStr">
        <is>
          <t>Два брата</t>
        </is>
      </c>
      <c r="E679" s="2" t="n">
        <v>1954</v>
      </c>
      <c r="F679" s="2" t="inlineStr">
        <is>
          <t>фильм-спектакль</t>
        </is>
      </c>
      <c r="G679" s="2" t="inlineStr">
        <is>
          <t>Ленинградское ТВ, Подборки фильмов, экранизации Лермонтова</t>
        </is>
      </c>
      <c r="H679" s="2" t="n">
        <v>38</v>
      </c>
      <c r="I679" s="2" t="inlineStr"/>
      <c r="J679" s="2" t="inlineStr">
        <is>
          <t>да</t>
        </is>
      </c>
      <c r="K679" s="3" t="inlineStr">
        <is>
          <t>Телеспектакль по пьесе М.Ю.Лермонтова.</t>
        </is>
      </c>
      <c r="L679" s="2" t="inlineStr">
        <is>
          <t>https://www.kino-teatr.ru/teatr/movie/80331/annot/</t>
        </is>
      </c>
      <c r="M679" s="2">
        <f>HYPERLINK("https://ru.wikipedia.org/w/index.php?search=%D0%94%D0%B2%D0%B0%20%D0%B1%D1%80%D0%B0%D1%82%D0%B0%201954%20%D1%84%D0%B8%D0%BB%D1%8C%D0%BC","искать")</f>
        <v/>
      </c>
      <c r="N679" s="3" t="n"/>
      <c r="O679" s="2" t="n"/>
    </row>
    <row r="680">
      <c r="A680" s="2" t="n">
        <v>679</v>
      </c>
      <c r="B680" s="2" t="inlineStr">
        <is>
          <t>не сюжет</t>
        </is>
      </c>
      <c r="C680" s="2" t="n">
        <v>10248</v>
      </c>
      <c r="D680" s="3" t="inlineStr">
        <is>
          <t>Зыковы</t>
        </is>
      </c>
      <c r="E680" s="2" t="n">
        <v>1968</v>
      </c>
      <c r="F680" s="2" t="inlineStr">
        <is>
          <t>фильм-спектакль</t>
        </is>
      </c>
      <c r="G680" s="2" t="inlineStr">
        <is>
          <t>Ленинградское ТВ</t>
        </is>
      </c>
      <c r="H680" s="2" t="n">
        <v>38</v>
      </c>
      <c r="I680" s="2" t="inlineStr"/>
      <c r="J680" s="2" t="inlineStr">
        <is>
          <t>да</t>
        </is>
      </c>
      <c r="K680" s="3" t="inlineStr">
        <is>
          <t>По одноименной пьесе Максима Горького.</t>
        </is>
      </c>
      <c r="L680" s="2" t="inlineStr">
        <is>
          <t>https://www.kino-teatr.ru/teatr/movie/80909/annot/</t>
        </is>
      </c>
      <c r="M680" s="2">
        <f>HYPERLINK("https://ru.wikipedia.org/w/index.php?search=%D0%97%D1%8B%D0%BA%D0%BE%D0%B2%D1%8B%201968%20%D1%84%D0%B8%D0%BB%D1%8C%D0%BC","искать")</f>
        <v/>
      </c>
      <c r="N680" s="3" t="n"/>
      <c r="O680" s="2" t="n"/>
    </row>
    <row r="681">
      <c r="A681" s="2" t="n">
        <v>680</v>
      </c>
      <c r="B681" s="2" t="inlineStr">
        <is>
          <t>не сюжет</t>
        </is>
      </c>
      <c r="C681" s="2" t="n">
        <v>10687</v>
      </c>
      <c r="D681" s="3" t="inlineStr">
        <is>
          <t>Доходное место</t>
        </is>
      </c>
      <c r="E681" s="2" t="n">
        <v>1977</v>
      </c>
      <c r="F681" s="2" t="inlineStr">
        <is>
          <t>фильм-спектакль</t>
        </is>
      </c>
      <c r="G681" s="2" t="inlineStr">
        <is>
          <t>Главная редакция литературно-драматических программ ЦТ</t>
        </is>
      </c>
      <c r="H681" s="2" t="n">
        <v>38</v>
      </c>
      <c r="I681" s="2" t="inlineStr"/>
      <c r="J681" s="2" t="inlineStr">
        <is>
          <t>да</t>
        </is>
      </c>
      <c r="K681" s="3" t="inlineStr">
        <is>
          <t>По одноименной пьесе А.Н. Островского.</t>
        </is>
      </c>
      <c r="L681" s="2" t="inlineStr">
        <is>
          <t>https://www.kino-teatr.ru/teatr/movie/2013/annot/</t>
        </is>
      </c>
      <c r="M681" s="2">
        <f>HYPERLINK("https://ru.wikipedia.org/w/index.php?search=%D0%94%D0%BE%D1%85%D0%BE%D0%B4%D0%BD%D0%BE%D0%B5%20%D0%BC%D0%B5%D1%81%D1%82%D0%BE%201977%20%D1%84%D0%B8%D0%BB%D1%8C%D0%BC","искать")</f>
        <v/>
      </c>
      <c r="N681" s="3" t="n"/>
      <c r="O681" s="2" t="n"/>
    </row>
    <row r="682">
      <c r="A682" s="2" t="n">
        <v>681</v>
      </c>
      <c r="B682" s="2" t="inlineStr">
        <is>
          <t>не сюжет</t>
        </is>
      </c>
      <c r="C682" s="2" t="n">
        <v>11096</v>
      </c>
      <c r="D682" s="3" t="inlineStr">
        <is>
          <t>Будильник. Рассказы А.П.Чехова</t>
        </is>
      </c>
      <c r="E682" s="2" t="n">
        <v>1986</v>
      </c>
      <c r="F682" s="2" t="inlineStr">
        <is>
          <t>фильм-спектакль</t>
        </is>
      </c>
      <c r="G682" s="2" t="inlineStr">
        <is>
          <t>Студия детских и юношеских программ ЦТ, Подборки фильмов, экранизации Чехова</t>
        </is>
      </c>
      <c r="H682" s="2" t="n">
        <v>38</v>
      </c>
      <c r="I682" s="2" t="inlineStr"/>
      <c r="J682" s="2" t="inlineStr">
        <is>
          <t>да</t>
        </is>
      </c>
      <c r="K682" s="3" t="inlineStr">
        <is>
          <t>Телеспектакль по рассказам А.П.Чехова.</t>
        </is>
      </c>
      <c r="L682" s="2" t="inlineStr">
        <is>
          <t>https://www.kino-teatr.ru/teatr/movie/2509/annot/</t>
        </is>
      </c>
      <c r="M682" s="2">
        <f>HYPERLINK("https://ru.wikipedia.org/w/index.php?search=%D0%91%D1%83%D0%B4%D0%B8%D0%BB%D1%8C%D0%BD%D0%B8%D0%BA.%20%D0%A0%D0%B0%D1%81%D1%81%D0%BA%D0%B0%D0%B7%D1%8B%20%D0%90.%D0%9F.%D0%A7%D0%B5%D1%85%D0%BE%D0%B2%D0%B0%201986%20%D1%84%D0%B8%D0%BB%D1%8C%D0%BC","искать")</f>
        <v/>
      </c>
      <c r="N682" s="3" t="n"/>
      <c r="O682" s="2" t="n"/>
    </row>
    <row r="683">
      <c r="A683" s="2" t="n">
        <v>682</v>
      </c>
      <c r="B683" s="2" t="inlineStr">
        <is>
          <t>не сюжет</t>
        </is>
      </c>
      <c r="C683" s="2" t="n">
        <v>11242</v>
      </c>
      <c r="D683" s="3" t="inlineStr">
        <is>
          <t>Янтарь для короны дочери султана</t>
        </is>
      </c>
      <c r="E683" s="2" t="n">
        <v>1988</v>
      </c>
      <c r="F683" s="2" t="inlineStr">
        <is>
          <t>фильм-спектакль</t>
        </is>
      </c>
      <c r="G683" s="2" t="inlineStr">
        <is>
          <t>Литовское телевидение</t>
        </is>
      </c>
      <c r="H683" s="2" t="n">
        <v>38</v>
      </c>
      <c r="I683" s="2" t="inlineStr"/>
      <c r="J683" s="2" t="inlineStr">
        <is>
          <t>да</t>
        </is>
      </c>
      <c r="K683" s="3" t="inlineStr">
        <is>
          <t>По мотивам сказки А.Лёбите "Куршюкас".</t>
        </is>
      </c>
      <c r="L683" s="2" t="inlineStr">
        <is>
          <t>https://www.kino-teatr.ru/teatr/movie/107922/annot/</t>
        </is>
      </c>
      <c r="M683" s="2">
        <f>HYPERLINK("https://ru.wikipedia.org/w/index.php?search=%D0%AF%D0%BD%D1%82%D0%B0%D1%80%D1%8C%20%D0%B4%D0%BB%D1%8F%20%D0%BA%D0%BE%D1%80%D0%BE%D0%BD%D1%8B%20%D0%B4%D0%BE%D1%87%D0%B5%D1%80%D0%B8%20%D1%81%D1%83%D0%BB%D1%82%D0%B0%D0%BD%D0%B0%201988%20%D1%84%D0%B8%D0%BB%D1%8C%D0%BC","искать")</f>
        <v/>
      </c>
      <c r="N683" s="3" t="n"/>
      <c r="O683" s="2" t="n"/>
    </row>
    <row r="684">
      <c r="A684" s="2" t="n">
        <v>683</v>
      </c>
      <c r="B684" s="2" t="inlineStr">
        <is>
          <t>не сюжет</t>
        </is>
      </c>
      <c r="C684" s="2" t="n">
        <v>8732</v>
      </c>
      <c r="D684" s="3" t="inlineStr">
        <is>
          <t>Засуха</t>
        </is>
      </c>
      <c r="E684" s="2" t="n">
        <v>1933</v>
      </c>
      <c r="F684" s="2" t="inlineStr">
        <is>
          <t>кинофильм</t>
        </is>
      </c>
      <c r="G684" s="2" t="n"/>
      <c r="H684" s="2" t="n">
        <v>39</v>
      </c>
      <c r="I684" s="2" t="inlineStr"/>
      <c r="J684" s="2" t="inlineStr">
        <is>
          <t>да</t>
        </is>
      </c>
      <c r="K684" s="3" t="inlineStr">
        <is>
          <t>Киноповесть о простых труженниках села.</t>
        </is>
      </c>
      <c r="L684" s="2" t="inlineStr">
        <is>
          <t>Кино_СССР сводный каталог.xlsx: список фильмов (доп.)</t>
        </is>
      </c>
      <c r="M684" s="2">
        <f>HYPERLINK("https://ru.wikipedia.org/w/index.php?search=%D0%97%D0%B0%D1%81%D1%83%D1%85%D0%B0%201933%20%D1%84%D0%B8%D0%BB%D1%8C%D0%BC","искать")</f>
        <v/>
      </c>
      <c r="N684" s="3" t="n"/>
      <c r="O684" s="2" t="n"/>
    </row>
    <row r="685">
      <c r="A685" s="2" t="n">
        <v>684</v>
      </c>
      <c r="B685" s="2" t="inlineStr">
        <is>
          <t>не сюжет</t>
        </is>
      </c>
      <c r="C685" s="2" t="n">
        <v>10139</v>
      </c>
      <c r="D685" s="3" t="inlineStr">
        <is>
          <t>Верный робот</t>
        </is>
      </c>
      <c r="E685" s="2" t="n">
        <v>1965</v>
      </c>
      <c r="F685" s="2" t="inlineStr">
        <is>
          <t>фильм-спектакль</t>
        </is>
      </c>
      <c r="G685" s="2" t="inlineStr">
        <is>
          <t>Ленинградское телевидение, Подборки фильмов, экранизации Станислава Лема</t>
        </is>
      </c>
      <c r="H685" s="2" t="n">
        <v>39</v>
      </c>
      <c r="I685" s="2" t="inlineStr"/>
      <c r="J685" s="2" t="inlineStr">
        <is>
          <t>да</t>
        </is>
      </c>
      <c r="K685" s="3" t="inlineStr">
        <is>
          <t>Телеспектакль по пьесе Станислава Лема.</t>
        </is>
      </c>
      <c r="L685" s="2" t="inlineStr">
        <is>
          <t>https://www.kino-teatr.ru/teatr/movie/108975/annot/</t>
        </is>
      </c>
      <c r="M685" s="2">
        <f>HYPERLINK("https://ru.wikipedia.org/w/index.php?search=%D0%92%D0%B5%D1%80%D0%BD%D1%8B%D0%B9%20%D1%80%D0%BE%D0%B1%D0%BE%D1%82%201965%20%D1%84%D0%B8%D0%BB%D1%8C%D0%BC","искать")</f>
        <v/>
      </c>
      <c r="N685" s="3" t="n"/>
      <c r="O685" s="2" t="n"/>
    </row>
    <row r="686">
      <c r="A686" s="2" t="n">
        <v>685</v>
      </c>
      <c r="B686" s="2" t="inlineStr">
        <is>
          <t>не сюжет</t>
        </is>
      </c>
      <c r="C686" s="2" t="n">
        <v>10152</v>
      </c>
      <c r="D686" s="3" t="inlineStr">
        <is>
          <t>Понедельник начинается в субботу</t>
        </is>
      </c>
      <c r="E686" s="2" t="n">
        <v>1965</v>
      </c>
      <c r="F686" s="2" t="inlineStr">
        <is>
          <t>фильм-спектакль</t>
        </is>
      </c>
      <c r="G686" s="2" t="inlineStr">
        <is>
          <t>Ленинградская студия ТВ</t>
        </is>
      </c>
      <c r="H686" s="2" t="n">
        <v>39</v>
      </c>
      <c r="I686" s="2" t="inlineStr"/>
      <c r="J686" s="2" t="inlineStr">
        <is>
          <t>да</t>
        </is>
      </c>
      <c r="K686" s="3" t="inlineStr">
        <is>
          <t>Инсценировка романа А. и Б. Стругацких.</t>
        </is>
      </c>
      <c r="L686" s="2" t="inlineStr">
        <is>
          <t>https://www.kino-teatr.ru/teatr/movie/117146/annot/</t>
        </is>
      </c>
      <c r="M686" s="2">
        <f>HYPERLINK("https://ru.wikipedia.org/w/index.php?search=%D0%9F%D0%BE%D0%BD%D0%B5%D0%B4%D0%B5%D0%BB%D1%8C%D0%BD%D0%B8%D0%BA%20%D0%BD%D0%B0%D1%87%D0%B8%D0%BD%D0%B0%D0%B5%D1%82%D1%81%D1%8F%20%D0%B2%20%D1%81%D1%83%D0%B1%D0%B1%D0%BE%D1%82%D1%83%201965%20%D1%84%D0%B8%D0%BB%D1%8C%D0%BC","искать")</f>
        <v/>
      </c>
      <c r="N686" s="3" t="n"/>
      <c r="O686" s="2" t="n"/>
    </row>
    <row r="687">
      <c r="A687" s="2" t="n">
        <v>686</v>
      </c>
      <c r="B687" s="2" t="inlineStr">
        <is>
          <t>не сюжет</t>
        </is>
      </c>
      <c r="C687" s="2" t="n">
        <v>10160</v>
      </c>
      <c r="D687" s="3" t="inlineStr">
        <is>
          <t>Бегут дороги</t>
        </is>
      </c>
      <c r="E687" s="2" t="n">
        <v>1966</v>
      </c>
      <c r="F687" s="2" t="inlineStr">
        <is>
          <t>фильм-спектакль</t>
        </is>
      </c>
      <c r="G687" s="2" t="inlineStr">
        <is>
          <t>Центральное телевидение</t>
        </is>
      </c>
      <c r="H687" s="2" t="n">
        <v>39</v>
      </c>
      <c r="I687" s="2" t="inlineStr"/>
      <c r="J687" s="2" t="inlineStr">
        <is>
          <t>да</t>
        </is>
      </c>
      <c r="K687" s="3" t="inlineStr">
        <is>
          <t>По повести В.Пистоленко "Бегут дороги".</t>
        </is>
      </c>
      <c r="L687" s="2" t="inlineStr">
        <is>
          <t>https://www.kino-teatr.ru/teatr/movie/136897/annot/</t>
        </is>
      </c>
      <c r="M687" s="2">
        <f>HYPERLINK("https://ru.wikipedia.org/w/index.php?search=%D0%91%D0%B5%D0%B3%D1%83%D1%82%20%D0%B4%D0%BE%D1%80%D0%BE%D0%B3%D0%B8%201966%20%D1%84%D0%B8%D0%BB%D1%8C%D0%BC","искать")</f>
        <v/>
      </c>
      <c r="N687" s="3" t="n"/>
      <c r="O687" s="2" t="n"/>
    </row>
    <row r="688">
      <c r="A688" s="2" t="n">
        <v>687</v>
      </c>
      <c r="B688" s="2" t="inlineStr">
        <is>
          <t>не сюжет</t>
        </is>
      </c>
      <c r="C688" s="2" t="n">
        <v>10727</v>
      </c>
      <c r="D688" s="3" t="inlineStr">
        <is>
          <t>Бенефис Людмилы Гурченко</t>
        </is>
      </c>
      <c r="E688" s="2" t="n">
        <v>1978</v>
      </c>
      <c r="F688" s="2" t="inlineStr">
        <is>
          <t>фильм-спектакль</t>
        </is>
      </c>
      <c r="G688" s="2" t="inlineStr">
        <is>
          <t>Главная редакция музыкальных программ ЦТ</t>
        </is>
      </c>
      <c r="H688" s="2" t="n">
        <v>39</v>
      </c>
      <c r="I688" s="2" t="inlineStr"/>
      <c r="J688" s="2" t="inlineStr">
        <is>
          <t>да</t>
        </is>
      </c>
      <c r="K688" s="3" t="inlineStr">
        <is>
          <t>Телевизионный бенефис Людмилы Гурченко.</t>
        </is>
      </c>
      <c r="L688" s="2" t="inlineStr">
        <is>
          <t>https://www.kino-teatr.ru/teatr/movie/82403/annot/</t>
        </is>
      </c>
      <c r="M688" s="2">
        <f>HYPERLINK("https://ru.wikipedia.org/w/index.php?search=%D0%91%D0%B5%D0%BD%D0%B5%D1%84%D0%B8%D1%81%20%D0%9B%D1%8E%D0%B4%D0%BC%D0%B8%D0%BB%D1%8B%20%D0%93%D1%83%D1%80%D1%87%D0%B5%D0%BD%D0%BA%D0%BE%201978%20%D1%84%D0%B8%D0%BB%D1%8C%D0%BC","искать")</f>
        <v/>
      </c>
      <c r="N688" s="3" t="n"/>
      <c r="O688" s="2" t="n"/>
    </row>
    <row r="689">
      <c r="A689" s="2" t="n">
        <v>688</v>
      </c>
      <c r="B689" s="2" t="inlineStr">
        <is>
          <t>не сюжет</t>
        </is>
      </c>
      <c r="C689" s="2" t="n">
        <v>8244</v>
      </c>
      <c r="D689" s="3" t="inlineStr">
        <is>
          <t>Пусть он выступит</t>
        </is>
      </c>
      <c r="E689" s="2" t="n">
        <v>1981</v>
      </c>
      <c r="F689" s="2" t="inlineStr">
        <is>
          <t>телефильм</t>
        </is>
      </c>
      <c r="G689" s="2" t="n"/>
      <c r="H689" s="2" t="n">
        <v>40</v>
      </c>
      <c r="I689" s="2" t="inlineStr"/>
      <c r="J689" s="2" t="inlineStr">
        <is>
          <t>да</t>
        </is>
      </c>
      <c r="K689" s="3" t="inlineStr">
        <is>
          <t>Экранизация пьесы Джека Лондона "Кража".</t>
        </is>
      </c>
      <c r="L689" s="2" t="inlineStr">
        <is>
          <t>Кино_СССР сводный каталог.xlsx: список телефильмов</t>
        </is>
      </c>
      <c r="M689" s="2">
        <f>HYPERLINK("https://ru.wikipedia.org/w/index.php?search=%D0%9F%D1%83%D1%81%D1%82%D1%8C%20%D0%BE%D0%BD%20%D0%B2%D1%8B%D1%81%D1%82%D1%83%D0%BF%D0%B8%D1%82%201981%20%D1%84%D0%B8%D0%BB%D1%8C%D0%BC","искать")</f>
        <v/>
      </c>
      <c r="N689" s="3" t="n"/>
      <c r="O689" s="2" t="n"/>
    </row>
    <row r="690">
      <c r="A690" s="2" t="n">
        <v>689</v>
      </c>
      <c r="B690" s="2" t="inlineStr">
        <is>
          <t>не сюжет</t>
        </is>
      </c>
      <c r="C690" s="2" t="n">
        <v>8430</v>
      </c>
      <c r="D690" s="3" t="inlineStr">
        <is>
          <t>Тайна Эдвина Друда</t>
        </is>
      </c>
      <c r="E690" s="2" t="n">
        <v>1980</v>
      </c>
      <c r="F690" s="2" t="inlineStr">
        <is>
          <t>телефильм</t>
        </is>
      </c>
      <c r="G690" s="2" t="inlineStr">
        <is>
          <t>Главная редакция литературно-драматических программ ЦТ СССР</t>
        </is>
      </c>
      <c r="H690" s="2" t="n">
        <v>40</v>
      </c>
      <c r="I690" s="2" t="inlineStr"/>
      <c r="J690" s="2" t="inlineStr">
        <is>
          <t>да</t>
        </is>
      </c>
      <c r="K690" s="3" t="inlineStr">
        <is>
          <t>По одноименному роману Чарльза Диккенса.</t>
        </is>
      </c>
      <c r="L690" s="2" t="inlineStr">
        <is>
          <t>Кино_СССР сводный каталог.xlsx: список телефильмов</t>
        </is>
      </c>
      <c r="M690" s="2">
        <f>HYPERLINK("https://ru.wikipedia.org/w/index.php?search=%D0%A2%D0%B0%D0%B9%D0%BD%D0%B0%20%D0%AD%D0%B4%D0%B2%D0%B8%D0%BD%D0%B0%20%D0%94%D1%80%D1%83%D0%B4%D0%B0%201980%20%D1%84%D0%B8%D0%BB%D1%8C%D0%BC","искать")</f>
        <v/>
      </c>
      <c r="N690" s="3" t="n"/>
      <c r="O690" s="2" t="n"/>
    </row>
    <row r="691">
      <c r="A691" s="2" t="n">
        <v>690</v>
      </c>
      <c r="B691" s="2" t="inlineStr">
        <is>
          <t>не сюжет</t>
        </is>
      </c>
      <c r="C691" s="2" t="n">
        <v>8626</v>
      </c>
      <c r="D691" s="3" t="inlineStr">
        <is>
          <t>Аршак</t>
        </is>
      </c>
      <c r="E691" s="2" t="n">
        <v>1973</v>
      </c>
      <c r="F691" s="2" t="inlineStr">
        <is>
          <t>кинофильм</t>
        </is>
      </c>
      <c r="G691" s="2" t="n"/>
      <c r="H691" s="2" t="n">
        <v>40</v>
      </c>
      <c r="I691" s="2" t="inlineStr"/>
      <c r="J691" s="2" t="inlineStr">
        <is>
          <t>да</t>
        </is>
      </c>
      <c r="K691" s="3" t="inlineStr">
        <is>
          <t>О беспризорных детях Еревана 20-х годов.</t>
        </is>
      </c>
      <c r="L691" s="2" t="inlineStr">
        <is>
          <t>Кино_СССР сводный каталог.xlsx: список фильмов (доп.)</t>
        </is>
      </c>
      <c r="M691" s="2">
        <f>HYPERLINK("https://ru.wikipedia.org/w/index.php?search=%D0%90%D1%80%D1%88%D0%B0%D0%BA%201973%20%D1%84%D0%B8%D0%BB%D1%8C%D0%BC","искать")</f>
        <v/>
      </c>
      <c r="N691" s="3" t="n"/>
      <c r="O691" s="2" t="n"/>
    </row>
    <row r="692">
      <c r="A692" s="2" t="n">
        <v>691</v>
      </c>
      <c r="B692" s="2" t="inlineStr">
        <is>
          <t>не сюжет</t>
        </is>
      </c>
      <c r="C692" s="2" t="n">
        <v>8702</v>
      </c>
      <c r="D692" s="3" t="inlineStr">
        <is>
          <t>Директивный бант</t>
        </is>
      </c>
      <c r="E692" s="2" t="n">
        <v>1932</v>
      </c>
      <c r="F692" s="2" t="inlineStr">
        <is>
          <t>кинофильм</t>
        </is>
      </c>
      <c r="G692" s="2" t="n"/>
      <c r="H692" s="2" t="n">
        <v>40</v>
      </c>
      <c r="I692" s="2" t="inlineStr"/>
      <c r="J692" s="2" t="inlineStr">
        <is>
          <t>да</t>
        </is>
      </c>
      <c r="K692" s="3" t="inlineStr">
        <is>
          <t>По мотивам произведения Ильфа и Петрова.</t>
        </is>
      </c>
      <c r="L692" s="2" t="inlineStr">
        <is>
          <t>Кино_СССР сводный каталог.xlsx: список фильмов (доп.)</t>
        </is>
      </c>
      <c r="M692" s="2">
        <f>HYPERLINK("https://ru.wikipedia.org/w/index.php?search=%D0%94%D0%B8%D1%80%D0%B5%D0%BA%D1%82%D0%B8%D0%B2%D0%BD%D1%8B%D0%B9%20%D0%B1%D0%B0%D0%BD%D1%82%201932%20%D1%84%D0%B8%D0%BB%D1%8C%D0%BC","искать")</f>
        <v/>
      </c>
      <c r="N692" s="3" t="n"/>
      <c r="O692" s="2" t="n"/>
    </row>
    <row r="693">
      <c r="A693" s="2" t="n">
        <v>692</v>
      </c>
      <c r="B693" s="2" t="inlineStr">
        <is>
          <t>не сюжет</t>
        </is>
      </c>
      <c r="C693" s="2" t="n">
        <v>10058</v>
      </c>
      <c r="D693" s="3" t="inlineStr">
        <is>
          <t>Шинель</t>
        </is>
      </c>
      <c r="E693" s="2" t="n">
        <v>1991</v>
      </c>
      <c r="F693" s="2" t="inlineStr">
        <is>
          <t>телефильм</t>
        </is>
      </c>
      <c r="G693" s="2" t="n"/>
      <c r="H693" s="2" t="n">
        <v>40</v>
      </c>
      <c r="I693" s="2" t="inlineStr"/>
      <c r="J693" s="2" t="inlineStr">
        <is>
          <t>да</t>
        </is>
      </c>
      <c r="K693" s="3" t="inlineStr">
        <is>
          <t>Фильм поставлен по новелле Дино Буццати.</t>
        </is>
      </c>
      <c r="L693" s="2" t="inlineStr">
        <is>
          <t>https://www.kino-teatr.ru/short/movie/sov/105665/annot/</t>
        </is>
      </c>
      <c r="M693" s="2">
        <f>HYPERLINK("https://ru.wikipedia.org/w/index.php?search=%D0%A8%D0%B8%D0%BD%D0%B5%D0%BB%D1%8C%201991%20%D1%84%D0%B8%D0%BB%D1%8C%D0%BC","искать")</f>
        <v/>
      </c>
      <c r="N693" s="3" t="n"/>
      <c r="O693" s="2" t="n"/>
    </row>
    <row r="694">
      <c r="A694" s="2" t="n">
        <v>693</v>
      </c>
      <c r="B694" s="2" t="inlineStr">
        <is>
          <t>не сюжет</t>
        </is>
      </c>
      <c r="C694" s="2" t="n">
        <v>10142</v>
      </c>
      <c r="D694" s="3" t="inlineStr">
        <is>
          <t>Жизнь Галилея</t>
        </is>
      </c>
      <c r="E694" s="2" t="n">
        <v>1965</v>
      </c>
      <c r="F694" s="2" t="inlineStr">
        <is>
          <t>фильм-спектакль</t>
        </is>
      </c>
      <c r="G694" s="2" t="inlineStr">
        <is>
          <t>Ленинградское ТВ</t>
        </is>
      </c>
      <c r="H694" s="2" t="n">
        <v>40</v>
      </c>
      <c r="I694" s="2" t="inlineStr"/>
      <c r="J694" s="2" t="inlineStr">
        <is>
          <t>да</t>
        </is>
      </c>
      <c r="K694" s="3" t="inlineStr">
        <is>
          <t>Телеспектакль по пьесе Бертольта Брехта.</t>
        </is>
      </c>
      <c r="L694" s="2" t="inlineStr">
        <is>
          <t>https://www.kino-teatr.ru/teatr/movie/17106/annot/</t>
        </is>
      </c>
      <c r="M694" s="2">
        <f>HYPERLINK("https://ru.wikipedia.org/w/index.php?search=%D0%96%D0%B8%D0%B7%D0%BD%D1%8C%20%D0%93%D0%B0%D0%BB%D0%B8%D0%BB%D0%B5%D1%8F%201965%20%D1%84%D0%B8%D0%BB%D1%8C%D0%BC","искать")</f>
        <v/>
      </c>
      <c r="N694" s="3" t="n"/>
      <c r="O694" s="2" t="n"/>
    </row>
    <row r="695">
      <c r="A695" s="2" t="n">
        <v>694</v>
      </c>
      <c r="B695" s="2" t="inlineStr">
        <is>
          <t>не сюжет</t>
        </is>
      </c>
      <c r="C695" s="2" t="n">
        <v>11266</v>
      </c>
      <c r="D695" s="3" t="inlineStr">
        <is>
          <t>Мёртвые души</t>
        </is>
      </c>
      <c r="E695" s="2" t="n">
        <v>1989</v>
      </c>
      <c r="F695" s="2" t="inlineStr">
        <is>
          <t>фильм-спектакль</t>
        </is>
      </c>
      <c r="G695" s="2" t="inlineStr">
        <is>
          <t>Челябинский театр кукол "Лабиринт", Челябинское телевидение</t>
        </is>
      </c>
      <c r="H695" s="2" t="n">
        <v>40</v>
      </c>
      <c r="I695" s="2" t="inlineStr"/>
      <c r="J695" s="2" t="inlineStr">
        <is>
          <t>да</t>
        </is>
      </c>
      <c r="K695" s="3" t="inlineStr">
        <is>
          <t>По мотивам одноимённой поэмы Н.В.Гоголя.</t>
        </is>
      </c>
      <c r="L695" s="2" t="inlineStr">
        <is>
          <t>https://www.kino-teatr.ru/teatr/movie/110039/annot/</t>
        </is>
      </c>
      <c r="M695" s="2">
        <f>HYPERLINK("https://ru.wikipedia.org/w/index.php?search=%D0%9C%D1%91%D1%80%D1%82%D0%B2%D1%8B%D0%B5%20%D0%B4%D1%83%D1%88%D0%B8%201989%20%D1%84%D0%B8%D0%BB%D1%8C%D0%BC","искать")</f>
        <v/>
      </c>
      <c r="N695" s="3" t="n"/>
      <c r="O695" s="2" t="n"/>
    </row>
    <row r="696">
      <c r="A696" s="2" t="n">
        <v>695</v>
      </c>
      <c r="B696" s="2" t="inlineStr">
        <is>
          <t>не сюжет</t>
        </is>
      </c>
      <c r="C696" s="2" t="n">
        <v>8886</v>
      </c>
      <c r="D696" s="3" t="inlineStr">
        <is>
          <t>Оберег</t>
        </is>
      </c>
      <c r="E696" s="2" t="n">
        <v>1991</v>
      </c>
      <c r="F696" s="2" t="inlineStr">
        <is>
          <t>кинофильм</t>
        </is>
      </c>
      <c r="G696" s="2" t="inlineStr">
        <is>
          <t>к/с им. Довженко</t>
        </is>
      </c>
      <c r="H696" s="2" t="n">
        <v>41</v>
      </c>
      <c r="I696" s="2" t="inlineStr"/>
      <c r="J696" s="2" t="inlineStr">
        <is>
          <t>да</t>
        </is>
      </c>
      <c r="K696" s="3" t="inlineStr">
        <is>
          <t>По мотивам произведения Владимира Дрозда.</t>
        </is>
      </c>
      <c r="L696" s="2" t="inlineStr">
        <is>
          <t>Кино_СССР сводный каталог.xlsx: список фильмов (доп.)</t>
        </is>
      </c>
      <c r="M696" s="2">
        <f>HYPERLINK("https://ru.wikipedia.org/w/index.php?search=%D0%9E%D0%B1%D0%B5%D1%80%D0%B5%D0%B3%201991%20%D1%84%D0%B8%D0%BB%D1%8C%D0%BC","искать")</f>
        <v/>
      </c>
      <c r="N696" s="3" t="n"/>
      <c r="O696" s="2" t="n"/>
    </row>
    <row r="697">
      <c r="A697" s="2" t="n">
        <v>696</v>
      </c>
      <c r="B697" s="2" t="inlineStr">
        <is>
          <t>не сюжет</t>
        </is>
      </c>
      <c r="C697" s="2" t="n">
        <v>10219</v>
      </c>
      <c r="D697" s="3" t="inlineStr">
        <is>
          <t>Сказка о Мите и Маше, о Весёлом Трубочисте и Мастере Золотые Руки</t>
        </is>
      </c>
      <c r="E697" s="2" t="n">
        <v>1967</v>
      </c>
      <c r="F697" s="2" t="inlineStr">
        <is>
          <t>фильм-спектакль</t>
        </is>
      </c>
      <c r="G697" s="2" t="inlineStr">
        <is>
          <t>Ленинградское ТВ</t>
        </is>
      </c>
      <c r="H697" s="2" t="n">
        <v>41</v>
      </c>
      <c r="I697" s="2" t="inlineStr"/>
      <c r="J697" s="2" t="inlineStr">
        <is>
          <t>да</t>
        </is>
      </c>
      <c r="K697" s="3" t="inlineStr">
        <is>
          <t>По одноимённой сказке Вениамина Каверина.</t>
        </is>
      </c>
      <c r="L697" s="2" t="inlineStr">
        <is>
          <t>https://www.kino-teatr.ru/teatr/movie/92896/annot/</t>
        </is>
      </c>
      <c r="M697" s="2">
        <f>HYPERLINK("https://ru.wikipedia.org/w/index.php?search=%D0%A1%D0%BA%D0%B0%D0%B7%D0%BA%D0%B0%20%D0%BE%20%D0%9C%D0%B8%D1%82%D0%B5%20%D0%B8%20%D0%9C%D0%B0%D1%88%D0%B5%2C%20%D0%BE%20%D0%92%D0%B5%D1%81%D1%91%D0%BB%D0%BE%D0%BC%20%D0%A2%D1%80%D1%83%D0%B1%D0%BE%D1%87%D0%B8%D1%81%D1%82%D0%B5%20%D0%B8%20%D0%9C%D0%B0%D1%81%D1%82%D0%B5%D1%80%D0%B5%20%D0%97%D0%BE%D0%BB%D0%BE%D1%82%D1%8B%D0%B5%20%D0%A0%D1%83%D0%BA%D0%B8%201967%20%D1%84%D0%B8%D0%BB%D1%8C%D0%BC","искать")</f>
        <v/>
      </c>
      <c r="N697" s="3" t="n"/>
      <c r="O697" s="2" t="n"/>
    </row>
    <row r="698">
      <c r="A698" s="2" t="n">
        <v>697</v>
      </c>
      <c r="B698" s="2" t="inlineStr">
        <is>
          <t>не сюжет</t>
        </is>
      </c>
      <c r="C698" s="2" t="n">
        <v>10623</v>
      </c>
      <c r="D698" s="3" t="inlineStr">
        <is>
          <t>Руки человеческие</t>
        </is>
      </c>
      <c r="E698" s="2" t="n">
        <v>1975</v>
      </c>
      <c r="F698" s="2" t="inlineStr">
        <is>
          <t>фильм-спектакль</t>
        </is>
      </c>
      <c r="G698" s="2" t="n"/>
      <c r="H698" s="2" t="n">
        <v>41</v>
      </c>
      <c r="I698" s="2" t="inlineStr"/>
      <c r="J698" s="2" t="inlineStr">
        <is>
          <t>да</t>
        </is>
      </c>
      <c r="K698" s="3" t="inlineStr">
        <is>
          <t>По произведению Константина Паустовского.</t>
        </is>
      </c>
      <c r="L698" s="2" t="inlineStr">
        <is>
          <t>https://www.kino-teatr.ru/teatr/movie/98108/annot/</t>
        </is>
      </c>
      <c r="M698" s="2">
        <f>HYPERLINK("https://ru.wikipedia.org/w/index.php?search=%D0%A0%D1%83%D0%BA%D0%B8%20%D1%87%D0%B5%D0%BB%D0%BE%D0%B2%D0%B5%D1%87%D0%B5%D1%81%D0%BA%D0%B8%D0%B5%201975%20%D1%84%D0%B8%D0%BB%D1%8C%D0%BC","искать")</f>
        <v/>
      </c>
      <c r="N698" s="3" t="n"/>
      <c r="O698" s="2" t="n"/>
    </row>
    <row r="699">
      <c r="A699" s="2" t="n">
        <v>698</v>
      </c>
      <c r="B699" s="2" t="inlineStr">
        <is>
          <t>не сюжет</t>
        </is>
      </c>
      <c r="C699" s="2" t="n">
        <v>11228</v>
      </c>
      <c r="D699" s="3" t="inlineStr">
        <is>
          <t>Собачье сердце</t>
        </is>
      </c>
      <c r="E699" s="2" t="n">
        <v>1988</v>
      </c>
      <c r="F699" s="2" t="inlineStr">
        <is>
          <t>фильм-спектакль</t>
        </is>
      </c>
      <c r="G699" s="2" t="inlineStr">
        <is>
          <t>Эстонское телевидение</t>
        </is>
      </c>
      <c r="H699" s="2" t="n">
        <v>41</v>
      </c>
      <c r="I699" s="2" t="inlineStr"/>
      <c r="J699" s="2" t="inlineStr">
        <is>
          <t>да</t>
        </is>
      </c>
      <c r="K699" s="3" t="inlineStr">
        <is>
          <t>По одноименной повести Михаила Булгакова.</t>
        </is>
      </c>
      <c r="L699" s="2" t="inlineStr">
        <is>
          <t>https://www.kino-teatr.ru/teatr/movie/88960/annot/</t>
        </is>
      </c>
      <c r="M699" s="2">
        <f>HYPERLINK("https://ru.wikipedia.org/w/index.php?search=%D0%A1%D0%BE%D0%B1%D0%B0%D1%87%D1%8C%D0%B5%20%D1%81%D0%B5%D1%80%D0%B4%D1%86%D0%B5%201988%20%D1%84%D0%B8%D0%BB%D1%8C%D0%BC","искать")</f>
        <v/>
      </c>
      <c r="N699" s="3" t="n"/>
      <c r="O699" s="2" t="n"/>
    </row>
    <row r="700">
      <c r="A700" s="2" t="n">
        <v>699</v>
      </c>
      <c r="B700" s="2" t="inlineStr">
        <is>
          <t>не сюжет</t>
        </is>
      </c>
      <c r="C700" s="2" t="n">
        <v>11342</v>
      </c>
      <c r="D700" s="3" t="inlineStr">
        <is>
          <t>Палата номер шесть</t>
        </is>
      </c>
      <c r="E700" s="2" t="n">
        <v>1991</v>
      </c>
      <c r="F700" s="2" t="inlineStr">
        <is>
          <t>фильм-спектакль</t>
        </is>
      </c>
      <c r="G700" s="2" t="inlineStr">
        <is>
          <t>ТО "Телетеатр"</t>
        </is>
      </c>
      <c r="H700" s="2" t="n">
        <v>41</v>
      </c>
      <c r="I700" s="2" t="inlineStr"/>
      <c r="J700" s="2" t="inlineStr">
        <is>
          <t>да</t>
        </is>
      </c>
      <c r="K700" s="3" t="inlineStr">
        <is>
          <t>Телевизионная версия рассказа А.П.Чехова.</t>
        </is>
      </c>
      <c r="L700" s="2" t="inlineStr">
        <is>
          <t>https://www.kino-teatr.ru/teatr/movie/90126/annot/</t>
        </is>
      </c>
      <c r="M700" s="2">
        <f>HYPERLINK("https://ru.wikipedia.org/w/index.php?search=%D0%9F%D0%B0%D0%BB%D0%B0%D1%82%D0%B0%20%D0%BD%D0%BE%D0%BC%D0%B5%D1%80%20%D1%88%D0%B5%D1%81%D1%82%D1%8C%201991%20%D1%84%D0%B8%D0%BB%D1%8C%D0%BC","искать")</f>
        <v/>
      </c>
      <c r="N700" s="3" t="n"/>
      <c r="O700" s="2" t="n"/>
    </row>
    <row r="701">
      <c r="A701" s="2" t="n">
        <v>700</v>
      </c>
      <c r="B701" s="2" t="inlineStr">
        <is>
          <t>не сюжет</t>
        </is>
      </c>
      <c r="C701" s="2" t="n">
        <v>7820</v>
      </c>
      <c r="D701" s="3" t="inlineStr">
        <is>
          <t>Луарсаб Таткаридзе</t>
        </is>
      </c>
      <c r="E701" s="2" t="n">
        <v>1989</v>
      </c>
      <c r="F701" s="2" t="inlineStr">
        <is>
          <t>телефильм</t>
        </is>
      </c>
      <c r="G701" s="2" t="n"/>
      <c r="H701" s="2" t="n">
        <v>42</v>
      </c>
      <c r="I701" s="2" t="inlineStr"/>
      <c r="J701" s="2" t="inlineStr">
        <is>
          <t>да</t>
        </is>
      </c>
      <c r="K701" s="3" t="inlineStr">
        <is>
          <t>По роману Илья Чавчавадзе "Человек ли он".</t>
        </is>
      </c>
      <c r="L701" s="2" t="inlineStr">
        <is>
          <t>Кино_СССР сводный каталог.xlsx: список телефильмов</t>
        </is>
      </c>
      <c r="M701" s="2">
        <f>HYPERLINK("https://ru.wikipedia.org/w/index.php?search=%D0%9B%D1%83%D0%B0%D1%80%D1%81%D0%B0%D0%B1%20%D0%A2%D0%B0%D1%82%D0%BA%D0%B0%D1%80%D0%B8%D0%B4%D0%B7%D0%B5%201989%20%D1%84%D0%B8%D0%BB%D1%8C%D0%BC","искать")</f>
        <v/>
      </c>
      <c r="N701" s="3" t="n"/>
      <c r="O701" s="2" t="n"/>
    </row>
    <row r="702">
      <c r="A702" s="2" t="n">
        <v>701</v>
      </c>
      <c r="B702" s="2" t="inlineStr">
        <is>
          <t>не сюжет</t>
        </is>
      </c>
      <c r="C702" s="2" t="n">
        <v>10081</v>
      </c>
      <c r="D702" s="3" t="inlineStr">
        <is>
          <t>Пойманный монах</t>
        </is>
      </c>
      <c r="E702" s="2" t="n">
        <v>1960</v>
      </c>
      <c r="F702" s="2" t="inlineStr">
        <is>
          <t>фильм-спектакль</t>
        </is>
      </c>
      <c r="G702" s="2" t="inlineStr">
        <is>
          <t>Ленфильм</t>
        </is>
      </c>
      <c r="H702" s="2" t="n">
        <v>42</v>
      </c>
      <c r="I702" s="2" t="inlineStr"/>
      <c r="J702" s="2" t="inlineStr">
        <is>
          <t>да</t>
        </is>
      </c>
      <c r="K702" s="3" t="inlineStr">
        <is>
          <t>Фильм-спектакль по комедии Генри Филдинга.</t>
        </is>
      </c>
      <c r="L702" s="2" t="inlineStr">
        <is>
          <t>https://www.kino-teatr.ru/teatr/movie/5324/annot/</t>
        </is>
      </c>
      <c r="M702" s="2">
        <f>HYPERLINK("https://ru.wikipedia.org/w/index.php?search=%D0%9F%D0%BE%D0%B9%D0%BC%D0%B0%D0%BD%D0%BD%D1%8B%D0%B9%20%D0%BC%D0%BE%D0%BD%D0%B0%D1%85%201960%20%D1%84%D0%B8%D0%BB%D1%8C%D0%BC","искать")</f>
        <v/>
      </c>
      <c r="N702" s="3" t="n"/>
      <c r="O702" s="2" t="n"/>
    </row>
    <row r="703">
      <c r="A703" s="2" t="n">
        <v>702</v>
      </c>
      <c r="B703" s="2" t="inlineStr">
        <is>
          <t>не сюжет</t>
        </is>
      </c>
      <c r="C703" s="2" t="n">
        <v>10708</v>
      </c>
      <c r="D703" s="3" t="inlineStr">
        <is>
          <t>Отец и сын</t>
        </is>
      </c>
      <c r="E703" s="2" t="n">
        <v>1977</v>
      </c>
      <c r="F703" s="2" t="inlineStr">
        <is>
          <t>фильм-спектакль</t>
        </is>
      </c>
      <c r="G703" s="2" t="n"/>
      <c r="H703" s="2" t="n">
        <v>42</v>
      </c>
      <c r="I703" s="2" t="inlineStr"/>
      <c r="J703" s="2" t="inlineStr">
        <is>
          <t>да</t>
        </is>
      </c>
      <c r="K703" s="3" t="inlineStr">
        <is>
          <t>По однимённой поэму Керима Курбаннепесова.</t>
        </is>
      </c>
      <c r="L703" s="2" t="inlineStr">
        <is>
          <t>https://www.kino-teatr.ru/teatr/movie/144786/annot/</t>
        </is>
      </c>
      <c r="M703" s="2">
        <f>HYPERLINK("https://ru.wikipedia.org/w/index.php?search=%D0%9E%D1%82%D0%B5%D1%86%20%D0%B8%20%D1%81%D1%8B%D0%BD%201977%20%D1%84%D0%B8%D0%BB%D1%8C%D0%BC","искать")</f>
        <v/>
      </c>
      <c r="N703" s="3" t="n"/>
      <c r="O703" s="2" t="n"/>
    </row>
    <row r="704">
      <c r="A704" s="2" t="n">
        <v>703</v>
      </c>
      <c r="B704" s="2" t="inlineStr">
        <is>
          <t>не сюжет</t>
        </is>
      </c>
      <c r="C704" s="2" t="n">
        <v>10788</v>
      </c>
      <c r="D704" s="3" t="inlineStr">
        <is>
          <t>Явка с повинной</t>
        </is>
      </c>
      <c r="E704" s="2" t="n">
        <v>1978</v>
      </c>
      <c r="F704" s="2" t="inlineStr">
        <is>
          <t>фильм-спектакль</t>
        </is>
      </c>
      <c r="G704" s="2" t="inlineStr">
        <is>
          <t>Ленинградское телевидение</t>
        </is>
      </c>
      <c r="H704" s="2" t="n">
        <v>42</v>
      </c>
      <c r="I704" s="2" t="inlineStr"/>
      <c r="J704" s="2" t="inlineStr">
        <is>
          <t>да</t>
        </is>
      </c>
      <c r="K704" s="3" t="inlineStr">
        <is>
          <t>Детектив по одноименной повести Н.Леонова.</t>
        </is>
      </c>
      <c r="L704" s="2" t="inlineStr">
        <is>
          <t>https://www.kino-teatr.ru/teatr/movie/16587/annot/</t>
        </is>
      </c>
      <c r="M704" s="2">
        <f>HYPERLINK("https://ru.wikipedia.org/w/index.php?search=%D0%AF%D0%B2%D0%BA%D0%B0%20%D1%81%20%D0%BF%D0%BE%D0%B2%D0%B8%D0%BD%D0%BD%D0%BE%D0%B9%201978%20%D1%84%D0%B8%D0%BB%D1%8C%D0%BC","искать")</f>
        <v/>
      </c>
      <c r="N704" s="3" t="n"/>
      <c r="O704" s="2" t="n"/>
    </row>
    <row r="705">
      <c r="A705" s="2" t="n">
        <v>704</v>
      </c>
      <c r="B705" s="2" t="inlineStr">
        <is>
          <t>не сюжет</t>
        </is>
      </c>
      <c r="C705" s="2" t="n">
        <v>8299</v>
      </c>
      <c r="D705" s="3" t="inlineStr">
        <is>
          <t>Сапоги всмятку</t>
        </is>
      </c>
      <c r="E705" s="2" t="n">
        <v>1977</v>
      </c>
      <c r="F705" s="2" t="inlineStr">
        <is>
          <t>телефильм</t>
        </is>
      </c>
      <c r="G705" s="2" t="n"/>
      <c r="H705" s="2" t="n">
        <v>43</v>
      </c>
      <c r="I705" s="2" t="inlineStr"/>
      <c r="J705" s="2" t="inlineStr">
        <is>
          <t>да</t>
        </is>
      </c>
      <c r="K705" s="3" t="inlineStr">
        <is>
          <t>Телефильм. По мотивам рассказов А.П.Чехова.</t>
        </is>
      </c>
      <c r="L705" s="2" t="inlineStr">
        <is>
          <t>Кино_СССР сводный каталог.xlsx: список телефильмов</t>
        </is>
      </c>
      <c r="M705" s="2">
        <f>HYPERLINK("https://ru.wikipedia.org/w/index.php?search=%D0%A1%D0%B0%D0%BF%D0%BE%D0%B3%D0%B8%20%D0%B2%D1%81%D0%BC%D1%8F%D1%82%D0%BA%D1%83%201977%20%D1%84%D0%B8%D0%BB%D1%8C%D0%BC","искать")</f>
        <v/>
      </c>
      <c r="N705" s="3" t="n"/>
      <c r="O705" s="2" t="n"/>
    </row>
    <row r="706">
      <c r="A706" s="2" t="n">
        <v>705</v>
      </c>
      <c r="B706" s="2" t="inlineStr">
        <is>
          <t>не сюжет</t>
        </is>
      </c>
      <c r="C706" s="2" t="n">
        <v>10016</v>
      </c>
      <c r="D706" s="3" t="inlineStr">
        <is>
          <t>Поездка к сыну</t>
        </is>
      </c>
      <c r="E706" s="2" t="n">
        <v>1986</v>
      </c>
      <c r="F706" s="2" t="inlineStr">
        <is>
          <t>кинофильм</t>
        </is>
      </c>
      <c r="G706" s="2" t="inlineStr">
        <is>
          <t>Мосфильм</t>
        </is>
      </c>
      <c r="H706" s="2" t="n">
        <v>43</v>
      </c>
      <c r="I706" s="2" t="inlineStr"/>
      <c r="J706" s="2" t="inlineStr">
        <is>
          <t>да</t>
        </is>
      </c>
      <c r="K706" s="3" t="inlineStr">
        <is>
          <t>По рассказу Г. Николаева «По важному делу».</t>
        </is>
      </c>
      <c r="L706" s="2" t="inlineStr">
        <is>
          <t>https://www.kino-teatr.ru/short/movie/sov/12915/annot/</t>
        </is>
      </c>
      <c r="M706" s="2">
        <f>HYPERLINK("https://ru.wikipedia.org/w/index.php?search=%D0%9F%D0%BE%D0%B5%D0%B7%D0%B4%D0%BA%D0%B0%20%D0%BA%20%D1%81%D1%8B%D0%BD%D1%83%201986%20%D1%84%D0%B8%D0%BB%D1%8C%D0%BC","искать")</f>
        <v/>
      </c>
      <c r="N706" s="3" t="n"/>
      <c r="O706" s="2" t="n"/>
    </row>
    <row r="707">
      <c r="A707" s="2" t="n">
        <v>706</v>
      </c>
      <c r="B707" s="2" t="inlineStr">
        <is>
          <t>не сюжет</t>
        </is>
      </c>
      <c r="C707" s="2" t="n">
        <v>10356</v>
      </c>
      <c r="D707" s="3" t="inlineStr">
        <is>
          <t>Драма на охоте</t>
        </is>
      </c>
      <c r="E707" s="2" t="n">
        <v>1970</v>
      </c>
      <c r="F707" s="2" t="inlineStr">
        <is>
          <t>фильм-спектакль</t>
        </is>
      </c>
      <c r="G707" s="2" t="inlineStr">
        <is>
          <t>Центральное телевидение</t>
        </is>
      </c>
      <c r="H707" s="2" t="n">
        <v>43</v>
      </c>
      <c r="I707" s="2" t="inlineStr"/>
      <c r="J707" s="2" t="inlineStr">
        <is>
          <t>да</t>
        </is>
      </c>
      <c r="K707" s="3" t="inlineStr">
        <is>
          <t>По мотивам одноименной повести А.П. Чехова.</t>
        </is>
      </c>
      <c r="L707" s="2" t="inlineStr">
        <is>
          <t>https://www.kino-teatr.ru/teatr/movie/2024/annot/</t>
        </is>
      </c>
      <c r="M707" s="2">
        <f>HYPERLINK("https://ru.wikipedia.org/w/index.php?search=%D0%94%D1%80%D0%B0%D0%BC%D0%B0%20%D0%BD%D0%B0%20%D0%BE%D1%85%D0%BE%D1%82%D0%B5%201970%20%D1%84%D0%B8%D0%BB%D1%8C%D0%BC","искать")</f>
        <v/>
      </c>
      <c r="N707" s="3" t="n"/>
      <c r="O707" s="2" t="n"/>
    </row>
    <row r="708">
      <c r="A708" s="2" t="n">
        <v>707</v>
      </c>
      <c r="B708" s="2" t="inlineStr">
        <is>
          <t>не сюжет</t>
        </is>
      </c>
      <c r="C708" s="2" t="n">
        <v>10823</v>
      </c>
      <c r="D708" s="3" t="inlineStr">
        <is>
          <t>Хозяин</t>
        </is>
      </c>
      <c r="E708" s="2" t="n">
        <v>1979</v>
      </c>
      <c r="F708" s="2" t="inlineStr">
        <is>
          <t>фильм-спектакль</t>
        </is>
      </c>
      <c r="G708" s="2" t="n"/>
      <c r="H708" s="2" t="n">
        <v>43</v>
      </c>
      <c r="I708" s="2" t="inlineStr"/>
      <c r="J708" s="2" t="inlineStr">
        <is>
          <t>да</t>
        </is>
      </c>
      <c r="K708" s="3" t="inlineStr">
        <is>
          <t>По одноименной пьесе Ивана Карпенко-Карого.</t>
        </is>
      </c>
      <c r="L708" s="2" t="inlineStr">
        <is>
          <t>https://www.kino-teatr.ru/teatr/movie/86338/annot/</t>
        </is>
      </c>
      <c r="M708" s="2">
        <f>HYPERLINK("https://ru.wikipedia.org/w/index.php?search=%D0%A5%D0%BE%D0%B7%D1%8F%D0%B8%D0%BD%201979%20%D1%84%D0%B8%D0%BB%D1%8C%D0%BC","искать")</f>
        <v/>
      </c>
      <c r="N708" s="3" t="n"/>
      <c r="O708" s="2" t="n"/>
    </row>
    <row r="709">
      <c r="A709" s="2" t="n">
        <v>708</v>
      </c>
      <c r="B709" s="2" t="inlineStr">
        <is>
          <t>не сюжет</t>
        </is>
      </c>
      <c r="C709" s="2" t="n">
        <v>11076</v>
      </c>
      <c r="D709" s="3" t="inlineStr">
        <is>
          <t>Рейс 8585</t>
        </is>
      </c>
      <c r="E709" s="2" t="n">
        <v>1985</v>
      </c>
      <c r="F709" s="2" t="inlineStr">
        <is>
          <t>фильм-спектакль</t>
        </is>
      </c>
      <c r="G709" s="2" t="inlineStr">
        <is>
          <t>Ленинградское ТВ</t>
        </is>
      </c>
      <c r="H709" s="2" t="n">
        <v>43</v>
      </c>
      <c r="I709" s="2" t="inlineStr"/>
      <c r="J709" s="2" t="inlineStr">
        <is>
          <t>да</t>
        </is>
      </c>
      <c r="K709" s="3" t="inlineStr">
        <is>
          <t>Телеспектакль из ТВ-серии "Следы остаются".</t>
        </is>
      </c>
      <c r="L709" s="2" t="inlineStr">
        <is>
          <t>https://www.kino-teatr.ru/teatr/movie/79271/annot/</t>
        </is>
      </c>
      <c r="M709" s="2">
        <f>HYPERLINK("https://ru.wikipedia.org/w/index.php?search=%D0%A0%D0%B5%D0%B9%D1%81%208585%201985%20%D1%84%D0%B8%D0%BB%D1%8C%D0%BC","искать")</f>
        <v/>
      </c>
      <c r="N709" s="3" t="n"/>
      <c r="O709" s="2" t="n"/>
    </row>
    <row r="710">
      <c r="A710" s="2" t="n">
        <v>709</v>
      </c>
      <c r="B710" s="2" t="inlineStr">
        <is>
          <t>не сюжет</t>
        </is>
      </c>
      <c r="C710" s="2" t="n">
        <v>11085</v>
      </c>
      <c r="D710" s="3" t="inlineStr">
        <is>
          <t>Суета</t>
        </is>
      </c>
      <c r="E710" s="2" t="n">
        <v>1985</v>
      </c>
      <c r="F710" s="2" t="inlineStr">
        <is>
          <t>фильм-спектакль</t>
        </is>
      </c>
      <c r="G710" s="2" t="inlineStr">
        <is>
          <t>Укртелефильм, Гостелерадио СССР</t>
        </is>
      </c>
      <c r="H710" s="2" t="n">
        <v>43</v>
      </c>
      <c r="I710" s="2" t="inlineStr"/>
      <c r="J710" s="2" t="inlineStr">
        <is>
          <t>да</t>
        </is>
      </c>
      <c r="K710" s="3" t="inlineStr">
        <is>
          <t>Фильм-спектакль по пьесе И.Карпенко-Карого.</t>
        </is>
      </c>
      <c r="L710" s="2" t="inlineStr">
        <is>
          <t>https://www.kino-teatr.ru/teatr/movie/13625/annot/</t>
        </is>
      </c>
      <c r="M710" s="2">
        <f>HYPERLINK("https://ru.wikipedia.org/w/index.php?search=%D0%A1%D1%83%D0%B5%D1%82%D0%B0%201985%20%D1%84%D0%B8%D0%BB%D1%8C%D0%BC","искать")</f>
        <v/>
      </c>
      <c r="N710" s="3" t="n"/>
      <c r="O710" s="2" t="n"/>
    </row>
    <row r="711">
      <c r="A711" s="2" t="n">
        <v>710</v>
      </c>
      <c r="B711" s="2" t="inlineStr">
        <is>
          <t>не сюжет</t>
        </is>
      </c>
      <c r="C711" s="2" t="n">
        <v>7472</v>
      </c>
      <c r="D711" s="3" t="inlineStr">
        <is>
          <t>Два брата</t>
        </is>
      </c>
      <c r="E711" s="2" t="n">
        <v>1965</v>
      </c>
      <c r="F711" s="2" t="inlineStr">
        <is>
          <t>телефильм</t>
        </is>
      </c>
      <c r="G711" s="2" t="n"/>
      <c r="H711" s="2" t="n">
        <v>44</v>
      </c>
      <c r="I711" s="2" t="inlineStr"/>
      <c r="J711" s="2" t="inlineStr">
        <is>
          <t>да</t>
        </is>
      </c>
      <c r="K711" s="3" t="inlineStr">
        <is>
          <t>Телевизионный фильм по драме М.Ю.Лермонтова.</t>
        </is>
      </c>
      <c r="L711" s="2" t="inlineStr">
        <is>
          <t>Кино_СССР сводный каталог.xlsx: список телефильмов</t>
        </is>
      </c>
      <c r="M711" s="2">
        <f>HYPERLINK("https://ru.wikipedia.org/w/index.php?search=%D0%94%D0%B2%D0%B0%20%D0%B1%D1%80%D0%B0%D1%82%D0%B0%201965%20%D1%84%D0%B8%D0%BB%D1%8C%D0%BC","искать")</f>
        <v/>
      </c>
      <c r="N711" s="3" t="n"/>
      <c r="O711" s="2" t="n"/>
    </row>
    <row r="712">
      <c r="A712" s="2" t="n">
        <v>711</v>
      </c>
      <c r="B712" s="2" t="inlineStr">
        <is>
          <t>не сюжет</t>
        </is>
      </c>
      <c r="C712" s="2" t="n">
        <v>9874</v>
      </c>
      <c r="D712" s="3" t="inlineStr">
        <is>
          <t>Драма в цирюльне</t>
        </is>
      </c>
      <c r="E712" s="2" t="n">
        <v>1970</v>
      </c>
      <c r="F712" s="2" t="inlineStr">
        <is>
          <t>телефильм</t>
        </is>
      </c>
      <c r="G712" s="2" t="inlineStr">
        <is>
          <t>Свердловское ТВ</t>
        </is>
      </c>
      <c r="H712" s="2" t="n">
        <v>44</v>
      </c>
      <c r="I712" s="2" t="inlineStr"/>
      <c r="J712" s="2" t="inlineStr">
        <is>
          <t>да</t>
        </is>
      </c>
      <c r="K712" s="3" t="inlineStr">
        <is>
          <t>Телефильм по рассказу А.Чехова "В цирюльне".</t>
        </is>
      </c>
      <c r="L712" s="2" t="inlineStr">
        <is>
          <t>https://www.kino-teatr.ru/short/movie/sov/12311/annot/</t>
        </is>
      </c>
      <c r="M712" s="2">
        <f>HYPERLINK("https://ru.wikipedia.org/w/index.php?search=%D0%94%D1%80%D0%B0%D0%BC%D0%B0%20%D0%B2%20%D1%86%D0%B8%D1%80%D1%8E%D0%BB%D1%8C%D0%BD%D0%B5%201970%20%D1%84%D0%B8%D0%BB%D1%8C%D0%BC","искать")</f>
        <v/>
      </c>
      <c r="N712" s="3" t="n"/>
      <c r="O712" s="2" t="n"/>
    </row>
    <row r="713">
      <c r="A713" s="2" t="n">
        <v>712</v>
      </c>
      <c r="B713" s="2" t="inlineStr">
        <is>
          <t>не сюжет</t>
        </is>
      </c>
      <c r="C713" s="2" t="n">
        <v>9903</v>
      </c>
      <c r="D713" s="3" t="inlineStr">
        <is>
          <t>Егерь</t>
        </is>
      </c>
      <c r="E713" s="2" t="n">
        <v>1973</v>
      </c>
      <c r="F713" s="2" t="inlineStr">
        <is>
          <t>кинофильм</t>
        </is>
      </c>
      <c r="G713" s="2" t="inlineStr">
        <is>
          <t>ВГИК, Подборки фильмов, экранизации Чехова</t>
        </is>
      </c>
      <c r="H713" s="2" t="n">
        <v>44</v>
      </c>
      <c r="I713" s="2" t="inlineStr"/>
      <c r="J713" s="2" t="inlineStr">
        <is>
          <t>да</t>
        </is>
      </c>
      <c r="K713" s="3" t="inlineStr">
        <is>
          <t>Экранизация одноименного рассказа А.П.Чехова</t>
        </is>
      </c>
      <c r="L713" s="2" t="inlineStr">
        <is>
          <t>https://www.kino-teatr.ru/short/movie/sov/16292/annot/</t>
        </is>
      </c>
      <c r="M713" s="2">
        <f>HYPERLINK("https://ru.wikipedia.org/w/index.php?search=%D0%95%D0%B3%D0%B5%D1%80%D1%8C%201973%20%D1%84%D0%B8%D0%BB%D1%8C%D0%BC","искать")</f>
        <v/>
      </c>
      <c r="N713" s="3" t="n"/>
      <c r="O713" s="2" t="n"/>
    </row>
    <row r="714">
      <c r="A714" s="2" t="n">
        <v>713</v>
      </c>
      <c r="B714" s="2" t="inlineStr">
        <is>
          <t>не сюжет</t>
        </is>
      </c>
      <c r="C714" s="2" t="n">
        <v>9908</v>
      </c>
      <c r="D714" s="3" t="inlineStr">
        <is>
          <t>Белые дома</t>
        </is>
      </c>
      <c r="E714" s="2" t="n">
        <v>1974</v>
      </c>
      <c r="F714" s="2" t="inlineStr">
        <is>
          <t>телефильм</t>
        </is>
      </c>
      <c r="G714" s="2" t="inlineStr">
        <is>
          <t>Грузинская студия телефильмов</t>
        </is>
      </c>
      <c r="H714" s="2" t="n">
        <v>44</v>
      </c>
      <c r="I714" s="2" t="inlineStr"/>
      <c r="J714" s="2" t="inlineStr">
        <is>
          <t>да</t>
        </is>
      </c>
      <c r="K714" s="3" t="inlineStr">
        <is>
          <t>Лирическая история о строителях и пианистке.</t>
        </is>
      </c>
      <c r="L714" s="2" t="inlineStr">
        <is>
          <t>https://www.kino-teatr.ru/short/movie/sov/11786/annot/</t>
        </is>
      </c>
      <c r="M714" s="2">
        <f>HYPERLINK("https://ru.wikipedia.org/w/index.php?search=%D0%91%D0%B5%D0%BB%D1%8B%D0%B5%20%D0%B4%D0%BE%D0%BC%D0%B0%201974%20%D1%84%D0%B8%D0%BB%D1%8C%D0%BC","искать")</f>
        <v/>
      </c>
      <c r="N714" s="3" t="n"/>
      <c r="O714" s="2" t="n"/>
    </row>
    <row r="715">
      <c r="A715" s="2" t="n">
        <v>714</v>
      </c>
      <c r="B715" s="2" t="inlineStr">
        <is>
          <t>не сюжет</t>
        </is>
      </c>
      <c r="C715" s="2" t="n">
        <v>10594</v>
      </c>
      <c r="D715" s="3" t="inlineStr">
        <is>
          <t>Факел</t>
        </is>
      </c>
      <c r="E715" s="2" t="n">
        <v>1974</v>
      </c>
      <c r="F715" s="2" t="inlineStr">
        <is>
          <t>фильм-спектакль</t>
        </is>
      </c>
      <c r="G715" s="2" t="inlineStr">
        <is>
          <t>Украинское телевидение</t>
        </is>
      </c>
      <c r="H715" s="2" t="n">
        <v>44</v>
      </c>
      <c r="I715" s="2" t="inlineStr"/>
      <c r="J715" s="2" t="inlineStr">
        <is>
          <t>да</t>
        </is>
      </c>
      <c r="K715" s="3" t="inlineStr">
        <is>
          <t>Фильм-спектакль о строительстве газопровода.</t>
        </is>
      </c>
      <c r="L715" s="2" t="inlineStr">
        <is>
          <t>https://www.kino-teatr.ru/teatr/movie/14199/annot/</t>
        </is>
      </c>
      <c r="M715" s="2">
        <f>HYPERLINK("https://ru.wikipedia.org/w/index.php?search=%D0%A4%D0%B0%D0%BA%D0%B5%D0%BB%201974%20%D1%84%D0%B8%D0%BB%D1%8C%D0%BC","искать")</f>
        <v/>
      </c>
      <c r="N715" s="3" t="n"/>
      <c r="O715" s="2" t="n"/>
    </row>
    <row r="716">
      <c r="A716" s="2" t="n">
        <v>715</v>
      </c>
      <c r="B716" s="2" t="inlineStr">
        <is>
          <t>не сюжет</t>
        </is>
      </c>
      <c r="C716" s="2" t="n">
        <v>9004</v>
      </c>
      <c r="D716" s="3" t="inlineStr">
        <is>
          <t>Разгон</t>
        </is>
      </c>
      <c r="E716" s="2" t="n">
        <v>1967</v>
      </c>
      <c r="F716" s="2" t="inlineStr">
        <is>
          <t>кинофильм</t>
        </is>
      </c>
      <c r="G716" s="2" t="n"/>
      <c r="H716" s="2" t="n">
        <v>45</v>
      </c>
      <c r="I716" s="2" t="inlineStr"/>
      <c r="J716" s="2" t="inlineStr">
        <is>
          <t>да</t>
        </is>
      </c>
      <c r="K716" s="3" t="inlineStr">
        <is>
          <t>По пьесе Захара Аграненко "Шестьдесят часов".</t>
        </is>
      </c>
      <c r="L716" s="2" t="inlineStr">
        <is>
          <t>Кино_СССР сводный каталог.xlsx: список фильмов (доп.)</t>
        </is>
      </c>
      <c r="M716" s="2">
        <f>HYPERLINK("https://ru.wikipedia.org/w/index.php?search=%D0%A0%D0%B0%D0%B7%D0%B3%D0%BE%D0%BD%201967%20%D1%84%D0%B8%D0%BB%D1%8C%D0%BC","искать")</f>
        <v/>
      </c>
      <c r="N716" s="3" t="n"/>
      <c r="O716" s="2" t="n"/>
    </row>
    <row r="717">
      <c r="A717" s="2" t="n">
        <v>716</v>
      </c>
      <c r="B717" s="2" t="inlineStr">
        <is>
          <t>не сюжет</t>
        </is>
      </c>
      <c r="C717" s="2" t="n">
        <v>9040</v>
      </c>
      <c r="D717" s="3" t="inlineStr">
        <is>
          <t>Сердце</t>
        </is>
      </c>
      <c r="E717" s="2" t="n">
        <v>1968</v>
      </c>
      <c r="F717" s="2" t="inlineStr">
        <is>
          <t>кинофильм</t>
        </is>
      </c>
      <c r="G717" s="2" t="n"/>
      <c r="H717" s="2" t="n">
        <v>45</v>
      </c>
      <c r="I717" s="2" t="inlineStr"/>
      <c r="J717" s="2" t="inlineStr">
        <is>
          <t>да</t>
        </is>
      </c>
      <c r="K717" s="3" t="inlineStr">
        <is>
          <t>По мотивам одноимённой повести Ивана Катаева.</t>
        </is>
      </c>
      <c r="L717" s="2" t="inlineStr">
        <is>
          <t>Кино_СССР сводный каталог.xlsx: список фильмов (доп.)</t>
        </is>
      </c>
      <c r="M717" s="2">
        <f>HYPERLINK("https://ru.wikipedia.org/w/index.php?search=%D0%A1%D0%B5%D1%80%D0%B4%D1%86%D0%B5%201968%20%D1%84%D0%B8%D0%BB%D1%8C%D0%BC","искать")</f>
        <v/>
      </c>
      <c r="N717" s="3" t="n"/>
      <c r="O717" s="2" t="n"/>
    </row>
    <row r="718">
      <c r="A718" s="2" t="n">
        <v>717</v>
      </c>
      <c r="B718" s="2" t="inlineStr">
        <is>
          <t>не сюжет</t>
        </is>
      </c>
      <c r="C718" s="2" t="n">
        <v>9814</v>
      </c>
      <c r="D718" s="3" t="inlineStr">
        <is>
          <t>Егерь</t>
        </is>
      </c>
      <c r="E718" s="2" t="n">
        <v>1959</v>
      </c>
      <c r="F718" s="2" t="inlineStr">
        <is>
          <t>телефильм</t>
        </is>
      </c>
      <c r="G718" s="2" t="inlineStr">
        <is>
          <t>ЦТ</t>
        </is>
      </c>
      <c r="H718" s="2" t="n">
        <v>45</v>
      </c>
      <c r="I718" s="2" t="inlineStr"/>
      <c r="J718" s="2" t="inlineStr">
        <is>
          <t>да</t>
        </is>
      </c>
      <c r="K718" s="3" t="inlineStr">
        <is>
          <t>Новелла.
По одноименному рассказу А.П.Чехова.</t>
        </is>
      </c>
      <c r="L718" s="2" t="inlineStr">
        <is>
          <t>https://www.kino-teatr.ru/short/movie/sov/11387/annot/</t>
        </is>
      </c>
      <c r="M718" s="2">
        <f>HYPERLINK("https://ru.wikipedia.org/w/index.php?search=%D0%95%D0%B3%D0%B5%D1%80%D1%8C%201959%20%D1%84%D0%B8%D0%BB%D1%8C%D0%BC","искать")</f>
        <v/>
      </c>
      <c r="N718" s="3" t="n"/>
      <c r="O718" s="2" t="n"/>
    </row>
    <row r="719">
      <c r="A719" s="2" t="n">
        <v>718</v>
      </c>
      <c r="B719" s="2" t="inlineStr">
        <is>
          <t>не сюжет</t>
        </is>
      </c>
      <c r="C719" s="2" t="n">
        <v>9881</v>
      </c>
      <c r="D719" s="3" t="inlineStr">
        <is>
          <t>Соло</t>
        </is>
      </c>
      <c r="E719" s="2" t="n">
        <v>1970</v>
      </c>
      <c r="F719" s="2" t="inlineStr">
        <is>
          <t>кинофильм</t>
        </is>
      </c>
      <c r="G719" s="2" t="inlineStr">
        <is>
          <t>Мосфильм</t>
        </is>
      </c>
      <c r="H719" s="2" t="n">
        <v>45</v>
      </c>
      <c r="I719" s="2" t="inlineStr"/>
      <c r="J719" s="2" t="inlineStr">
        <is>
          <t>да</t>
        </is>
      </c>
      <c r="K719" s="3" t="inlineStr">
        <is>
          <t>По мотивам одноименного рассказа М. Горького.</t>
        </is>
      </c>
      <c r="L719" s="2" t="inlineStr">
        <is>
          <t>https://www.kino-teatr.ru/short/movie/sov/6651/annot/</t>
        </is>
      </c>
      <c r="M719" s="2">
        <f>HYPERLINK("https://ru.wikipedia.org/w/index.php?search=%D0%A1%D0%BE%D0%BB%D0%BE%201970%20%D1%84%D0%B8%D0%BB%D1%8C%D0%BC","искать")</f>
        <v/>
      </c>
      <c r="N719" s="3" t="n"/>
      <c r="O719" s="2" t="n"/>
    </row>
    <row r="720">
      <c r="A720" s="2" t="n">
        <v>719</v>
      </c>
      <c r="B720" s="2" t="inlineStr">
        <is>
          <t>не сюжет</t>
        </is>
      </c>
      <c r="C720" s="2" t="n">
        <v>10054</v>
      </c>
      <c r="D720" s="3" t="inlineStr">
        <is>
          <t>Месть</t>
        </is>
      </c>
      <c r="E720" s="2" t="n">
        <v>1991</v>
      </c>
      <c r="F720" s="2" t="inlineStr">
        <is>
          <t>кинофильм</t>
        </is>
      </c>
      <c r="G720" s="2" t="inlineStr">
        <is>
          <t>Азербайджанфильм (студия "Дебют")</t>
        </is>
      </c>
      <c r="H720" s="2" t="n">
        <v>45</v>
      </c>
      <c r="I720" s="2" t="inlineStr"/>
      <c r="J720" s="2" t="inlineStr">
        <is>
          <t>да</t>
        </is>
      </c>
      <c r="K720" s="3" t="inlineStr">
        <is>
          <t>По мотивам одноименного рассказа Б.Вахабзаде.</t>
        </is>
      </c>
      <c r="L720" s="2" t="inlineStr">
        <is>
          <t>https://www.kino-teatr.ru/short/movie/sov/85423/annot/</t>
        </is>
      </c>
      <c r="M720" s="2">
        <f>HYPERLINK("https://ru.wikipedia.org/w/index.php?search=%D0%9C%D0%B5%D1%81%D1%82%D1%8C%201991%20%D1%84%D0%B8%D0%BB%D1%8C%D0%BC","искать")</f>
        <v/>
      </c>
      <c r="N720" s="3" t="n"/>
      <c r="O720" s="2" t="n"/>
    </row>
    <row r="721">
      <c r="A721" s="2" t="n">
        <v>720</v>
      </c>
      <c r="B721" s="2" t="inlineStr">
        <is>
          <t>не сюжет</t>
        </is>
      </c>
      <c r="C721" s="2" t="n">
        <v>10302</v>
      </c>
      <c r="D721" s="3" t="inlineStr">
        <is>
          <t>Господа Головлевы</t>
        </is>
      </c>
      <c r="E721" s="2" t="n">
        <v>1969</v>
      </c>
      <c r="F721" s="2" t="inlineStr">
        <is>
          <t>фильм-спектакль</t>
        </is>
      </c>
      <c r="G721" s="2" t="inlineStr">
        <is>
          <t>Ленинградское телевидение</t>
        </is>
      </c>
      <c r="H721" s="2" t="n">
        <v>45</v>
      </c>
      <c r="I721" s="2" t="inlineStr"/>
      <c r="J721" s="2" t="inlineStr">
        <is>
          <t>да</t>
        </is>
      </c>
      <c r="K721" s="3" t="inlineStr">
        <is>
          <t>По одноименному роману М.Е.Салтыкова-Щедрина.</t>
        </is>
      </c>
      <c r="L721" s="2" t="inlineStr">
        <is>
          <t>https://www.kino-teatr.ru/teatr/movie/92969/annot/</t>
        </is>
      </c>
      <c r="M721" s="2">
        <f>HYPERLINK("https://ru.wikipedia.org/w/index.php?search=%D0%93%D0%BE%D1%81%D0%BF%D0%BE%D0%B4%D0%B0%20%D0%93%D0%BE%D0%BB%D0%BE%D0%B2%D0%BB%D0%B5%D0%B2%D1%8B%201969%20%D1%84%D0%B8%D0%BB%D1%8C%D0%BC","искать")</f>
        <v/>
      </c>
      <c r="N721" s="3" t="n"/>
      <c r="O721" s="2" t="n"/>
    </row>
    <row r="722">
      <c r="A722" s="2" t="n">
        <v>721</v>
      </c>
      <c r="B722" s="2" t="inlineStr">
        <is>
          <t>не сюжет</t>
        </is>
      </c>
      <c r="C722" s="2" t="n">
        <v>9970</v>
      </c>
      <c r="D722" s="3" t="inlineStr">
        <is>
          <t>Механик</t>
        </is>
      </c>
      <c r="E722" s="2" t="n">
        <v>1981</v>
      </c>
      <c r="F722" s="2" t="inlineStr">
        <is>
          <t>кинофильм</t>
        </is>
      </c>
      <c r="G722" s="2" t="inlineStr">
        <is>
          <t>ВГИК</t>
        </is>
      </c>
      <c r="H722" s="2" t="n">
        <v>46</v>
      </c>
      <c r="I722" s="2" t="inlineStr"/>
      <c r="J722" s="2" t="inlineStr">
        <is>
          <t>да</t>
        </is>
      </c>
      <c r="K722" s="3" t="inlineStr">
        <is>
          <t>По рассказу Андрея Платонова «Старый механик».</t>
        </is>
      </c>
      <c r="L722" s="2" t="inlineStr">
        <is>
          <t>https://www.kino-teatr.ru/short/movie/sov/8235/annot/</t>
        </is>
      </c>
      <c r="M722" s="2">
        <f>HYPERLINK("https://ru.wikipedia.org/w/index.php?search=%D0%9C%D0%B5%D1%85%D0%B0%D0%BD%D0%B8%D0%BA%201981%20%D1%84%D0%B8%D0%BB%D1%8C%D0%BC","искать")</f>
        <v/>
      </c>
      <c r="N722" s="3" t="n"/>
      <c r="O722" s="2" t="n"/>
    </row>
    <row r="723">
      <c r="A723" s="2" t="n">
        <v>722</v>
      </c>
      <c r="B723" s="2" t="inlineStr">
        <is>
          <t>не сюжет</t>
        </is>
      </c>
      <c r="C723" s="2" t="n">
        <v>10134</v>
      </c>
      <c r="D723" s="3" t="inlineStr">
        <is>
          <t>Чайка</t>
        </is>
      </c>
      <c r="E723" s="2" t="n">
        <v>1964</v>
      </c>
      <c r="F723" s="2" t="inlineStr">
        <is>
          <t>фильм-спектакль</t>
        </is>
      </c>
      <c r="G723" s="2" t="inlineStr">
        <is>
          <t>Ленинградское ТВ, Подборки фильмов, экранизации Чехова</t>
        </is>
      </c>
      <c r="H723" s="2" t="n">
        <v>46</v>
      </c>
      <c r="I723" s="2" t="inlineStr"/>
      <c r="J723" s="2" t="inlineStr">
        <is>
          <t>да</t>
        </is>
      </c>
      <c r="K723" s="3" t="inlineStr">
        <is>
          <t>Телеспектакль по одноименной пьесе А.П.Чехова.</t>
        </is>
      </c>
      <c r="L723" s="2" t="inlineStr">
        <is>
          <t>https://www.kino-teatr.ru/teatr/movie/37776/annot/</t>
        </is>
      </c>
      <c r="M723" s="2">
        <f>HYPERLINK("https://ru.wikipedia.org/w/index.php?search=%D0%A7%D0%B0%D0%B9%D0%BA%D0%B0%201964%20%D1%84%D0%B8%D0%BB%D1%8C%D0%BC","искать")</f>
        <v/>
      </c>
      <c r="N723" s="3" t="n"/>
      <c r="O723" s="2" t="n"/>
    </row>
    <row r="724">
      <c r="A724" s="2" t="n">
        <v>723</v>
      </c>
      <c r="B724" s="2" t="inlineStr">
        <is>
          <t>не сюжет</t>
        </is>
      </c>
      <c r="C724" s="2" t="n">
        <v>10305</v>
      </c>
      <c r="D724" s="3" t="inlineStr">
        <is>
          <t>Дети подземелья</t>
        </is>
      </c>
      <c r="E724" s="2" t="n">
        <v>1969</v>
      </c>
      <c r="F724" s="2" t="inlineStr">
        <is>
          <t>фильм-спектакль</t>
        </is>
      </c>
      <c r="G724" s="2" t="inlineStr">
        <is>
          <t>Центральное телевидение</t>
        </is>
      </c>
      <c r="H724" s="2" t="n">
        <v>46</v>
      </c>
      <c r="I724" s="2" t="inlineStr"/>
      <c r="J724" s="2" t="inlineStr">
        <is>
          <t>да</t>
        </is>
      </c>
      <c r="K724" s="3" t="inlineStr">
        <is>
          <t>По рассказу В.Г.Короленко "В дурном обществе".</t>
        </is>
      </c>
      <c r="L724" s="2" t="inlineStr">
        <is>
          <t>https://www.kino-teatr.ru/teatr/movie/136703/annot/</t>
        </is>
      </c>
      <c r="M724" s="2">
        <f>HYPERLINK("https://ru.wikipedia.org/w/index.php?search=%D0%94%D0%B5%D1%82%D0%B8%20%D0%BF%D0%BE%D0%B4%D0%B7%D0%B5%D0%BC%D0%B5%D0%BB%D1%8C%D1%8F%201969%20%D1%84%D0%B8%D0%BB%D1%8C%D0%BC","искать")</f>
        <v/>
      </c>
      <c r="N724" s="3" t="n"/>
      <c r="O724" s="2" t="n"/>
    </row>
    <row r="725">
      <c r="A725" s="2" t="n">
        <v>724</v>
      </c>
      <c r="B725" s="2" t="inlineStr">
        <is>
          <t>не сюжет</t>
        </is>
      </c>
      <c r="C725" s="2" t="n">
        <v>10450</v>
      </c>
      <c r="D725" s="3" t="inlineStr">
        <is>
          <t>Метель</t>
        </is>
      </c>
      <c r="E725" s="2" t="n">
        <v>1972</v>
      </c>
      <c r="F725" s="2" t="inlineStr">
        <is>
          <t>фильм-спектакль</t>
        </is>
      </c>
      <c r="G725" s="2" t="inlineStr">
        <is>
          <t>Ленинградское ТВ</t>
        </is>
      </c>
      <c r="H725" s="2" t="n">
        <v>46</v>
      </c>
      <c r="I725" s="2" t="inlineStr"/>
      <c r="J725" s="2" t="inlineStr">
        <is>
          <t>да</t>
        </is>
      </c>
      <c r="K725" s="3" t="inlineStr">
        <is>
          <t>Телеспектакль по повести А.С.Пушкина "Метель".</t>
        </is>
      </c>
      <c r="L725" s="2" t="inlineStr">
        <is>
          <t>https://www.kino-teatr.ru/teatr/movie/121573/annot/</t>
        </is>
      </c>
      <c r="M725" s="2">
        <f>HYPERLINK("https://ru.wikipedia.org/w/index.php?search=%D0%9C%D0%B5%D1%82%D0%B5%D0%BB%D1%8C%201972%20%D1%84%D0%B8%D0%BB%D1%8C%D0%BC","искать")</f>
        <v/>
      </c>
      <c r="N725" s="3" t="n"/>
      <c r="O725" s="2" t="n"/>
    </row>
    <row r="726">
      <c r="A726" s="2" t="n">
        <v>725</v>
      </c>
      <c r="B726" s="2" t="inlineStr">
        <is>
          <t>не сюжет</t>
        </is>
      </c>
      <c r="C726" s="2" t="n">
        <v>10516</v>
      </c>
      <c r="D726" s="3" t="inlineStr">
        <is>
          <t>Ребята с нашего двора</t>
        </is>
      </c>
      <c r="E726" s="2" t="n">
        <v>1973</v>
      </c>
      <c r="F726" s="2" t="inlineStr">
        <is>
          <t>фильм-спектакль</t>
        </is>
      </c>
      <c r="G726" s="2" t="inlineStr">
        <is>
          <t>Центральное телевидение (Телестудия "Орлёнок")</t>
        </is>
      </c>
      <c r="H726" s="2" t="n">
        <v>46</v>
      </c>
      <c r="I726" s="2" t="inlineStr"/>
      <c r="J726" s="2" t="inlineStr">
        <is>
          <t>да</t>
        </is>
      </c>
      <c r="K726" s="3" t="inlineStr">
        <is>
          <t>Несколько историй из жизни ребят одного двора.</t>
        </is>
      </c>
      <c r="L726" s="2" t="inlineStr">
        <is>
          <t>https://www.kino-teatr.ru/teatr/movie/104945/annot/</t>
        </is>
      </c>
      <c r="M726" s="2">
        <f>HYPERLINK("https://ru.wikipedia.org/w/index.php?search=%D0%A0%D0%B5%D0%B1%D1%8F%D1%82%D0%B0%20%D1%81%20%D0%BD%D0%B0%D1%88%D0%B5%D0%B3%D0%BE%20%D0%B4%D0%B2%D0%BE%D1%80%D0%B0%201973%20%D1%84%D0%B8%D0%BB%D1%8C%D0%BC","искать")</f>
        <v/>
      </c>
      <c r="N726" s="3" t="n"/>
      <c r="O726" s="2" t="n"/>
    </row>
    <row r="727">
      <c r="A727" s="2" t="n">
        <v>726</v>
      </c>
      <c r="B727" s="2" t="inlineStr">
        <is>
          <t>не сюжет</t>
        </is>
      </c>
      <c r="C727" s="2" t="n">
        <v>10581</v>
      </c>
      <c r="D727" s="3" t="inlineStr">
        <is>
          <t>Пора жёлтых листьев</t>
        </is>
      </c>
      <c r="E727" s="2" t="n">
        <v>1974</v>
      </c>
      <c r="F727" s="2" t="inlineStr">
        <is>
          <t>фильм-спектакль</t>
        </is>
      </c>
      <c r="G727" s="2" t="inlineStr">
        <is>
          <t>Киевская к-ст. им. Довженко</t>
        </is>
      </c>
      <c r="H727" s="2" t="n">
        <v>46</v>
      </c>
      <c r="I727" s="2" t="inlineStr"/>
      <c r="J727" s="2" t="inlineStr">
        <is>
          <t>да</t>
        </is>
      </c>
      <c r="K727" s="3" t="inlineStr">
        <is>
          <t>Фильм-спектакль Киевского театра им. И.Франко.</t>
        </is>
      </c>
      <c r="L727" s="2" t="inlineStr">
        <is>
          <t>https://www.kino-teatr.ru/teatr/movie/84993/annot/</t>
        </is>
      </c>
      <c r="M727" s="2">
        <f>HYPERLINK("https://ru.wikipedia.org/w/index.php?search=%D0%9F%D0%BE%D1%80%D0%B0%20%D0%B6%D1%91%D0%BB%D1%82%D1%8B%D1%85%20%D0%BB%D0%B8%D1%81%D1%82%D1%8C%D0%B5%D0%B2%201974%20%D1%84%D0%B8%D0%BB%D1%8C%D0%BC","искать")</f>
        <v/>
      </c>
      <c r="N727" s="3" t="n"/>
      <c r="O727" s="2" t="n"/>
    </row>
    <row r="728">
      <c r="A728" s="2" t="n">
        <v>727</v>
      </c>
      <c r="B728" s="2" t="inlineStr">
        <is>
          <t>не сюжет</t>
        </is>
      </c>
      <c r="C728" s="2" t="n">
        <v>7292</v>
      </c>
      <c r="D728" s="3" t="inlineStr">
        <is>
          <t>В защите не нуждаюсь</t>
        </is>
      </c>
      <c r="E728" s="2" t="n">
        <v>1987</v>
      </c>
      <c r="F728" s="2" t="inlineStr">
        <is>
          <t>телефильм</t>
        </is>
      </c>
      <c r="G728" s="2" t="inlineStr">
        <is>
          <t>Укртелефильм</t>
        </is>
      </c>
      <c r="H728" s="2" t="n">
        <v>47</v>
      </c>
      <c r="I728" s="2" t="inlineStr"/>
      <c r="J728" s="2" t="inlineStr">
        <is>
          <t>да</t>
        </is>
      </c>
      <c r="K728" s="3" t="inlineStr">
        <is>
          <t>По книге Ю.Бедзика о людях села и их проблемах.</t>
        </is>
      </c>
      <c r="L728" s="2" t="inlineStr">
        <is>
          <t>Кино_СССР сводный каталог.xlsx: список телефильмов</t>
        </is>
      </c>
      <c r="M728" s="2">
        <f>HYPERLINK("https://ru.wikipedia.org/w/index.php?search=%D0%92%20%D0%B7%D0%B0%D1%89%D0%B8%D1%82%D0%B5%20%D0%BD%D0%B5%20%D0%BD%D1%83%D0%B6%D0%B4%D0%B0%D1%8E%D1%81%D1%8C%201987%20%D1%84%D0%B8%D0%BB%D1%8C%D0%BC","искать")</f>
        <v/>
      </c>
      <c r="N728" s="3" t="n"/>
      <c r="O728" s="2" t="n"/>
    </row>
    <row r="729">
      <c r="A729" s="2" t="n">
        <v>728</v>
      </c>
      <c r="B729" s="2" t="inlineStr">
        <is>
          <t>не сюжет</t>
        </is>
      </c>
      <c r="C729" s="2" t="n">
        <v>7834</v>
      </c>
      <c r="D729" s="3" t="inlineStr">
        <is>
          <t>Люди моего аула</t>
        </is>
      </c>
      <c r="E729" s="2" t="n">
        <v>1983</v>
      </c>
      <c r="F729" s="2" t="inlineStr">
        <is>
          <t>телефильм</t>
        </is>
      </c>
      <c r="G729" s="2" t="n"/>
      <c r="H729" s="2" t="n">
        <v>47</v>
      </c>
      <c r="I729" s="2" t="inlineStr"/>
      <c r="J729" s="2" t="inlineStr">
        <is>
          <t>да</t>
        </is>
      </c>
      <c r="K729" s="3" t="inlineStr">
        <is>
          <t>Телефильм по роману Я. Мамадиева "Родная земля"</t>
        </is>
      </c>
      <c r="L729" s="2" t="inlineStr">
        <is>
          <t>Кино_СССР сводный каталог.xlsx: список телефильмов</t>
        </is>
      </c>
      <c r="M729" s="2">
        <f>HYPERLINK("https://ru.wikipedia.org/w/index.php?search=%D0%9B%D1%8E%D0%B4%D0%B8%20%D0%BC%D0%BE%D0%B5%D0%B3%D0%BE%20%D0%B0%D1%83%D0%BB%D0%B0%201983%20%D1%84%D0%B8%D0%BB%D1%8C%D0%BC","искать")</f>
        <v/>
      </c>
      <c r="N729" s="3" t="n"/>
      <c r="O729" s="2" t="n"/>
    </row>
    <row r="730">
      <c r="A730" s="2" t="n">
        <v>729</v>
      </c>
      <c r="B730" s="2" t="inlineStr">
        <is>
          <t>не сюжет</t>
        </is>
      </c>
      <c r="C730" s="2" t="n">
        <v>8631</v>
      </c>
      <c r="D730" s="3" t="inlineStr">
        <is>
          <t>Белая ночь для слепого гонца</t>
        </is>
      </c>
      <c r="E730" s="2" t="n">
        <v>1989</v>
      </c>
      <c r="F730" s="2" t="inlineStr">
        <is>
          <t>кинофильм</t>
        </is>
      </c>
      <c r="G730" s="2" t="n"/>
      <c r="H730" s="2" t="n">
        <v>47</v>
      </c>
      <c r="I730" s="2" t="inlineStr"/>
      <c r="J730" s="2" t="inlineStr">
        <is>
          <t>да</t>
        </is>
      </c>
      <c r="K730" s="3" t="inlineStr">
        <is>
          <t>О вере и безверии, о непостижимости сути бытия.</t>
        </is>
      </c>
      <c r="L730" s="2" t="inlineStr">
        <is>
          <t>Кино_СССР сводный каталог.xlsx: список фильмов (доп.)</t>
        </is>
      </c>
      <c r="M730" s="2">
        <f>HYPERLINK("https://ru.wikipedia.org/w/index.php?search=%D0%91%D0%B5%D0%BB%D0%B0%D1%8F%20%D0%BD%D0%BE%D1%87%D1%8C%20%D0%B4%D0%BB%D1%8F%20%D1%81%D0%BB%D0%B5%D0%BF%D0%BE%D0%B3%D0%BE%20%D0%B3%D0%BE%D0%BD%D1%86%D0%B0%201989%20%D1%84%D0%B8%D0%BB%D1%8C%D0%BC","искать")</f>
        <v/>
      </c>
      <c r="N730" s="3" t="n"/>
      <c r="O730" s="2" t="n"/>
    </row>
    <row r="731">
      <c r="A731" s="2" t="n">
        <v>730</v>
      </c>
      <c r="B731" s="2" t="inlineStr">
        <is>
          <t>не сюжет</t>
        </is>
      </c>
      <c r="C731" s="2" t="n">
        <v>9997</v>
      </c>
      <c r="D731" s="3" t="inlineStr">
        <is>
          <t>Мальва</t>
        </is>
      </c>
      <c r="E731" s="2" t="n">
        <v>1984</v>
      </c>
      <c r="F731" s="2" t="inlineStr">
        <is>
          <t>кинофильм</t>
        </is>
      </c>
      <c r="G731" s="2" t="inlineStr">
        <is>
          <t>ВКСР, Подборки фильмов, экранизации Горького</t>
        </is>
      </c>
      <c r="H731" s="2" t="n">
        <v>47</v>
      </c>
      <c r="I731" s="2" t="inlineStr"/>
      <c r="J731" s="2" t="inlineStr">
        <is>
          <t>да</t>
        </is>
      </c>
      <c r="K731" s="3" t="inlineStr">
        <is>
          <t>Экранизация одноименного рассказа А.М.Горького.</t>
        </is>
      </c>
      <c r="L731" s="2" t="inlineStr">
        <is>
          <t>https://www.kino-teatr.ru/short/movie/sov/88855/annot/</t>
        </is>
      </c>
      <c r="M731" s="2">
        <f>HYPERLINK("https://ru.wikipedia.org/w/index.php?search=%D0%9C%D0%B0%D0%BB%D1%8C%D0%B2%D0%B0%201984%20%D1%84%D0%B8%D0%BB%D1%8C%D0%BC","искать")</f>
        <v/>
      </c>
      <c r="N731" s="3" t="n"/>
      <c r="O731" s="2" t="n"/>
    </row>
    <row r="732">
      <c r="A732" s="2" t="n">
        <v>731</v>
      </c>
      <c r="B732" s="2" t="inlineStr">
        <is>
          <t>не сюжет</t>
        </is>
      </c>
      <c r="C732" s="2" t="n">
        <v>10200</v>
      </c>
      <c r="D732" s="3" t="inlineStr">
        <is>
          <t>Кремлёвские куранты</t>
        </is>
      </c>
      <c r="E732" s="2" t="n">
        <v>1967</v>
      </c>
      <c r="F732" s="2" t="inlineStr">
        <is>
          <t>фильм-спектакль</t>
        </is>
      </c>
      <c r="G732" s="2" t="n"/>
      <c r="H732" s="2" t="n">
        <v>47</v>
      </c>
      <c r="I732" s="2" t="inlineStr"/>
      <c r="J732" s="2" t="inlineStr">
        <is>
          <t>да</t>
        </is>
      </c>
      <c r="K732" s="3" t="inlineStr">
        <is>
          <t>Спектакль МХАТ им.Горького по пьесе Н.Погодина.</t>
        </is>
      </c>
      <c r="L732" s="2" t="inlineStr">
        <is>
          <t>https://www.kino-teatr.ru/teatr/movie/83133/annot/</t>
        </is>
      </c>
      <c r="M732" s="2">
        <f>HYPERLINK("https://ru.wikipedia.org/w/index.php?search=%D0%9A%D1%80%D0%B5%D0%BC%D0%BB%D1%91%D0%B2%D1%81%D0%BA%D0%B8%D0%B5%20%D0%BA%D1%83%D1%80%D0%B0%D0%BD%D1%82%D1%8B%201967%20%D1%84%D0%B8%D0%BB%D1%8C%D0%BC","искать")</f>
        <v/>
      </c>
      <c r="N732" s="3" t="n"/>
      <c r="O732" s="2" t="n"/>
    </row>
    <row r="733">
      <c r="A733" s="2" t="n">
        <v>732</v>
      </c>
      <c r="B733" s="2" t="inlineStr">
        <is>
          <t>не сюжет</t>
        </is>
      </c>
      <c r="C733" s="2" t="n">
        <v>10386</v>
      </c>
      <c r="D733" s="3" t="inlineStr">
        <is>
          <t>Два веронца</t>
        </is>
      </c>
      <c r="E733" s="2" t="n">
        <v>1971</v>
      </c>
      <c r="F733" s="2" t="inlineStr">
        <is>
          <t>фильм-спектакль</t>
        </is>
      </c>
      <c r="G733" s="2" t="inlineStr">
        <is>
          <t>Ленинградское ТВ</t>
        </is>
      </c>
      <c r="H733" s="2" t="n">
        <v>47</v>
      </c>
      <c r="I733" s="2" t="inlineStr"/>
      <c r="J733" s="2" t="inlineStr">
        <is>
          <t>да</t>
        </is>
      </c>
      <c r="K733" s="3" t="inlineStr">
        <is>
          <t>Фильм-спектакль по одноименной пьесе В.Шекспира</t>
        </is>
      </c>
      <c r="L733" s="2" t="inlineStr">
        <is>
          <t>https://www.kino-teatr.ru/teatr/movie/15334/annot/</t>
        </is>
      </c>
      <c r="M733" s="2">
        <f>HYPERLINK("https://ru.wikipedia.org/w/index.php?search=%D0%94%D0%B2%D0%B0%20%D0%B2%D0%B5%D1%80%D0%BE%D0%BD%D1%86%D0%B0%201971%20%D1%84%D0%B8%D0%BB%D1%8C%D0%BC","искать")</f>
        <v/>
      </c>
      <c r="N733" s="3" t="n"/>
      <c r="O733" s="2" t="n"/>
    </row>
    <row r="734">
      <c r="A734" s="2" t="n">
        <v>733</v>
      </c>
      <c r="B734" s="2" t="inlineStr">
        <is>
          <t>не сюжет</t>
        </is>
      </c>
      <c r="C734" s="2" t="n">
        <v>9838</v>
      </c>
      <c r="D734" s="3" t="inlineStr">
        <is>
          <t>Гроза</t>
        </is>
      </c>
      <c r="E734" s="2" t="n">
        <v>1967</v>
      </c>
      <c r="F734" s="2" t="inlineStr">
        <is>
          <t>телефильм</t>
        </is>
      </c>
      <c r="G734" s="2" t="inlineStr">
        <is>
          <t>Рижское телевидение</t>
        </is>
      </c>
      <c r="H734" s="2" t="n">
        <v>48</v>
      </c>
      <c r="I734" s="2" t="inlineStr"/>
      <c r="J734" s="2" t="inlineStr">
        <is>
          <t>да</t>
        </is>
      </c>
      <c r="K734" s="3" t="inlineStr">
        <is>
          <t>Экранизация рассказа Рудолфа Блауманиса "Гроза".</t>
        </is>
      </c>
      <c r="L734" s="2" t="inlineStr">
        <is>
          <t>https://www.kino-teatr.ru/short/movie/sov/116901/annot/</t>
        </is>
      </c>
      <c r="M734" s="2">
        <f>HYPERLINK("https://ru.wikipedia.org/w/index.php?search=%D0%93%D1%80%D0%BE%D0%B7%D0%B0%201967%20%D1%84%D0%B8%D0%BB%D1%8C%D0%BC","искать")</f>
        <v/>
      </c>
      <c r="N734" s="3" t="n"/>
      <c r="O734" s="2" t="n"/>
    </row>
    <row r="735">
      <c r="A735" s="2" t="n">
        <v>734</v>
      </c>
      <c r="B735" s="2" t="inlineStr">
        <is>
          <t>не сюжет</t>
        </is>
      </c>
      <c r="C735" s="2" t="n">
        <v>9899</v>
      </c>
      <c r="D735" s="3" t="inlineStr">
        <is>
          <t>Фонтан</t>
        </is>
      </c>
      <c r="E735" s="2" t="n">
        <v>1972</v>
      </c>
      <c r="F735" s="2" t="inlineStr">
        <is>
          <t>кинофильм</t>
        </is>
      </c>
      <c r="G735" s="2" t="inlineStr">
        <is>
          <t>Грузия-фильм</t>
        </is>
      </c>
      <c r="H735" s="2" t="n">
        <v>48</v>
      </c>
      <c r="I735" s="2" t="inlineStr"/>
      <c r="J735" s="2" t="inlineStr">
        <is>
          <t>да</t>
        </is>
      </c>
      <c r="K735" s="3" t="inlineStr">
        <is>
          <t>Лирическая киноновелла о первой юношеской любви.</t>
        </is>
      </c>
      <c r="L735" s="2" t="inlineStr">
        <is>
          <t>https://www.kino-teatr.ru/short/movie/sov/84580/annot/</t>
        </is>
      </c>
      <c r="M735" s="2">
        <f>HYPERLINK("https://ru.wikipedia.org/w/index.php?search=%D0%A4%D0%BE%D0%BD%D1%82%D0%B0%D0%BD%201972%20%D1%84%D0%B8%D0%BB%D1%8C%D0%BC","искать")</f>
        <v/>
      </c>
      <c r="N735" s="3" t="n"/>
      <c r="O735" s="2" t="n"/>
    </row>
    <row r="736">
      <c r="A736" s="2" t="n">
        <v>735</v>
      </c>
      <c r="B736" s="2" t="inlineStr">
        <is>
          <t>не сюжет</t>
        </is>
      </c>
      <c r="C736" s="2" t="n">
        <v>10104</v>
      </c>
      <c r="D736" s="3" t="inlineStr">
        <is>
          <t>Шумят пороги Уэйкенго</t>
        </is>
      </c>
      <c r="E736" s="2" t="n">
        <v>1962</v>
      </c>
      <c r="F736" s="2" t="inlineStr">
        <is>
          <t>фильм-спектакль</t>
        </is>
      </c>
      <c r="G736" s="2" t="inlineStr">
        <is>
          <t>Ленинградская телестудия</t>
        </is>
      </c>
      <c r="H736" s="2" t="n">
        <v>48</v>
      </c>
      <c r="I736" s="2" t="inlineStr"/>
      <c r="J736" s="2" t="inlineStr">
        <is>
          <t>да</t>
        </is>
      </c>
      <c r="K736" s="3" t="inlineStr">
        <is>
          <t>Телефильм по роману Б.Дэвидсона "Речные пороги".</t>
        </is>
      </c>
      <c r="L736" s="2" t="inlineStr">
        <is>
          <t>https://www.kino-teatr.ru/teatr/movie/87236/annot/</t>
        </is>
      </c>
      <c r="M736" s="2">
        <f>HYPERLINK("https://ru.wikipedia.org/w/index.php?search=%D0%A8%D1%83%D0%BC%D1%8F%D1%82%20%D0%BF%D0%BE%D1%80%D0%BE%D0%B3%D0%B8%20%D0%A3%D1%8D%D0%B9%D0%BA%D0%B5%D0%BD%D0%B3%D0%BE%201962%20%D1%84%D0%B8%D0%BB%D1%8C%D0%BC","искать")</f>
        <v/>
      </c>
      <c r="N736" s="3" t="n"/>
      <c r="O736" s="2" t="n"/>
    </row>
    <row r="737">
      <c r="A737" s="2" t="n">
        <v>736</v>
      </c>
      <c r="B737" s="2" t="inlineStr">
        <is>
          <t>не сюжет</t>
        </is>
      </c>
      <c r="C737" s="2" t="n">
        <v>10764</v>
      </c>
      <c r="D737" s="3" t="inlineStr">
        <is>
          <t>Ой, не ходи, Грыць, да на вечерницы</t>
        </is>
      </c>
      <c r="E737" s="2" t="n">
        <v>1978</v>
      </c>
      <c r="F737" s="2" t="inlineStr">
        <is>
          <t>фильм-спектакль</t>
        </is>
      </c>
      <c r="G737" s="2" t="inlineStr">
        <is>
          <t>Укртелефильм</t>
        </is>
      </c>
      <c r="H737" s="2" t="n">
        <v>48</v>
      </c>
      <c r="I737" s="2" t="inlineStr"/>
      <c r="J737" s="2" t="inlineStr">
        <is>
          <t>да</t>
        </is>
      </c>
      <c r="K737" s="3" t="inlineStr">
        <is>
          <t>По мотивам одноименной пьесы Михайла Старицкого.</t>
        </is>
      </c>
      <c r="L737" s="2" t="inlineStr">
        <is>
          <t>https://www.kino-teatr.ru/teatr/movie/119429/annot/</t>
        </is>
      </c>
      <c r="M737" s="2">
        <f>HYPERLINK("https://ru.wikipedia.org/w/index.php?search=%D0%9E%D0%B9%2C%20%D0%BD%D0%B5%20%D1%85%D0%BE%D0%B4%D0%B8%2C%20%D0%93%D1%80%D1%8B%D1%86%D1%8C%2C%20%D0%B4%D0%B0%20%D0%BD%D0%B0%20%D0%B2%D0%B5%D1%87%D0%B5%D1%80%D0%BD%D0%B8%D1%86%D1%8B%201978%20%D1%84%D0%B8%D0%BB%D1%8C%D0%BC","искать")</f>
        <v/>
      </c>
      <c r="N737" s="3" t="n"/>
      <c r="O737" s="2" t="n"/>
    </row>
    <row r="738">
      <c r="A738" s="2" t="n">
        <v>737</v>
      </c>
      <c r="B738" s="2" t="inlineStr">
        <is>
          <t>не сюжет</t>
        </is>
      </c>
      <c r="C738" s="2" t="n">
        <v>10879</v>
      </c>
      <c r="D738" s="3" t="inlineStr">
        <is>
          <t>Дело Артамоновых</t>
        </is>
      </c>
      <c r="E738" s="2" t="n">
        <v>1981</v>
      </c>
      <c r="F738" s="2" t="inlineStr">
        <is>
          <t>фильм-спектакль</t>
        </is>
      </c>
      <c r="G738" s="2" t="inlineStr">
        <is>
          <t>Ленинградское телевидение</t>
        </is>
      </c>
      <c r="H738" s="2" t="n">
        <v>48</v>
      </c>
      <c r="I738" s="2" t="inlineStr"/>
      <c r="J738" s="2" t="inlineStr">
        <is>
          <t>да</t>
        </is>
      </c>
      <c r="K738" s="3" t="inlineStr">
        <is>
          <t>Телеспектакль по одноименной повести М.Горького.</t>
        </is>
      </c>
      <c r="L738" s="2" t="inlineStr">
        <is>
          <t>https://www.kino-teatr.ru/teatr/movie/96499/annot/</t>
        </is>
      </c>
      <c r="M738" s="2">
        <f>HYPERLINK("https://ru.wikipedia.org/w/index.php?search=%D0%94%D0%B5%D0%BB%D0%BE%20%D0%90%D1%80%D1%82%D0%B0%D0%BC%D0%BE%D0%BD%D0%BE%D0%B2%D1%8B%D1%85%201981%20%D1%84%D0%B8%D0%BB%D1%8C%D0%BC","искать")</f>
        <v/>
      </c>
      <c r="N738" s="3" t="n"/>
      <c r="O738" s="2" t="n"/>
    </row>
    <row r="739">
      <c r="A739" s="2" t="n">
        <v>738</v>
      </c>
      <c r="B739" s="2" t="inlineStr">
        <is>
          <t>не сюжет</t>
        </is>
      </c>
      <c r="C739" s="2" t="n">
        <v>11082</v>
      </c>
      <c r="D739" s="3" t="inlineStr">
        <is>
          <t>Сорочинская ярмарка</t>
        </is>
      </c>
      <c r="E739" s="2" t="n">
        <v>1985</v>
      </c>
      <c r="F739" s="2" t="inlineStr">
        <is>
          <t>фильм-спектакль</t>
        </is>
      </c>
      <c r="G739" s="2" t="inlineStr">
        <is>
          <t>Главная редакция литературно-драматических программ</t>
        </is>
      </c>
      <c r="H739" s="2" t="n">
        <v>48</v>
      </c>
      <c r="I739" s="2" t="inlineStr"/>
      <c r="J739" s="2" t="inlineStr">
        <is>
          <t>да</t>
        </is>
      </c>
      <c r="K739" s="3" t="inlineStr">
        <is>
          <t>По "Вечерам на хуторе близ Диканьки" Н.В.Гоголя.</t>
        </is>
      </c>
      <c r="L739" s="2" t="inlineStr">
        <is>
          <t>https://www.kino-teatr.ru/teatr/movie/97468/annot/</t>
        </is>
      </c>
      <c r="M739" s="2">
        <f>HYPERLINK("https://ru.wikipedia.org/w/index.php?search=%D0%A1%D0%BE%D1%80%D0%BE%D1%87%D0%B8%D0%BD%D1%81%D0%BA%D0%B0%D1%8F%20%D1%8F%D1%80%D0%BC%D0%B0%D1%80%D0%BA%D0%B0%201985%20%D1%84%D0%B8%D0%BB%D1%8C%D0%BC","искать")</f>
        <v/>
      </c>
      <c r="N739" s="3" t="n"/>
      <c r="O739" s="2" t="n"/>
    </row>
    <row r="740">
      <c r="A740" s="2" t="n">
        <v>739</v>
      </c>
      <c r="B740" s="2" t="inlineStr">
        <is>
          <t>не сюжет</t>
        </is>
      </c>
      <c r="C740" s="2" t="n">
        <v>7841</v>
      </c>
      <c r="D740" s="3" t="inlineStr">
        <is>
          <t>Маленькие трагедии</t>
        </is>
      </c>
      <c r="E740" s="2" t="n">
        <v>1979</v>
      </c>
      <c r="F740" s="2" t="inlineStr">
        <is>
          <t>телефильм</t>
        </is>
      </c>
      <c r="G740" s="2" t="n"/>
      <c r="H740" s="2" t="n">
        <v>49</v>
      </c>
      <c r="I740" s="2" t="inlineStr"/>
      <c r="J740" s="2" t="inlineStr">
        <is>
          <t>да</t>
        </is>
      </c>
      <c r="K740" s="3" t="inlineStr">
        <is>
          <t>Телесериал. Экранизация произведений А.С.Пушкина.</t>
        </is>
      </c>
      <c r="L740" s="2" t="inlineStr">
        <is>
          <t>Кино_СССР сводный каталог.xlsx: список телефильмов</t>
        </is>
      </c>
      <c r="M740" s="2">
        <f>HYPERLINK("https://ru.wikipedia.org/w/index.php?search=%D0%9C%D0%B0%D0%BB%D0%B5%D0%BD%D1%8C%D0%BA%D0%B8%D0%B5%20%D1%82%D1%80%D0%B0%D0%B3%D0%B5%D0%B4%D0%B8%D0%B8%201979%20%D1%84%D0%B8%D0%BB%D1%8C%D0%BC","искать")</f>
        <v/>
      </c>
      <c r="N740" s="3" t="n"/>
      <c r="O740" s="2" t="n"/>
    </row>
    <row r="741">
      <c r="A741" s="2" t="n">
        <v>740</v>
      </c>
      <c r="B741" s="2" t="inlineStr">
        <is>
          <t>не сюжет</t>
        </is>
      </c>
      <c r="C741" s="2" t="n">
        <v>9832</v>
      </c>
      <c r="D741" s="3" t="inlineStr">
        <is>
          <t>День без числа</t>
        </is>
      </c>
      <c r="E741" s="2" t="n">
        <v>1966</v>
      </c>
      <c r="F741" s="2" t="inlineStr">
        <is>
          <t>телефильм</t>
        </is>
      </c>
      <c r="G741" s="2" t="inlineStr">
        <is>
          <t>Рижская киностудия по заказу Центрального телевидения</t>
        </is>
      </c>
      <c r="H741" s="2" t="n">
        <v>49</v>
      </c>
      <c r="I741" s="2" t="inlineStr"/>
      <c r="J741" s="2" t="inlineStr">
        <is>
          <t>да</t>
        </is>
      </c>
      <c r="K741" s="3" t="inlineStr">
        <is>
          <t>Телефильм. Лирическая киноновелла о первой любви.</t>
        </is>
      </c>
      <c r="L741" s="2" t="inlineStr">
        <is>
          <t>https://www.kino-teatr.ru/short/movie/sov/83907/annot/</t>
        </is>
      </c>
      <c r="M741" s="2">
        <f>HYPERLINK("https://ru.wikipedia.org/w/index.php?search=%D0%94%D0%B5%D0%BD%D1%8C%20%D0%B1%D0%B5%D0%B7%20%D1%87%D0%B8%D1%81%D0%BB%D0%B0%201966%20%D1%84%D0%B8%D0%BB%D1%8C%D0%BC","искать")</f>
        <v/>
      </c>
      <c r="N741" s="3" t="n"/>
      <c r="O741" s="2" t="n"/>
    </row>
    <row r="742">
      <c r="A742" s="2" t="n">
        <v>741</v>
      </c>
      <c r="B742" s="2" t="inlineStr">
        <is>
          <t>не сюжет</t>
        </is>
      </c>
      <c r="C742" s="2" t="n">
        <v>10031</v>
      </c>
      <c r="D742" s="3" t="inlineStr">
        <is>
          <t>Неизвестная</t>
        </is>
      </c>
      <c r="E742" s="2" t="n">
        <v>1988</v>
      </c>
      <c r="F742" s="2" t="inlineStr">
        <is>
          <t>кинофильм</t>
        </is>
      </c>
      <c r="G742" s="2" t="inlineStr">
        <is>
          <t>Дебют</t>
        </is>
      </c>
      <c r="H742" s="2" t="n">
        <v>49</v>
      </c>
      <c r="I742" s="2" t="inlineStr"/>
      <c r="J742" s="2" t="inlineStr">
        <is>
          <t>да</t>
        </is>
      </c>
      <c r="K742" s="3" t="inlineStr">
        <is>
          <t>По мотивам рассказа Валентины Сидоренко «Марька».</t>
        </is>
      </c>
      <c r="L742" s="2" t="inlineStr">
        <is>
          <t>https://www.kino-teatr.ru/short/movie/sov/4390/annot/</t>
        </is>
      </c>
      <c r="M742" s="2">
        <f>HYPERLINK("https://ru.wikipedia.org/w/index.php?search=%D0%9D%D0%B5%D0%B8%D0%B7%D0%B2%D0%B5%D1%81%D1%82%D0%BD%D0%B0%D1%8F%201988%20%D1%84%D0%B8%D0%BB%D1%8C%D0%BC","искать")</f>
        <v/>
      </c>
      <c r="N742" s="3" t="n"/>
      <c r="O742" s="2" t="n"/>
    </row>
    <row r="743">
      <c r="A743" s="2" t="n">
        <v>742</v>
      </c>
      <c r="B743" s="2" t="inlineStr">
        <is>
          <t>не сюжет</t>
        </is>
      </c>
      <c r="C743" s="2" t="n">
        <v>10067</v>
      </c>
      <c r="D743" s="3" t="inlineStr">
        <is>
          <t>Моцарт и Сальери</t>
        </is>
      </c>
      <c r="E743" s="2" t="n">
        <v>1958</v>
      </c>
      <c r="F743" s="2" t="inlineStr">
        <is>
          <t>фильм-спектакль</t>
        </is>
      </c>
      <c r="G743" s="2" t="inlineStr">
        <is>
          <t>Центральная студия телевидения</t>
        </is>
      </c>
      <c r="H743" s="2" t="n">
        <v>49</v>
      </c>
      <c r="I743" s="2" t="inlineStr"/>
      <c r="J743" s="2" t="inlineStr">
        <is>
          <t>да</t>
        </is>
      </c>
      <c r="K743" s="3" t="inlineStr">
        <is>
          <t>Экранизация одноименного произведения А.С.Пушкина</t>
        </is>
      </c>
      <c r="L743" s="2" t="inlineStr">
        <is>
          <t>https://www.kino-teatr.ru/teatr/movie/82163/annot/</t>
        </is>
      </c>
      <c r="M743" s="2">
        <f>HYPERLINK("https://ru.wikipedia.org/w/index.php?search=%D0%9C%D0%BE%D1%86%D0%B0%D1%80%D1%82%20%D0%B8%20%D0%A1%D0%B0%D0%BB%D1%8C%D0%B5%D1%80%D0%B8%201958%20%D1%84%D0%B8%D0%BB%D1%8C%D0%BC","искать")</f>
        <v/>
      </c>
      <c r="N743" s="3" t="n"/>
      <c r="O743" s="2" t="n"/>
    </row>
    <row r="744">
      <c r="A744" s="2" t="n">
        <v>743</v>
      </c>
      <c r="B744" s="2" t="inlineStr">
        <is>
          <t>не сюжет</t>
        </is>
      </c>
      <c r="C744" s="2" t="n">
        <v>10171</v>
      </c>
      <c r="D744" s="3" t="inlineStr">
        <is>
          <t>Первая любовь</t>
        </is>
      </c>
      <c r="E744" s="2" t="n">
        <v>1966</v>
      </c>
      <c r="F744" s="2" t="inlineStr">
        <is>
          <t>фильм-спектакль</t>
        </is>
      </c>
      <c r="G744" s="2" t="inlineStr">
        <is>
          <t>Ленинградское телевидение</t>
        </is>
      </c>
      <c r="H744" s="2" t="n">
        <v>49</v>
      </c>
      <c r="I744" s="2" t="inlineStr"/>
      <c r="J744" s="2" t="inlineStr">
        <is>
          <t>да</t>
        </is>
      </c>
      <c r="K744" s="3" t="inlineStr">
        <is>
          <t>Телеспектакль по одноименной повести И.Тургенева.</t>
        </is>
      </c>
      <c r="L744" s="2" t="inlineStr">
        <is>
          <t>https://www.kino-teatr.ru/teatr/movie/100119/annot/</t>
        </is>
      </c>
      <c r="M744" s="2">
        <f>HYPERLINK("https://ru.wikipedia.org/w/index.php?search=%D0%9F%D0%B5%D1%80%D0%B2%D0%B0%D1%8F%20%D0%BB%D1%8E%D0%B1%D0%BE%D0%B2%D1%8C%201966%20%D1%84%D0%B8%D0%BB%D1%8C%D0%BC","искать")</f>
        <v/>
      </c>
      <c r="N744" s="3" t="n"/>
      <c r="O744" s="2" t="n"/>
    </row>
    <row r="745">
      <c r="A745" s="2" t="n">
        <v>744</v>
      </c>
      <c r="B745" s="2" t="inlineStr">
        <is>
          <t>не сюжет</t>
        </is>
      </c>
      <c r="C745" s="2" t="n">
        <v>10213</v>
      </c>
      <c r="D745" s="3" t="inlineStr">
        <is>
          <t>Приключения Тома Сойера</t>
        </is>
      </c>
      <c r="E745" s="2" t="n">
        <v>1967</v>
      </c>
      <c r="F745" s="2" t="inlineStr">
        <is>
          <t>фильм-спектакль</t>
        </is>
      </c>
      <c r="G745" s="2" t="inlineStr">
        <is>
          <t>Československá televize</t>
        </is>
      </c>
      <c r="H745" s="2" t="n">
        <v>49</v>
      </c>
      <c r="I745" s="2" t="inlineStr"/>
      <c r="J745" s="2" t="inlineStr">
        <is>
          <t>да</t>
        </is>
      </c>
      <c r="K745" s="3" t="inlineStr">
        <is>
          <t>Телеспектакль по одноименному роману Марка Твена.</t>
        </is>
      </c>
      <c r="L745" s="2" t="inlineStr">
        <is>
          <t>https://www.kino-teatr.ru/teatr/movie/136973/annot/</t>
        </is>
      </c>
      <c r="M745" s="2">
        <f>HYPERLINK("https://ru.wikipedia.org/w/index.php?search=%D0%9F%D1%80%D0%B8%D0%BA%D0%BB%D1%8E%D1%87%D0%B5%D0%BD%D0%B8%D1%8F%20%D0%A2%D0%BE%D0%BC%D0%B0%20%D0%A1%D0%BE%D0%B9%D0%B5%D1%80%D0%B0%201967%20%D1%84%D0%B8%D0%BB%D1%8C%D0%BC","искать")</f>
        <v/>
      </c>
      <c r="N745" s="3" t="n"/>
      <c r="O745" s="2" t="n"/>
    </row>
    <row r="746">
      <c r="A746" s="2" t="n">
        <v>745</v>
      </c>
      <c r="B746" s="2" t="inlineStr">
        <is>
          <t>не сюжет</t>
        </is>
      </c>
      <c r="C746" s="2" t="n">
        <v>10291</v>
      </c>
      <c r="D746" s="3" t="inlineStr">
        <is>
          <t>Барышня-крестьянка</t>
        </is>
      </c>
      <c r="E746" s="2" t="n">
        <v>1969</v>
      </c>
      <c r="F746" s="2" t="inlineStr">
        <is>
          <t>фильм-спектакль</t>
        </is>
      </c>
      <c r="G746" s="2" t="inlineStr">
        <is>
          <t>Ленинградское ТВ</t>
        </is>
      </c>
      <c r="H746" s="2" t="n">
        <v>49</v>
      </c>
      <c r="I746" s="2" t="inlineStr"/>
      <c r="J746" s="2" t="inlineStr">
        <is>
          <t>да</t>
        </is>
      </c>
      <c r="K746" s="3" t="inlineStr">
        <is>
          <t>Телеспектакль по одноименной повести А.С.Пушкина.</t>
        </is>
      </c>
      <c r="L746" s="2" t="inlineStr">
        <is>
          <t>https://www.kino-teatr.ru/teatr/movie/391/annot/</t>
        </is>
      </c>
      <c r="M746" s="2">
        <f>HYPERLINK("https://ru.wikipedia.org/w/index.php?search=%D0%91%D0%B0%D1%80%D1%8B%D1%88%D0%BD%D1%8F-%D0%BA%D1%80%D0%B5%D1%81%D1%82%D1%8C%D1%8F%D0%BD%D0%BA%D0%B0%201969%20%D1%84%D0%B8%D0%BB%D1%8C%D0%BC","искать")</f>
        <v/>
      </c>
      <c r="N746" s="3" t="n"/>
      <c r="O746" s="2" t="n"/>
    </row>
    <row r="747">
      <c r="A747" s="2" t="n">
        <v>746</v>
      </c>
      <c r="B747" s="2" t="inlineStr">
        <is>
          <t>не сюжет</t>
        </is>
      </c>
      <c r="C747" s="2" t="n">
        <v>10877</v>
      </c>
      <c r="D747" s="3" t="inlineStr">
        <is>
          <t>Волк и семеро козлят</t>
        </is>
      </c>
      <c r="E747" s="2" t="n">
        <v>1981</v>
      </c>
      <c r="F747" s="2" t="inlineStr">
        <is>
          <t>фильм-спектакль</t>
        </is>
      </c>
      <c r="G747" s="2" t="n"/>
      <c r="H747" s="2" t="n">
        <v>49</v>
      </c>
      <c r="I747" s="2" t="inlineStr"/>
      <c r="J747" s="2" t="inlineStr">
        <is>
          <t>да</t>
        </is>
      </c>
      <c r="K747" s="3" t="inlineStr">
        <is>
          <t>По сказке болгарского писателя Недялко Иорданова.</t>
        </is>
      </c>
      <c r="L747" s="2" t="inlineStr">
        <is>
          <t>https://www.kino-teatr.ru/teatr/movie/104624/annot/</t>
        </is>
      </c>
      <c r="M747" s="2">
        <f>HYPERLINK("https://ru.wikipedia.org/w/index.php?search=%D0%92%D0%BE%D0%BB%D0%BA%20%D0%B8%20%D1%81%D0%B5%D0%BC%D0%B5%D1%80%D0%BE%20%D0%BA%D0%BE%D0%B7%D0%BB%D1%8F%D1%82%201981%20%D1%84%D0%B8%D0%BB%D1%8C%D0%BC","искать")</f>
        <v/>
      </c>
      <c r="N747" s="3" t="n"/>
      <c r="O747" s="2" t="n"/>
    </row>
    <row r="748">
      <c r="A748" s="2" t="n">
        <v>747</v>
      </c>
      <c r="B748" s="2" t="inlineStr">
        <is>
          <t>не сюжет</t>
        </is>
      </c>
      <c r="C748" s="2" t="n">
        <v>11202</v>
      </c>
      <c r="D748" s="3" t="inlineStr">
        <is>
          <t>Зойкина квартира</t>
        </is>
      </c>
      <c r="E748" s="2" t="n">
        <v>1988</v>
      </c>
      <c r="F748" s="2" t="inlineStr">
        <is>
          <t>фильм-спектакль</t>
        </is>
      </c>
      <c r="G748" s="2" t="inlineStr">
        <is>
          <t>ВПТО Видеофильм</t>
        </is>
      </c>
      <c r="H748" s="2" t="n">
        <v>49</v>
      </c>
      <c r="I748" s="2" t="inlineStr"/>
      <c r="J748" s="2" t="inlineStr">
        <is>
          <t>да</t>
        </is>
      </c>
      <c r="K748" s="3" t="inlineStr">
        <is>
          <t>Спектакль по одноимённой пьесе Михаила Булгакова.</t>
        </is>
      </c>
      <c r="L748" s="2" t="inlineStr">
        <is>
          <t>https://www.kino-teatr.ru/teatr/movie/111225/annot/</t>
        </is>
      </c>
      <c r="M748" s="2">
        <f>HYPERLINK("https://ru.wikipedia.org/w/index.php?search=%D0%97%D0%BE%D0%B9%D0%BA%D0%B8%D0%BD%D0%B0%20%D0%BA%D0%B2%D0%B0%D1%80%D1%82%D0%B8%D1%80%D0%B0%201988%20%D1%84%D0%B8%D0%BB%D1%8C%D0%BC","искать")</f>
        <v/>
      </c>
      <c r="N748" s="3" t="n"/>
      <c r="O748" s="2" t="n"/>
    </row>
    <row r="749">
      <c r="A749" s="2" t="n">
        <v>748</v>
      </c>
      <c r="B749" s="2" t="inlineStr">
        <is>
          <t>не сюжет</t>
        </is>
      </c>
      <c r="C749" s="2" t="n">
        <v>9773</v>
      </c>
      <c r="D749" s="3" t="inlineStr">
        <is>
          <t>Штурмовые ночи</t>
        </is>
      </c>
      <c r="E749" s="2" t="n">
        <v>1931</v>
      </c>
      <c r="F749" s="2" t="inlineStr">
        <is>
          <t>кинофильм</t>
        </is>
      </c>
      <c r="G749" s="2" t="inlineStr">
        <is>
          <t>Одесская кинофабрика «Украинфильм»</t>
        </is>
      </c>
      <c r="H749" s="2" t="n">
        <v>50</v>
      </c>
      <c r="I749" s="2" t="inlineStr"/>
      <c r="J749" s="2" t="inlineStr">
        <is>
          <t>да</t>
        </is>
      </c>
      <c r="K749" s="3" t="inlineStr">
        <is>
          <t>О приходе крестьянина на строительство Днепрогэса.</t>
        </is>
      </c>
      <c r="L749" s="2" t="inlineStr">
        <is>
          <t>Кино_СССР сводный каталог.xlsx: список фильмов (доп.)</t>
        </is>
      </c>
      <c r="M749" s="2">
        <f>HYPERLINK("https://ru.wikipedia.org/w/index.php?search=%D0%A8%D1%82%D1%83%D1%80%D0%BC%D0%BE%D0%B2%D1%8B%D0%B5%20%D0%BD%D0%BE%D1%87%D0%B8%201931%20%D1%84%D0%B8%D0%BB%D1%8C%D0%BC","искать")</f>
        <v/>
      </c>
      <c r="N749" s="3" t="n"/>
      <c r="O749" s="2" t="n"/>
    </row>
    <row r="750">
      <c r="A750" s="2" t="n">
        <v>749</v>
      </c>
      <c r="B750" s="2" t="inlineStr">
        <is>
          <t>не сюжет</t>
        </is>
      </c>
      <c r="C750" s="2" t="n">
        <v>9873</v>
      </c>
      <c r="D750" s="3" t="inlineStr">
        <is>
          <t>Дети</t>
        </is>
      </c>
      <c r="E750" s="2" t="n">
        <v>1970</v>
      </c>
      <c r="F750" s="2" t="inlineStr">
        <is>
          <t>кинофильм</t>
        </is>
      </c>
      <c r="G750" s="2" t="inlineStr">
        <is>
          <t>Мосфильм, Подборки фильмов, экранизации Горького</t>
        </is>
      </c>
      <c r="H750" s="2" t="n">
        <v>50</v>
      </c>
      <c r="I750" s="2" t="inlineStr"/>
      <c r="J750" s="2" t="inlineStr">
        <is>
          <t>да</t>
        </is>
      </c>
      <c r="K750" s="3" t="inlineStr">
        <is>
          <t>Новелла.
По мотивам одноименной пьесы М. Горького.</t>
        </is>
      </c>
      <c r="L750" s="2" t="inlineStr">
        <is>
          <t>https://www.kino-teatr.ru/short/movie/sov/1787/annot/</t>
        </is>
      </c>
      <c r="M750" s="2">
        <f>HYPERLINK("https://ru.wikipedia.org/w/index.php?search=%D0%94%D0%B5%D1%82%D0%B8%201970%20%D1%84%D0%B8%D0%BB%D1%8C%D0%BC","искать")</f>
        <v/>
      </c>
      <c r="N750" s="3" t="n"/>
      <c r="O750" s="2" t="n"/>
    </row>
    <row r="751">
      <c r="A751" s="2" t="n">
        <v>750</v>
      </c>
      <c r="B751" s="2" t="inlineStr">
        <is>
          <t>не сюжет</t>
        </is>
      </c>
      <c r="C751" s="2" t="n">
        <v>10321</v>
      </c>
      <c r="D751" s="3" t="inlineStr">
        <is>
          <t>Оправдание Паганини</t>
        </is>
      </c>
      <c r="E751" s="2" t="n">
        <v>1969</v>
      </c>
      <c r="F751" s="2" t="inlineStr">
        <is>
          <t>фильм-спектакль</t>
        </is>
      </c>
      <c r="G751" s="2" t="inlineStr">
        <is>
          <t>Центральное телевидение</t>
        </is>
      </c>
      <c r="H751" s="2" t="n">
        <v>50</v>
      </c>
      <c r="I751" s="2" t="inlineStr"/>
      <c r="J751" s="2" t="inlineStr">
        <is>
          <t>да</t>
        </is>
      </c>
      <c r="K751" s="3" t="inlineStr">
        <is>
          <t>О великом скрипаче и композиторе Никколо Паганини.</t>
        </is>
      </c>
      <c r="L751" s="2" t="inlineStr">
        <is>
          <t>https://www.kino-teatr.ru/teatr/movie/92970/annot/</t>
        </is>
      </c>
      <c r="M751" s="2">
        <f>HYPERLINK("https://ru.wikipedia.org/w/index.php?search=%D0%9E%D0%BF%D1%80%D0%B0%D0%B2%D0%B4%D0%B0%D0%BD%D0%B8%D0%B5%20%D0%9F%D0%B0%D0%B3%D0%B0%D0%BD%D0%B8%D0%BD%D0%B8%201969%20%D1%84%D0%B8%D0%BB%D1%8C%D0%BC","искать")</f>
        <v/>
      </c>
      <c r="N751" s="3" t="n"/>
      <c r="O751" s="2" t="n"/>
    </row>
    <row r="752">
      <c r="A752" s="2" t="n">
        <v>751</v>
      </c>
      <c r="B752" s="2" t="inlineStr">
        <is>
          <t>не сюжет</t>
        </is>
      </c>
      <c r="C752" s="2" t="n">
        <v>10432</v>
      </c>
      <c r="D752" s="3" t="inlineStr">
        <is>
          <t>Бунташный июль</t>
        </is>
      </c>
      <c r="E752" s="2" t="n">
        <v>1972</v>
      </c>
      <c r="F752" s="2" t="inlineStr">
        <is>
          <t>фильм-спектакль</t>
        </is>
      </c>
      <c r="G752" s="2" t="inlineStr">
        <is>
          <t>Центральное телевидение</t>
        </is>
      </c>
      <c r="H752" s="2" t="n">
        <v>50</v>
      </c>
      <c r="I752" s="2" t="inlineStr"/>
      <c r="J752" s="2" t="inlineStr">
        <is>
          <t>да</t>
        </is>
      </c>
      <c r="K752" s="3" t="inlineStr">
        <is>
          <t>Телеспектакль о Медном бунте в России в 1662 году.</t>
        </is>
      </c>
      <c r="L752" s="2" t="inlineStr">
        <is>
          <t>https://www.kino-teatr.ru/teatr/movie/103924/annot/</t>
        </is>
      </c>
      <c r="M752" s="2">
        <f>HYPERLINK("https://ru.wikipedia.org/w/index.php?search=%D0%91%D1%83%D0%BD%D1%82%D0%B0%D1%88%D0%BD%D1%8B%D0%B9%20%D0%B8%D1%8E%D0%BB%D1%8C%201972%20%D1%84%D0%B8%D0%BB%D1%8C%D0%BC","искать")</f>
        <v/>
      </c>
      <c r="N752" s="3" t="n"/>
      <c r="O752" s="2" t="n"/>
    </row>
    <row r="753">
      <c r="A753" s="2" t="n">
        <v>752</v>
      </c>
      <c r="B753" s="2" t="inlineStr">
        <is>
          <t>не сюжет</t>
        </is>
      </c>
      <c r="C753" s="2" t="n">
        <v>10508</v>
      </c>
      <c r="D753" s="3" t="inlineStr">
        <is>
          <t>Обрыв</t>
        </is>
      </c>
      <c r="E753" s="2" t="n">
        <v>1973</v>
      </c>
      <c r="F753" s="2" t="inlineStr">
        <is>
          <t>фильм-спектакль</t>
        </is>
      </c>
      <c r="G753" s="2" t="inlineStr">
        <is>
          <t>Главная редакция литературно-драматических программ Гостелерадио СССР</t>
        </is>
      </c>
      <c r="H753" s="2" t="n">
        <v>50</v>
      </c>
      <c r="I753" s="2" t="inlineStr"/>
      <c r="J753" s="2" t="inlineStr">
        <is>
          <t>да</t>
        </is>
      </c>
      <c r="K753" s="3" t="inlineStr">
        <is>
          <t>Телевизионный спектакль по роману Ивана Гончарова.</t>
        </is>
      </c>
      <c r="L753" s="2" t="inlineStr">
        <is>
          <t>https://www.kino-teatr.ru/teatr/movie/10727/annot/</t>
        </is>
      </c>
      <c r="M753" s="2">
        <f>HYPERLINK("https://ru.wikipedia.org/w/index.php?search=%D0%9E%D0%B1%D1%80%D1%8B%D0%B2%201973%20%D1%84%D0%B8%D0%BB%D1%8C%D0%BC","искать")</f>
        <v/>
      </c>
      <c r="N753" s="3" t="n"/>
      <c r="O753" s="2" t="n"/>
    </row>
    <row r="754">
      <c r="A754" s="2" t="n">
        <v>753</v>
      </c>
      <c r="B754" s="2" t="inlineStr">
        <is>
          <t>не сюжет</t>
        </is>
      </c>
      <c r="C754" s="2" t="n">
        <v>10781</v>
      </c>
      <c r="D754" s="3" t="inlineStr">
        <is>
          <t>Три рубина</t>
        </is>
      </c>
      <c r="E754" s="2" t="n">
        <v>1978</v>
      </c>
      <c r="F754" s="2" t="inlineStr">
        <is>
          <t>фильм-спектакль</t>
        </is>
      </c>
      <c r="G754" s="2" t="inlineStr">
        <is>
          <t>Eesti Televisioon</t>
        </is>
      </c>
      <c r="H754" s="2" t="n">
        <v>50</v>
      </c>
      <c r="I754" s="2" t="inlineStr"/>
      <c r="J754" s="2" t="inlineStr">
        <is>
          <t>да</t>
        </is>
      </c>
      <c r="K754" s="3" t="inlineStr">
        <is>
          <t>Поставлен по повести Юлиана Семенова "Огарёва, 6".</t>
        </is>
      </c>
      <c r="L754" s="2" t="inlineStr">
        <is>
          <t>https://www.kino-teatr.ru/teatr/movie/89113/annot/</t>
        </is>
      </c>
      <c r="M754" s="2">
        <f>HYPERLINK("https://ru.wikipedia.org/w/index.php?search=%D0%A2%D1%80%D0%B8%20%D1%80%D1%83%D0%B1%D0%B8%D0%BD%D0%B0%201978%20%D1%84%D0%B8%D0%BB%D1%8C%D0%BC","искать")</f>
        <v/>
      </c>
      <c r="N754" s="3" t="n"/>
      <c r="O754" s="2" t="n"/>
    </row>
    <row r="755">
      <c r="A755" s="2" t="n">
        <v>754</v>
      </c>
      <c r="B755" s="2" t="inlineStr">
        <is>
          <t>не сюжет</t>
        </is>
      </c>
      <c r="C755" s="2" t="n">
        <v>9133</v>
      </c>
      <c r="D755" s="3" t="inlineStr">
        <is>
          <t>Уходят осенью мужчины</t>
        </is>
      </c>
      <c r="E755" s="2" t="n">
        <v>1982</v>
      </c>
      <c r="F755" s="2" t="inlineStr">
        <is>
          <t>кинофильм</t>
        </is>
      </c>
      <c r="G755" s="2" t="n"/>
      <c r="H755" s="2" t="n">
        <v>51</v>
      </c>
      <c r="I755" s="2" t="inlineStr"/>
      <c r="J755" s="2" t="inlineStr">
        <is>
          <t>да</t>
        </is>
      </c>
      <c r="K755" s="3" t="inlineStr">
        <is>
          <t>О службе в Советской армии и о солдатах 80-х годов.</t>
        </is>
      </c>
      <c r="L755" s="2" t="inlineStr">
        <is>
          <t>Кино_СССР сводный каталог.xlsx: список фильмов (доп.)</t>
        </is>
      </c>
      <c r="M755" s="2">
        <f>HYPERLINK("https://ru.wikipedia.org/w/index.php?search=%D0%A3%D1%85%D0%BE%D0%B4%D1%8F%D1%82%20%D0%BE%D1%81%D0%B5%D0%BD%D1%8C%D1%8E%20%D0%BC%D1%83%D0%B6%D1%87%D0%B8%D0%BD%D1%8B%201982%20%D1%84%D0%B8%D0%BB%D1%8C%D0%BC","искать")</f>
        <v/>
      </c>
      <c r="N755" s="3" t="n"/>
      <c r="O755" s="2" t="n"/>
    </row>
    <row r="756">
      <c r="A756" s="2" t="n">
        <v>755</v>
      </c>
      <c r="B756" s="2" t="inlineStr">
        <is>
          <t>не сюжет</t>
        </is>
      </c>
      <c r="C756" s="2" t="n">
        <v>9807</v>
      </c>
      <c r="D756" s="3" t="inlineStr">
        <is>
          <t>Маскарад</t>
        </is>
      </c>
      <c r="E756" s="2" t="n">
        <v>1990</v>
      </c>
      <c r="F756" s="2" t="inlineStr">
        <is>
          <t>фильм-спектакль</t>
        </is>
      </c>
      <c r="G756" s="2" t="inlineStr">
        <is>
          <t>Лентелефильм</t>
        </is>
      </c>
      <c r="H756" s="2" t="n">
        <v>51</v>
      </c>
      <c r="I756" s="2" t="inlineStr"/>
      <c r="J756" s="2" t="inlineStr">
        <is>
          <t>да</t>
        </is>
      </c>
      <c r="K756" s="3" t="inlineStr">
        <is>
          <t>Телеспектакль по одноименной драме М.Ю. Лермонтова.</t>
        </is>
      </c>
      <c r="L756" s="2" t="inlineStr">
        <is>
          <t>https://www.kino-teatr.ru/kino/movie/sov/3748/annot/</t>
        </is>
      </c>
      <c r="M756" s="2">
        <f>HYPERLINK("https://ru.wikipedia.org/w/index.php?search=%D0%9C%D0%B0%D1%81%D0%BA%D0%B0%D1%80%D0%B0%D0%B4%201990%20%D1%84%D0%B8%D0%BB%D1%8C%D0%BC","искать")</f>
        <v/>
      </c>
      <c r="N756" s="3" t="n"/>
      <c r="O756" s="2" t="n"/>
    </row>
    <row r="757">
      <c r="A757" s="2" t="n">
        <v>756</v>
      </c>
      <c r="B757" s="2" t="inlineStr">
        <is>
          <t>не сюжет</t>
        </is>
      </c>
      <c r="C757" s="2" t="n">
        <v>9991</v>
      </c>
      <c r="D757" s="3" t="inlineStr">
        <is>
          <t>Молодожёны</t>
        </is>
      </c>
      <c r="E757" s="2" t="n">
        <v>1983</v>
      </c>
      <c r="F757" s="2" t="inlineStr">
        <is>
          <t>кинофильм</t>
        </is>
      </c>
      <c r="G757" s="2" t="inlineStr">
        <is>
          <t>Азербайджанфильм(Дебют)</t>
        </is>
      </c>
      <c r="H757" s="2" t="n">
        <v>51</v>
      </c>
      <c r="I757" s="2" t="inlineStr"/>
      <c r="J757" s="2" t="inlineStr">
        <is>
          <t>да</t>
        </is>
      </c>
      <c r="K757" s="3" t="inlineStr">
        <is>
          <t>Повествует о новых традициях в современной деревне.</t>
        </is>
      </c>
      <c r="L757" s="2" t="inlineStr">
        <is>
          <t>https://www.kino-teatr.ru/short/movie/sov/16220/annot/</t>
        </is>
      </c>
      <c r="M757" s="2">
        <f>HYPERLINK("https://ru.wikipedia.org/w/index.php?search=%D0%9C%D0%BE%D0%BB%D0%BE%D0%B4%D0%BE%D0%B6%D1%91%D0%BD%D1%8B%201983%20%D1%84%D0%B8%D0%BB%D1%8C%D0%BC","искать")</f>
        <v/>
      </c>
      <c r="N757" s="3" t="n"/>
      <c r="O757" s="2" t="n"/>
    </row>
    <row r="758">
      <c r="A758" s="2" t="n">
        <v>757</v>
      </c>
      <c r="B758" s="2" t="inlineStr">
        <is>
          <t>не сюжет</t>
        </is>
      </c>
      <c r="C758" s="2" t="n">
        <v>10098</v>
      </c>
      <c r="D758" s="3" t="inlineStr">
        <is>
          <t>Кто виноват?</t>
        </is>
      </c>
      <c r="E758" s="2" t="n">
        <v>1962</v>
      </c>
      <c r="F758" s="2" t="inlineStr">
        <is>
          <t>фильм-спектакль</t>
        </is>
      </c>
      <c r="G758" s="2" t="inlineStr">
        <is>
          <t>Главная редакция литературно-драматических программ ЦТ</t>
        </is>
      </c>
      <c r="H758" s="2" t="n">
        <v>51</v>
      </c>
      <c r="I758" s="2" t="inlineStr"/>
      <c r="J758" s="2" t="inlineStr">
        <is>
          <t>да</t>
        </is>
      </c>
      <c r="K758" s="3" t="inlineStr">
        <is>
          <t>Фильм-спектакль по одноименному роману А.И.Герцена.</t>
        </is>
      </c>
      <c r="L758" s="2" t="inlineStr">
        <is>
          <t>https://www.kino-teatr.ru/teatr/movie/79232/annot/</t>
        </is>
      </c>
      <c r="M758" s="2">
        <f>HYPERLINK("https://ru.wikipedia.org/w/index.php?search=%D0%9A%D1%82%D0%BE%20%D0%B2%D0%B8%D0%BD%D0%BE%D0%B2%D0%B0%D1%82%3F%201962%20%D1%84%D0%B8%D0%BB%D1%8C%D0%BC","искать")</f>
        <v/>
      </c>
      <c r="N758" s="3" t="n"/>
      <c r="O758" s="2" t="n"/>
    </row>
    <row r="759">
      <c r="A759" s="2" t="n">
        <v>758</v>
      </c>
      <c r="B759" s="2" t="inlineStr">
        <is>
          <t>не сюжет</t>
        </is>
      </c>
      <c r="C759" s="2" t="n">
        <v>10633</v>
      </c>
      <c r="D759" s="3" t="inlineStr">
        <is>
          <t>Александр Бениаминов</t>
        </is>
      </c>
      <c r="E759" s="2" t="n">
        <v>1976</v>
      </c>
      <c r="F759" s="2" t="inlineStr">
        <is>
          <t>фильм-спектакль</t>
        </is>
      </c>
      <c r="G759" s="2" t="inlineStr">
        <is>
          <t>Ленинградское телевидение</t>
        </is>
      </c>
      <c r="H759" s="2" t="n">
        <v>51</v>
      </c>
      <c r="I759" s="2" t="inlineStr"/>
      <c r="J759" s="2" t="inlineStr">
        <is>
          <t>да</t>
        </is>
      </c>
      <c r="K759" s="3" t="inlineStr">
        <is>
          <t>Фильм-портрет актера ленинградского театра Комедии.</t>
        </is>
      </c>
      <c r="L759" s="2" t="inlineStr">
        <is>
          <t>https://www.kino-teatr.ru/teatr/movie/137289/annot/</t>
        </is>
      </c>
      <c r="M759" s="2">
        <f>HYPERLINK("https://ru.wikipedia.org/w/index.php?search=%D0%90%D0%BB%D0%B5%D0%BA%D1%81%D0%B0%D0%BD%D0%B4%D1%80%20%D0%91%D0%B5%D0%BD%D0%B8%D0%B0%D0%BC%D0%B8%D0%BD%D0%BE%D0%B2%201976%20%D1%84%D0%B8%D0%BB%D1%8C%D0%BC","искать")</f>
        <v/>
      </c>
      <c r="N759" s="3" t="n"/>
      <c r="O759" s="2" t="n"/>
    </row>
    <row r="760">
      <c r="A760" s="2" t="n">
        <v>759</v>
      </c>
      <c r="B760" s="2" t="inlineStr">
        <is>
          <t>не сюжет</t>
        </is>
      </c>
      <c r="C760" s="2" t="n">
        <v>10711</v>
      </c>
      <c r="D760" s="3" t="inlineStr">
        <is>
          <t>По страницам "Голубой книги"</t>
        </is>
      </c>
      <c r="E760" s="2" t="n">
        <v>1977</v>
      </c>
      <c r="F760" s="2" t="inlineStr">
        <is>
          <t>фильм-спектакль</t>
        </is>
      </c>
      <c r="G760" s="2" t="inlineStr">
        <is>
          <t>Экран</t>
        </is>
      </c>
      <c r="H760" s="2" t="n">
        <v>51</v>
      </c>
      <c r="I760" s="2" t="inlineStr"/>
      <c r="J760" s="2" t="inlineStr">
        <is>
          <t>да</t>
        </is>
      </c>
      <c r="K760" s="3" t="inlineStr">
        <is>
          <t>Звучат рассказы из "Голубой книги" Михаила Зощенко.</t>
        </is>
      </c>
      <c r="L760" s="2" t="inlineStr">
        <is>
          <t>https://www.kino-teatr.ru/teatr/movie/93326/annot/</t>
        </is>
      </c>
      <c r="M760" s="2">
        <f>HYPERLINK("https://ru.wikipedia.org/w/index.php?search=%D0%9F%D0%BE%20%D1%81%D1%82%D1%80%D0%B0%D0%BD%D0%B8%D1%86%D0%B0%D0%BC%20%22%D0%93%D0%BE%D0%BB%D1%83%D0%B1%D0%BE%D0%B9%20%D0%BA%D0%BD%D0%B8%D0%B3%D0%B8%22%201977%20%D1%84%D0%B8%D0%BB%D1%8C%D0%BC","искать")</f>
        <v/>
      </c>
      <c r="N760" s="3" t="n"/>
      <c r="O760" s="2" t="n"/>
    </row>
    <row r="761">
      <c r="A761" s="2" t="n">
        <v>760</v>
      </c>
      <c r="B761" s="2" t="inlineStr">
        <is>
          <t>не сюжет</t>
        </is>
      </c>
      <c r="C761" s="2" t="n">
        <v>10987</v>
      </c>
      <c r="D761" s="3" t="inlineStr">
        <is>
          <t>Два гусара</t>
        </is>
      </c>
      <c r="E761" s="2" t="n">
        <v>1983</v>
      </c>
      <c r="F761" s="2" t="inlineStr">
        <is>
          <t>фильм-спектакль</t>
        </is>
      </c>
      <c r="G761" s="2" t="inlineStr">
        <is>
          <t>Ленинградское телевидение</t>
        </is>
      </c>
      <c r="H761" s="2" t="n">
        <v>51</v>
      </c>
      <c r="I761" s="2" t="inlineStr"/>
      <c r="J761" s="2" t="inlineStr">
        <is>
          <t>да</t>
        </is>
      </c>
      <c r="K761" s="3" t="inlineStr">
        <is>
          <t>Телеспектакль по одноименной повести Льва Толстого.</t>
        </is>
      </c>
      <c r="L761" s="2" t="inlineStr">
        <is>
          <t>https://www.kino-teatr.ru/teatr/movie/119904/annot/</t>
        </is>
      </c>
      <c r="M761" s="2">
        <f>HYPERLINK("https://ru.wikipedia.org/w/index.php?search=%D0%94%D0%B2%D0%B0%20%D0%B3%D1%83%D1%81%D0%B0%D1%80%D0%B0%201983%20%D1%84%D0%B8%D0%BB%D1%8C%D0%BC","искать")</f>
        <v/>
      </c>
      <c r="N761" s="3" t="n"/>
      <c r="O761" s="2" t="n"/>
    </row>
    <row r="762">
      <c r="A762" s="2" t="n">
        <v>761</v>
      </c>
      <c r="B762" s="2" t="inlineStr">
        <is>
          <t>не сюжет</t>
        </is>
      </c>
      <c r="C762" s="2" t="n">
        <v>10635</v>
      </c>
      <c r="D762" s="3" t="inlineStr">
        <is>
          <t>Бабье царство</t>
        </is>
      </c>
      <c r="E762" s="2" t="n">
        <v>1976</v>
      </c>
      <c r="F762" s="2" t="inlineStr">
        <is>
          <t>фильм-спектакль</t>
        </is>
      </c>
      <c r="G762" s="2" t="inlineStr">
        <is>
          <t>Ленинградское телевидение</t>
        </is>
      </c>
      <c r="H762" s="2" t="n">
        <v>52</v>
      </c>
      <c r="I762" s="2" t="inlineStr"/>
      <c r="J762" s="2" t="inlineStr">
        <is>
          <t>да</t>
        </is>
      </c>
      <c r="K762" s="3" t="inlineStr">
        <is>
          <t>Телеспектакль по одноименному рассказу А. П. Чехова.</t>
        </is>
      </c>
      <c r="L762" s="2" t="inlineStr">
        <is>
          <t>https://www.kino-teatr.ru/teatr/movie/123872/annot/</t>
        </is>
      </c>
      <c r="M762" s="2">
        <f>HYPERLINK("https://ru.wikipedia.org/w/index.php?search=%D0%91%D0%B0%D0%B1%D1%8C%D0%B5%20%D1%86%D0%B0%D1%80%D1%81%D1%82%D0%B2%D0%BE%201976%20%D1%84%D0%B8%D0%BB%D1%8C%D0%BC","искать")</f>
        <v/>
      </c>
      <c r="N762" s="3" t="n"/>
      <c r="O762" s="2" t="n"/>
    </row>
    <row r="763">
      <c r="A763" s="2" t="n">
        <v>762</v>
      </c>
      <c r="B763" s="2" t="inlineStr">
        <is>
          <t>не сюжет</t>
        </is>
      </c>
      <c r="C763" s="2" t="n">
        <v>10920</v>
      </c>
      <c r="D763" s="3" t="inlineStr">
        <is>
          <t>Трудная роль</t>
        </is>
      </c>
      <c r="E763" s="2" t="n">
        <v>1981</v>
      </c>
      <c r="F763" s="2" t="inlineStr">
        <is>
          <t>фильм-спектакль</t>
        </is>
      </c>
      <c r="G763" s="2" t="inlineStr">
        <is>
          <t>Литовское телевидение</t>
        </is>
      </c>
      <c r="H763" s="2" t="n">
        <v>52</v>
      </c>
      <c r="I763" s="2" t="inlineStr"/>
      <c r="J763" s="2" t="inlineStr">
        <is>
          <t>да</t>
        </is>
      </c>
      <c r="K763" s="3" t="inlineStr">
        <is>
          <t>Спектакль по пьесе немецкого писателя Генриха Бёлля.</t>
        </is>
      </c>
      <c r="L763" s="2" t="inlineStr">
        <is>
          <t>https://www.kino-teatr.ru/teatr/movie/107807/annot/</t>
        </is>
      </c>
      <c r="M763" s="2">
        <f>HYPERLINK("https://ru.wikipedia.org/w/index.php?search=%D0%A2%D1%80%D1%83%D0%B4%D0%BD%D0%B0%D1%8F%20%D1%80%D0%BE%D0%BB%D1%8C%201981%20%D1%84%D0%B8%D0%BB%D1%8C%D0%BC","искать")</f>
        <v/>
      </c>
      <c r="N763" s="3" t="n"/>
      <c r="O763" s="2" t="n"/>
    </row>
    <row r="764">
      <c r="A764" s="2" t="n">
        <v>763</v>
      </c>
      <c r="B764" s="2" t="inlineStr">
        <is>
          <t>не сюжет</t>
        </is>
      </c>
      <c r="C764" s="2" t="n">
        <v>11086</v>
      </c>
      <c r="D764" s="3" t="inlineStr">
        <is>
          <t>Сцены из трагедии М.Лермонтова "Маскарад"</t>
        </is>
      </c>
      <c r="E764" s="2" t="n">
        <v>1985</v>
      </c>
      <c r="F764" s="2" t="inlineStr">
        <is>
          <t>фильм-спектакль</t>
        </is>
      </c>
      <c r="G764" s="2" t="inlineStr">
        <is>
          <t>Главная редакция литературно-драматических программ ЦТ</t>
        </is>
      </c>
      <c r="H764" s="2" t="n">
        <v>52</v>
      </c>
      <c r="I764" s="2" t="inlineStr"/>
      <c r="J764" s="2" t="inlineStr">
        <is>
          <t>да</t>
        </is>
      </c>
      <c r="K764" s="3" t="inlineStr">
        <is>
          <t>Телеспектакль. По трагедии М. Лермонтова «Маскарад».</t>
        </is>
      </c>
      <c r="L764" s="2" t="inlineStr">
        <is>
          <t>https://www.kino-teatr.ru/teatr/movie/6905/annot/</t>
        </is>
      </c>
      <c r="M764" s="2">
        <f>HYPERLINK("https://ru.wikipedia.org/w/index.php?search=%D0%A1%D1%86%D0%B5%D0%BD%D1%8B%20%D0%B8%D0%B7%20%D1%82%D1%80%D0%B0%D0%B3%D0%B5%D0%B4%D0%B8%D0%B8%20%D0%9C.%D0%9B%D0%B5%D1%80%D0%BC%D0%BE%D0%BD%D1%82%D0%BE%D0%B2%D0%B0%20%22%D0%9C%D0%B0%D1%81%D0%BA%D0%B0%D1%80%D0%B0%D0%B4%22%201985%20%D1%84%D0%B8%D0%BB%D1%8C%D0%BC","искать")</f>
        <v/>
      </c>
      <c r="N764" s="3" t="n"/>
      <c r="O764" s="2" t="n"/>
    </row>
    <row r="765">
      <c r="A765" s="2" t="n">
        <v>764</v>
      </c>
      <c r="B765" s="2" t="inlineStr">
        <is>
          <t>не сюжет</t>
        </is>
      </c>
      <c r="C765" s="2" t="n">
        <v>11113</v>
      </c>
      <c r="D765" s="3" t="inlineStr">
        <is>
          <t>Карнавал (фильм-балет)</t>
        </is>
      </c>
      <c r="E765" s="2" t="n">
        <v>1986</v>
      </c>
      <c r="F765" s="2" t="inlineStr">
        <is>
          <t>фильм-спектакль</t>
        </is>
      </c>
      <c r="G765" s="2" t="inlineStr">
        <is>
          <t>Лентелефильм</t>
        </is>
      </c>
      <c r="H765" s="2" t="n">
        <v>52</v>
      </c>
      <c r="I765" s="2" t="inlineStr"/>
      <c r="J765" s="2" t="inlineStr">
        <is>
          <t>да</t>
        </is>
      </c>
      <c r="K765" s="3" t="inlineStr">
        <is>
          <t>По мотивам балета Михаила Фокина на музыку Р.Шумана.</t>
        </is>
      </c>
      <c r="L765" s="2" t="inlineStr">
        <is>
          <t>https://www.kino-teatr.ru/teatr/movie/16569/annot/</t>
        </is>
      </c>
      <c r="M765" s="2">
        <f>HYPERLINK("https://ru.wikipedia.org/w/index.php?search=%D0%9A%D0%B0%D1%80%D0%BD%D0%B0%D0%B2%D0%B0%D0%BB%20%28%D1%84%D0%B8%D0%BB%D1%8C%D0%BC-%D0%B1%D0%B0%D0%BB%D0%B5%D1%82%29%201986%20%D1%84%D0%B8%D0%BB%D1%8C%D0%BC","искать")</f>
        <v/>
      </c>
      <c r="N765" s="3" t="n"/>
      <c r="O765" s="2" t="n"/>
    </row>
    <row r="766">
      <c r="A766" s="2" t="n">
        <v>765</v>
      </c>
      <c r="B766" s="2" t="inlineStr">
        <is>
          <t>не сюжет</t>
        </is>
      </c>
      <c r="C766" s="2" t="n">
        <v>10184</v>
      </c>
      <c r="D766" s="3" t="inlineStr">
        <is>
          <t>Белая ночь</t>
        </is>
      </c>
      <c r="E766" s="2" t="n">
        <v>1967</v>
      </c>
      <c r="F766" s="2" t="inlineStr">
        <is>
          <t>фильм-спектакль</t>
        </is>
      </c>
      <c r="G766" s="2" t="n"/>
      <c r="H766" s="2" t="n">
        <v>53</v>
      </c>
      <c r="I766" s="2" t="inlineStr"/>
      <c r="J766" s="2" t="inlineStr">
        <is>
          <t>да</t>
        </is>
      </c>
      <c r="K766" s="3" t="inlineStr">
        <is>
          <t>Поставлен спектакль к 50-летию Октябрьской революции.</t>
        </is>
      </c>
      <c r="L766" s="2" t="inlineStr">
        <is>
          <t>https://www.kino-teatr.ru/teatr/movie/10127/annot/</t>
        </is>
      </c>
      <c r="M766" s="2">
        <f>HYPERLINK("https://ru.wikipedia.org/w/index.php?search=%D0%91%D0%B5%D0%BB%D0%B0%D1%8F%20%D0%BD%D0%BE%D1%87%D1%8C%201967%20%D1%84%D0%B8%D0%BB%D1%8C%D0%BC","искать")</f>
        <v/>
      </c>
      <c r="N766" s="3" t="n"/>
      <c r="O766" s="2" t="n"/>
    </row>
    <row r="767">
      <c r="A767" s="2" t="n">
        <v>766</v>
      </c>
      <c r="B767" s="2" t="inlineStr">
        <is>
          <t>не сюжет</t>
        </is>
      </c>
      <c r="C767" s="2" t="n">
        <v>10990</v>
      </c>
      <c r="D767" s="3" t="inlineStr">
        <is>
          <t>Затюканный апостол</t>
        </is>
      </c>
      <c r="E767" s="2" t="n">
        <v>1983</v>
      </c>
      <c r="F767" s="2" t="inlineStr">
        <is>
          <t>фильм-спектакль</t>
        </is>
      </c>
      <c r="G767" s="2" t="n"/>
      <c r="H767" s="2" t="n">
        <v>53</v>
      </c>
      <c r="I767" s="2" t="inlineStr"/>
      <c r="J767" s="2" t="inlineStr">
        <is>
          <t>да</t>
        </is>
      </c>
      <c r="K767" s="3" t="inlineStr">
        <is>
          <t>Фильм-спектакль по одноименной пьесе Андрея Макаёнка.</t>
        </is>
      </c>
      <c r="L767" s="2" t="inlineStr">
        <is>
          <t>https://www.kino-teatr.ru/teatr/movie/92744/annot/</t>
        </is>
      </c>
      <c r="M767" s="2">
        <f>HYPERLINK("https://ru.wikipedia.org/w/index.php?search=%D0%97%D0%B0%D1%82%D1%8E%D0%BA%D0%B0%D0%BD%D0%BD%D1%8B%D0%B9%20%D0%B0%D0%BF%D0%BE%D1%81%D1%82%D0%BE%D0%BB%201983%20%D1%84%D0%B8%D0%BB%D1%8C%D0%BC","искать")</f>
        <v/>
      </c>
      <c r="N767" s="3" t="n"/>
      <c r="O767" s="2" t="n"/>
    </row>
    <row r="768">
      <c r="A768" s="2" t="n">
        <v>767</v>
      </c>
      <c r="B768" s="2" t="inlineStr">
        <is>
          <t>не сюжет</t>
        </is>
      </c>
      <c r="C768" s="2" t="n">
        <v>7819</v>
      </c>
      <c r="D768" s="3" t="inlineStr">
        <is>
          <t>Лошади под луной</t>
        </is>
      </c>
      <c r="E768" s="2" t="n">
        <v>1979</v>
      </c>
      <c r="F768" s="2" t="inlineStr">
        <is>
          <t>телефильм</t>
        </is>
      </c>
      <c r="G768" s="2" t="n"/>
      <c r="H768" s="2" t="n">
        <v>54</v>
      </c>
      <c r="I768" s="2" t="inlineStr"/>
      <c r="J768" s="2" t="inlineStr">
        <is>
          <t>да</t>
        </is>
      </c>
      <c r="K768" s="3" t="inlineStr">
        <is>
          <t>Телефильм по сценарию Р.Ибрагимбекова и В.Багдасарова.</t>
        </is>
      </c>
      <c r="L768" s="2" t="inlineStr">
        <is>
          <t>Кино_СССР сводный каталог.xlsx: список телефильмов</t>
        </is>
      </c>
      <c r="M768" s="2">
        <f>HYPERLINK("https://ru.wikipedia.org/w/index.php?search=%D0%9B%D0%BE%D1%88%D0%B0%D0%B4%D0%B8%20%D0%BF%D0%BE%D0%B4%20%D0%BB%D1%83%D0%BD%D0%BE%D0%B9%201979%20%D1%84%D0%B8%D0%BB%D1%8C%D0%BC","искать")</f>
        <v/>
      </c>
      <c r="N768" s="3" t="n"/>
      <c r="O768" s="2" t="n"/>
    </row>
    <row r="769">
      <c r="A769" s="2" t="n">
        <v>768</v>
      </c>
      <c r="B769" s="2" t="inlineStr">
        <is>
          <t>не сюжет</t>
        </is>
      </c>
      <c r="C769" s="2" t="n">
        <v>8770</v>
      </c>
      <c r="D769" s="3" t="inlineStr">
        <is>
          <t>Командировка</t>
        </is>
      </c>
      <c r="E769" s="2" t="n">
        <v>1988</v>
      </c>
      <c r="F769" s="2" t="inlineStr">
        <is>
          <t>кинофильм</t>
        </is>
      </c>
      <c r="G769" s="2" t="n"/>
      <c r="H769" s="2" t="n">
        <v>54</v>
      </c>
      <c r="I769" s="2" t="inlineStr"/>
      <c r="J769" s="2" t="inlineStr">
        <is>
          <t>да</t>
        </is>
      </c>
      <c r="K769" s="3" t="inlineStr">
        <is>
          <t>Деловые и личные отношения людей крупного предприятия.</t>
        </is>
      </c>
      <c r="L769" s="2" t="inlineStr">
        <is>
          <t>Кино_СССР сводный каталог.xlsx: список фильмов (доп.)</t>
        </is>
      </c>
      <c r="M769" s="2">
        <f>HYPERLINK("https://ru.wikipedia.org/w/index.php?search=%D0%9A%D0%BE%D0%BC%D0%B0%D0%BD%D0%B4%D0%B8%D1%80%D0%BE%D0%B2%D0%BA%D0%B0%201988%20%D1%84%D0%B8%D0%BB%D1%8C%D0%BC","искать")</f>
        <v/>
      </c>
      <c r="N769" s="3" t="n"/>
      <c r="O769" s="2" t="n"/>
    </row>
    <row r="770">
      <c r="A770" s="2" t="n">
        <v>769</v>
      </c>
      <c r="B770" s="2" t="inlineStr">
        <is>
          <t>не сюжет</t>
        </is>
      </c>
      <c r="C770" s="2" t="n">
        <v>9846</v>
      </c>
      <c r="D770" s="3" t="inlineStr">
        <is>
          <t>Шарманка</t>
        </is>
      </c>
      <c r="E770" s="2" t="n">
        <v>1967</v>
      </c>
      <c r="F770" s="2" t="inlineStr">
        <is>
          <t>телефильм</t>
        </is>
      </c>
      <c r="G770" s="2" t="inlineStr">
        <is>
          <t>Грузинская студия телефильмов</t>
        </is>
      </c>
      <c r="H770" s="2" t="n">
        <v>54</v>
      </c>
      <c r="I770" s="2" t="inlineStr"/>
      <c r="J770" s="2" t="inlineStr">
        <is>
          <t>да</t>
        </is>
      </c>
      <c r="K770" s="3" t="inlineStr">
        <is>
          <t>Зарисовка о шарманщике, живущем в современном Тбилиси.</t>
        </is>
      </c>
      <c r="L770" s="2" t="inlineStr">
        <is>
          <t>https://www.kino-teatr.ru/short/movie/sov/87286/annot/</t>
        </is>
      </c>
      <c r="M770" s="2">
        <f>HYPERLINK("https://ru.wikipedia.org/w/index.php?search=%D0%A8%D0%B0%D1%80%D0%BC%D0%B0%D0%BD%D0%BA%D0%B0%201967%20%D1%84%D0%B8%D0%BB%D1%8C%D0%BC","искать")</f>
        <v/>
      </c>
      <c r="N770" s="3" t="n"/>
      <c r="O770" s="2" t="n"/>
    </row>
    <row r="771">
      <c r="A771" s="2" t="n">
        <v>770</v>
      </c>
      <c r="B771" s="2" t="inlineStr">
        <is>
          <t>не сюжет</t>
        </is>
      </c>
      <c r="C771" s="2" t="n">
        <v>9941</v>
      </c>
      <c r="D771" s="3" t="inlineStr">
        <is>
          <t>Встреча</t>
        </is>
      </c>
      <c r="E771" s="2" t="n">
        <v>1979</v>
      </c>
      <c r="F771" s="2" t="inlineStr">
        <is>
          <t>кинофильм</t>
        </is>
      </c>
      <c r="G771" s="2" t="inlineStr">
        <is>
          <t>Рижская к-ст.</t>
        </is>
      </c>
      <c r="H771" s="2" t="n">
        <v>54</v>
      </c>
      <c r="I771" s="2" t="inlineStr"/>
      <c r="J771" s="2" t="inlineStr">
        <is>
          <t>да</t>
        </is>
      </c>
      <c r="K771" s="3" t="inlineStr">
        <is>
          <t>По мотивам рассказа Всеволода Кочетова «Ночная охота».</t>
        </is>
      </c>
      <c r="L771" s="2" t="inlineStr">
        <is>
          <t>https://www.kino-teatr.ru/short/movie/sov/84761/annot/</t>
        </is>
      </c>
      <c r="M771" s="2">
        <f>HYPERLINK("https://ru.wikipedia.org/w/index.php?search=%D0%92%D1%81%D1%82%D1%80%D0%B5%D1%87%D0%B0%201979%20%D1%84%D0%B8%D0%BB%D1%8C%D0%BC","искать")</f>
        <v/>
      </c>
      <c r="N771" s="3" t="n"/>
      <c r="O771" s="2" t="n"/>
    </row>
    <row r="772">
      <c r="A772" s="2" t="n">
        <v>771</v>
      </c>
      <c r="B772" s="2" t="inlineStr">
        <is>
          <t>не сюжет</t>
        </is>
      </c>
      <c r="C772" s="2" t="n">
        <v>10066</v>
      </c>
      <c r="D772" s="3" t="inlineStr">
        <is>
          <t>Из пепла</t>
        </is>
      </c>
      <c r="E772" s="2" t="n">
        <v>1958</v>
      </c>
      <c r="F772" s="2" t="inlineStr">
        <is>
          <t>фильм-спектакль</t>
        </is>
      </c>
      <c r="G772" s="2" t="inlineStr">
        <is>
          <t>ЦТ</t>
        </is>
      </c>
      <c r="H772" s="2" t="n">
        <v>54</v>
      </c>
      <c r="I772" s="2" t="inlineStr"/>
      <c r="J772" s="2" t="inlineStr">
        <is>
          <t>да</t>
        </is>
      </c>
      <c r="K772" s="3" t="inlineStr">
        <is>
          <t>По рассказу Э.-М.Ремарка "Последняя остановка" (1956).</t>
        </is>
      </c>
      <c r="L772" s="2" t="inlineStr">
        <is>
          <t>https://www.kino-teatr.ru/teatr/movie/86759/annot/</t>
        </is>
      </c>
      <c r="M772" s="2">
        <f>HYPERLINK("https://ru.wikipedia.org/w/index.php?search=%D0%98%D0%B7%20%D0%BF%D0%B5%D0%BF%D0%BB%D0%B0%201958%20%D1%84%D0%B8%D0%BB%D1%8C%D0%BC","искать")</f>
        <v/>
      </c>
      <c r="N772" s="3" t="n"/>
      <c r="O772" s="2" t="n"/>
    </row>
    <row r="773">
      <c r="A773" s="2" t="n">
        <v>772</v>
      </c>
      <c r="B773" s="2" t="inlineStr">
        <is>
          <t>не сюжет</t>
        </is>
      </c>
      <c r="C773" s="2" t="n">
        <v>10347</v>
      </c>
      <c r="D773" s="3" t="inlineStr">
        <is>
          <t>А зори здесь тихие</t>
        </is>
      </c>
      <c r="E773" s="2" t="n">
        <v>1970</v>
      </c>
      <c r="F773" s="2" t="inlineStr">
        <is>
          <t>фильм-спектакль</t>
        </is>
      </c>
      <c r="G773" s="2" t="inlineStr">
        <is>
          <t>Ленинградское телевидение</t>
        </is>
      </c>
      <c r="H773" s="2" t="n">
        <v>54</v>
      </c>
      <c r="I773" s="2" t="inlineStr"/>
      <c r="J773" s="2" t="inlineStr">
        <is>
          <t>да</t>
        </is>
      </c>
      <c r="K773" s="3" t="inlineStr">
        <is>
          <t>Телеспектакль по одноименной повести Бориса Васильева.</t>
        </is>
      </c>
      <c r="L773" s="2" t="inlineStr">
        <is>
          <t>https://www.kino-teatr.ru/teatr/movie/120032/annot/</t>
        </is>
      </c>
      <c r="M773" s="2">
        <f>HYPERLINK("https://ru.wikipedia.org/w/index.php?search=%D0%90%20%D0%B7%D0%BE%D1%80%D0%B8%20%D0%B7%D0%B4%D0%B5%D1%81%D1%8C%20%D1%82%D0%B8%D1%85%D0%B8%D0%B5%201970%20%D1%84%D0%B8%D0%BB%D1%8C%D0%BC","искать")</f>
        <v/>
      </c>
      <c r="N773" s="3" t="n"/>
      <c r="O773" s="2" t="n"/>
    </row>
    <row r="774">
      <c r="A774" s="2" t="n">
        <v>773</v>
      </c>
      <c r="B774" s="2" t="inlineStr">
        <is>
          <t>не сюжет</t>
        </is>
      </c>
      <c r="C774" s="2" t="n">
        <v>10866</v>
      </c>
      <c r="D774" s="3" t="inlineStr">
        <is>
          <t>Роли, которые нас выбирают</t>
        </is>
      </c>
      <c r="E774" s="2" t="n">
        <v>1980</v>
      </c>
      <c r="F774" s="2" t="inlineStr">
        <is>
          <t>фильм-спектакль</t>
        </is>
      </c>
      <c r="G774" s="2" t="inlineStr">
        <is>
          <t>Т/О Экран</t>
        </is>
      </c>
      <c r="H774" s="2" t="n">
        <v>54</v>
      </c>
      <c r="I774" s="2" t="inlineStr"/>
      <c r="J774" s="2" t="inlineStr">
        <is>
          <t>да</t>
        </is>
      </c>
      <c r="K774" s="3" t="inlineStr">
        <is>
          <t>Фильм о творчестве артиста оперетты Герарда Васильева.</t>
        </is>
      </c>
      <c r="L774" s="2" t="inlineStr">
        <is>
          <t>https://www.kino-teatr.ru/teatr/movie/138178/annot/</t>
        </is>
      </c>
      <c r="M774" s="2">
        <f>HYPERLINK("https://ru.wikipedia.org/w/index.php?search=%D0%A0%D0%BE%D0%BB%D0%B8%2C%20%D0%BA%D0%BE%D1%82%D0%BE%D1%80%D1%8B%D0%B5%20%D0%BD%D0%B0%D1%81%20%D0%B2%D1%8B%D0%B1%D0%B8%D1%80%D0%B0%D1%8E%D1%82%201980%20%D1%84%D0%B8%D0%BB%D1%8C%D0%BC","искать")</f>
        <v/>
      </c>
      <c r="N774" s="3" t="n"/>
      <c r="O774" s="2" t="n"/>
    </row>
    <row r="775">
      <c r="A775" s="2" t="n">
        <v>774</v>
      </c>
      <c r="B775" s="2" t="inlineStr">
        <is>
          <t>не сюжет</t>
        </is>
      </c>
      <c r="C775" s="2" t="n">
        <v>9793</v>
      </c>
      <c r="D775" s="3" t="inlineStr">
        <is>
          <t>Юность (киноальманах)</t>
        </is>
      </c>
      <c r="E775" s="2" t="n">
        <v>1963</v>
      </c>
      <c r="F775" s="2" t="inlineStr">
        <is>
          <t>кинофильм</t>
        </is>
      </c>
      <c r="G775" s="2" t="inlineStr">
        <is>
          <t>К/ст им. Горького</t>
        </is>
      </c>
      <c r="H775" s="2" t="n">
        <v>55</v>
      </c>
      <c r="I775" s="2" t="inlineStr"/>
      <c r="J775" s="2" t="inlineStr">
        <is>
          <t>да</t>
        </is>
      </c>
      <c r="K775" s="3" t="inlineStr">
        <is>
          <t>Фильм из двух новелл: "Подсолнух" и "Тетка с фиалками".</t>
        </is>
      </c>
      <c r="L775" s="2" t="inlineStr">
        <is>
          <t>https://www.kino-teatr.ru/kino/movie/sov/9358/annot/</t>
        </is>
      </c>
      <c r="M775" s="2">
        <f>HYPERLINK("https://ru.wikipedia.org/w/index.php?search=%D0%AE%D0%BD%D0%BE%D1%81%D1%82%D1%8C%20%28%D0%BA%D0%B8%D0%BD%D0%BE%D0%B0%D0%BB%D1%8C%D0%BC%D0%B0%D0%BD%D0%B0%D1%85%29%201963%20%D1%84%D0%B8%D0%BB%D1%8C%D0%BC","искать")</f>
        <v/>
      </c>
      <c r="N775" s="3" t="n"/>
      <c r="O775" s="2" t="n"/>
    </row>
    <row r="776">
      <c r="A776" s="2" t="n">
        <v>775</v>
      </c>
      <c r="B776" s="2" t="inlineStr">
        <is>
          <t>не сюжет</t>
        </is>
      </c>
      <c r="C776" s="2" t="n">
        <v>9890</v>
      </c>
      <c r="D776" s="3" t="inlineStr">
        <is>
          <t>Стальное колечко</t>
        </is>
      </c>
      <c r="E776" s="2" t="n">
        <v>1971</v>
      </c>
      <c r="F776" s="2" t="inlineStr">
        <is>
          <t>кинофильм</t>
        </is>
      </c>
      <c r="G776" s="2" t="inlineStr">
        <is>
          <t>К/ст.им. А. Довженко</t>
        </is>
      </c>
      <c r="H776" s="2" t="n">
        <v>55</v>
      </c>
      <c r="I776" s="2" t="inlineStr"/>
      <c r="J776" s="2" t="inlineStr">
        <is>
          <t>да</t>
        </is>
      </c>
      <c r="K776" s="3" t="inlineStr">
        <is>
          <t>По мотивам одноименной сказки Константина Паустовского.</t>
        </is>
      </c>
      <c r="L776" s="2" t="inlineStr">
        <is>
          <t>https://www.kino-teatr.ru/short/movie/sov/6745/annot/</t>
        </is>
      </c>
      <c r="M776" s="2">
        <f>HYPERLINK("https://ru.wikipedia.org/w/index.php?search=%D0%A1%D1%82%D0%B0%D0%BB%D1%8C%D0%BD%D0%BE%D0%B5%20%D0%BA%D0%BE%D0%BB%D0%B5%D1%87%D0%BA%D0%BE%201971%20%D1%84%D0%B8%D0%BB%D1%8C%D0%BC","искать")</f>
        <v/>
      </c>
      <c r="N776" s="3" t="n"/>
      <c r="O776" s="2" t="n"/>
    </row>
    <row r="777">
      <c r="A777" s="2" t="n">
        <v>776</v>
      </c>
      <c r="B777" s="2" t="inlineStr">
        <is>
          <t>не сюжет</t>
        </is>
      </c>
      <c r="C777" s="2" t="n">
        <v>9960</v>
      </c>
      <c r="D777" s="3" t="inlineStr">
        <is>
          <t>Верное средство</t>
        </is>
      </c>
      <c r="E777" s="2" t="n">
        <v>1981</v>
      </c>
      <c r="F777" s="2" t="inlineStr">
        <is>
          <t>кинофильм</t>
        </is>
      </c>
      <c r="G777" s="2" t="inlineStr">
        <is>
          <t>Киностудия имени Горького</t>
        </is>
      </c>
      <c r="H777" s="2" t="n">
        <v>55</v>
      </c>
      <c r="I777" s="2" t="inlineStr"/>
      <c r="J777" s="2" t="inlineStr">
        <is>
          <t>да</t>
        </is>
      </c>
      <c r="K777" s="3" t="inlineStr">
        <is>
          <t>Про то, как важно соблюдать правила дорожного движения.</t>
        </is>
      </c>
      <c r="L777" s="2" t="inlineStr">
        <is>
          <t>https://www.kino-teatr.ru/short/movie/sov/167605/annot/</t>
        </is>
      </c>
      <c r="M777" s="2">
        <f>HYPERLINK("https://ru.wikipedia.org/w/index.php?search=%D0%92%D0%B5%D1%80%D0%BD%D0%BE%D0%B5%20%D1%81%D1%80%D0%B5%D0%B4%D1%81%D1%82%D0%B2%D0%BE%201981%20%D1%84%D0%B8%D0%BB%D1%8C%D0%BC","искать")</f>
        <v/>
      </c>
      <c r="N777" s="3" t="n"/>
      <c r="O777" s="2" t="n"/>
    </row>
    <row r="778">
      <c r="A778" s="2" t="n">
        <v>777</v>
      </c>
      <c r="B778" s="2" t="inlineStr">
        <is>
          <t>не сюжет</t>
        </is>
      </c>
      <c r="C778" s="2" t="n">
        <v>10418</v>
      </c>
      <c r="D778" s="3" t="inlineStr">
        <is>
          <t>Собака Баскервилей</t>
        </is>
      </c>
      <c r="E778" s="2" t="n">
        <v>1971</v>
      </c>
      <c r="F778" s="2" t="inlineStr">
        <is>
          <t>фильм-спектакль</t>
        </is>
      </c>
      <c r="G778" s="2" t="inlineStr">
        <is>
          <t>Центральное телевидение</t>
        </is>
      </c>
      <c r="H778" s="2" t="n">
        <v>55</v>
      </c>
      <c r="I778" s="2" t="inlineStr"/>
      <c r="J778" s="2" t="inlineStr">
        <is>
          <t>да</t>
        </is>
      </c>
      <c r="K778" s="3" t="inlineStr">
        <is>
          <t>Телеэкранизация одноименного романа Артура Конан Дойла.</t>
        </is>
      </c>
      <c r="L778" s="2" t="inlineStr">
        <is>
          <t>https://www.kino-teatr.ru/teatr/movie/16073/annot/</t>
        </is>
      </c>
      <c r="M778" s="2">
        <f>HYPERLINK("https://ru.wikipedia.org/w/index.php?search=%D0%A1%D0%BE%D0%B1%D0%B0%D0%BA%D0%B0%20%D0%91%D0%B0%D1%81%D0%BA%D0%B5%D1%80%D0%B2%D0%B8%D0%BB%D0%B5%D0%B9%201971%20%D1%84%D0%B8%D0%BB%D1%8C%D0%BC","искать")</f>
        <v/>
      </c>
      <c r="N778" s="3" t="n"/>
      <c r="O778" s="2" t="n"/>
    </row>
    <row r="779">
      <c r="A779" s="2" t="n">
        <v>778</v>
      </c>
      <c r="B779" s="2" t="inlineStr">
        <is>
          <t>не сюжет</t>
        </is>
      </c>
      <c r="C779" s="2" t="n">
        <v>10501</v>
      </c>
      <c r="D779" s="3" t="inlineStr">
        <is>
          <t>Инженер</t>
        </is>
      </c>
      <c r="E779" s="2" t="n">
        <v>1973</v>
      </c>
      <c r="F779" s="2" t="inlineStr">
        <is>
          <t>фильм-спектакль</t>
        </is>
      </c>
      <c r="G779" s="2" t="inlineStr">
        <is>
          <t>Гл. ред. лит.-драм. программ</t>
        </is>
      </c>
      <c r="H779" s="2" t="n">
        <v>55</v>
      </c>
      <c r="I779" s="2" t="inlineStr"/>
      <c r="J779" s="2" t="inlineStr">
        <is>
          <t>да</t>
        </is>
      </c>
      <c r="K779" s="3" t="inlineStr">
        <is>
          <t>По пьесе Е. Каплинской в постановке Малого театра СССР.</t>
        </is>
      </c>
      <c r="L779" s="2" t="inlineStr">
        <is>
          <t>https://www.kino-teatr.ru/teatr/movie/93008/annot/</t>
        </is>
      </c>
      <c r="M779" s="2">
        <f>HYPERLINK("https://ru.wikipedia.org/w/index.php?search=%D0%98%D0%BD%D0%B6%D0%B5%D0%BD%D0%B5%D1%80%201973%20%D1%84%D0%B8%D0%BB%D1%8C%D0%BC","искать")</f>
        <v/>
      </c>
      <c r="N779" s="3" t="n"/>
      <c r="O779" s="2" t="n"/>
    </row>
    <row r="780">
      <c r="A780" s="2" t="n">
        <v>779</v>
      </c>
      <c r="B780" s="2" t="inlineStr">
        <is>
          <t>не сюжет</t>
        </is>
      </c>
      <c r="C780" s="2" t="n">
        <v>11139</v>
      </c>
      <c r="D780" s="3" t="inlineStr">
        <is>
          <t>Белые ночи</t>
        </is>
      </c>
      <c r="E780" s="2" t="n">
        <v>1987</v>
      </c>
      <c r="F780" s="2" t="inlineStr">
        <is>
          <t>фильм-спектакль</t>
        </is>
      </c>
      <c r="G780" s="2" t="inlineStr">
        <is>
          <t>Ленинградское ТВ</t>
        </is>
      </c>
      <c r="H780" s="2" t="n">
        <v>55</v>
      </c>
      <c r="I780" s="2" t="inlineStr"/>
      <c r="J780" s="2" t="inlineStr">
        <is>
          <t>да</t>
        </is>
      </c>
      <c r="K780" s="3" t="inlineStr">
        <is>
          <t>Телеспектакль по роману Ф.М. Достоевского "Белые ночи".</t>
        </is>
      </c>
      <c r="L780" s="2" t="inlineStr">
        <is>
          <t>https://www.kino-teatr.ru/teatr/movie/10622/annot/</t>
        </is>
      </c>
      <c r="M780" s="2">
        <f>HYPERLINK("https://ru.wikipedia.org/w/index.php?search=%D0%91%D0%B5%D0%BB%D1%8B%D0%B5%20%D0%BD%D0%BE%D1%87%D0%B8%201987%20%D1%84%D0%B8%D0%BB%D1%8C%D0%BC","искать")</f>
        <v/>
      </c>
      <c r="N780" s="3" t="n"/>
      <c r="O780" s="2" t="n"/>
    </row>
    <row r="781">
      <c r="A781" s="2" t="n">
        <v>780</v>
      </c>
      <c r="B781" s="2" t="inlineStr">
        <is>
          <t>не сюжет</t>
        </is>
      </c>
      <c r="C781" s="2" t="n">
        <v>7682</v>
      </c>
      <c r="D781" s="3" t="inlineStr">
        <is>
          <t>Имя твоё</t>
        </is>
      </c>
      <c r="E781" s="2" t="n">
        <v>1989</v>
      </c>
      <c r="F781" s="2" t="inlineStr">
        <is>
          <t>телефильм</t>
        </is>
      </c>
      <c r="G781" s="2" t="n"/>
      <c r="H781" s="2" t="n">
        <v>56</v>
      </c>
      <c r="I781" s="2" t="inlineStr"/>
      <c r="J781" s="2" t="inlineStr">
        <is>
          <t>да</t>
        </is>
      </c>
      <c r="K781" s="3" t="inlineStr">
        <is>
          <t>О жизни, творчестве, сложных отношениях артистов балета.</t>
        </is>
      </c>
      <c r="L781" s="2" t="inlineStr">
        <is>
          <t>Кино_СССР сводный каталог.xlsx: список телефильмов</t>
        </is>
      </c>
      <c r="M781" s="2">
        <f>HYPERLINK("https://ru.wikipedia.org/w/index.php?search=%D0%98%D0%BC%D1%8F%20%D1%82%D0%B2%D0%BE%D1%91%201989%20%D1%84%D0%B8%D0%BB%D1%8C%D0%BC","искать")</f>
        <v/>
      </c>
      <c r="N781" s="3" t="n"/>
      <c r="O781" s="2" t="n"/>
    </row>
    <row r="782">
      <c r="A782" s="2" t="n">
        <v>781</v>
      </c>
      <c r="B782" s="2" t="inlineStr">
        <is>
          <t>не сюжет</t>
        </is>
      </c>
      <c r="C782" s="2" t="n">
        <v>7923</v>
      </c>
      <c r="D782" s="3" t="inlineStr">
        <is>
          <t>Мымми и азбука</t>
        </is>
      </c>
      <c r="E782" s="2" t="n">
        <v>1977</v>
      </c>
      <c r="F782" s="2" t="inlineStr">
        <is>
          <t>телефильм</t>
        </is>
      </c>
      <c r="G782" s="2" t="n"/>
      <c r="H782" s="2" t="n">
        <v>56</v>
      </c>
      <c r="I782" s="2" t="inlineStr"/>
      <c r="J782" s="2" t="inlineStr">
        <is>
          <t>да</t>
        </is>
      </c>
      <c r="K782" s="3" t="inlineStr">
        <is>
          <t>Поставлен по сказке эстонской писательницы Гунты Рандлы.</t>
        </is>
      </c>
      <c r="L782" s="2" t="inlineStr">
        <is>
          <t>Кино_СССР сводный каталог.xlsx: список телефильмов</t>
        </is>
      </c>
      <c r="M782" s="2">
        <f>HYPERLINK("https://ru.wikipedia.org/w/index.php?search=%D0%9C%D1%8B%D0%BC%D0%BC%D0%B8%20%D0%B8%20%D0%B0%D0%B7%D0%B1%D1%83%D0%BA%D0%B0%201977%20%D1%84%D0%B8%D0%BB%D1%8C%D0%BC","искать")</f>
        <v/>
      </c>
      <c r="N782" s="3" t="n"/>
      <c r="O782" s="2" t="n"/>
    </row>
    <row r="783">
      <c r="A783" s="2" t="n">
        <v>782</v>
      </c>
      <c r="B783" s="2" t="inlineStr">
        <is>
          <t>не сюжет</t>
        </is>
      </c>
      <c r="C783" s="2" t="n">
        <v>8723</v>
      </c>
      <c r="D783" s="3" t="inlineStr">
        <is>
          <t>Живая копейка</t>
        </is>
      </c>
      <c r="E783" s="2" t="n">
        <v>1985</v>
      </c>
      <c r="F783" s="2" t="inlineStr">
        <is>
          <t>кинофильм</t>
        </is>
      </c>
      <c r="G783" s="2" t="n"/>
      <c r="H783" s="2" t="n">
        <v>56</v>
      </c>
      <c r="I783" s="2" t="inlineStr"/>
      <c r="J783" s="2" t="inlineStr">
        <is>
          <t>да</t>
        </is>
      </c>
      <c r="K783" s="3" t="inlineStr">
        <is>
          <t>О пользе хранения наличных денег в сберегательной кассе.</t>
        </is>
      </c>
      <c r="L783" s="2" t="inlineStr">
        <is>
          <t>Кино_СССР сводный каталог.xlsx: список фильмов (доп.)</t>
        </is>
      </c>
      <c r="M783" s="2">
        <f>HYPERLINK("https://ru.wikipedia.org/w/index.php?search=%D0%96%D0%B8%D0%B2%D0%B0%D1%8F%20%D0%BA%D0%BE%D0%BF%D0%B5%D0%B9%D0%BA%D0%B0%201985%20%D1%84%D0%B8%D0%BB%D1%8C%D0%BC","искать")</f>
        <v/>
      </c>
      <c r="N783" s="3" t="n"/>
      <c r="O783" s="2" t="n"/>
    </row>
    <row r="784">
      <c r="A784" s="2" t="n">
        <v>783</v>
      </c>
      <c r="B784" s="2" t="inlineStr">
        <is>
          <t>не сюжет</t>
        </is>
      </c>
      <c r="C784" s="2" t="n">
        <v>9772</v>
      </c>
      <c r="D784" s="3" t="inlineStr">
        <is>
          <t>Шторм</t>
        </is>
      </c>
      <c r="E784" s="2" t="n">
        <v>1931</v>
      </c>
      <c r="F784" s="2" t="inlineStr">
        <is>
          <t>кинофильм</t>
        </is>
      </c>
      <c r="G784" s="2" t="n"/>
      <c r="H784" s="2" t="n">
        <v>56</v>
      </c>
      <c r="I784" s="2" t="inlineStr"/>
      <c r="J784" s="2" t="inlineStr">
        <is>
          <t>да</t>
        </is>
      </c>
      <c r="K784" s="3" t="inlineStr">
        <is>
          <t>О борьбе комсомольцев за передовые методы строительства.</t>
        </is>
      </c>
      <c r="L784" s="2" t="inlineStr">
        <is>
          <t>Кино_СССР сводный каталог.xlsx: список фильмов (доп.)</t>
        </is>
      </c>
      <c r="M784" s="2">
        <f>HYPERLINK("https://ru.wikipedia.org/w/index.php?search=%D0%A8%D1%82%D0%BE%D1%80%D0%BC%201931%20%D1%84%D0%B8%D0%BB%D1%8C%D0%BC","искать")</f>
        <v/>
      </c>
      <c r="N784" s="3" t="n"/>
      <c r="O784" s="2" t="n"/>
    </row>
    <row r="785">
      <c r="A785" s="2" t="n">
        <v>784</v>
      </c>
      <c r="B785" s="2" t="inlineStr">
        <is>
          <t>не сюжет</t>
        </is>
      </c>
      <c r="C785" s="2" t="n">
        <v>10634</v>
      </c>
      <c r="D785" s="3" t="inlineStr">
        <is>
          <t>Александра</t>
        </is>
      </c>
      <c r="E785" s="2" t="n">
        <v>1976</v>
      </c>
      <c r="F785" s="2" t="inlineStr">
        <is>
          <t>фильм-спектакль</t>
        </is>
      </c>
      <c r="G785" s="2" t="inlineStr">
        <is>
          <t>Ленинградское телевидение</t>
        </is>
      </c>
      <c r="H785" s="2" t="n">
        <v>56</v>
      </c>
      <c r="I785" s="2" t="inlineStr"/>
      <c r="J785" s="2" t="inlineStr">
        <is>
          <t>да</t>
        </is>
      </c>
      <c r="K785" s="3" t="inlineStr">
        <is>
          <t>Телеспектакль по повести Федора Кнорре "Каменный венок".</t>
        </is>
      </c>
      <c r="L785" s="2" t="inlineStr">
        <is>
          <t>https://www.kino-teatr.ru/teatr/movie/137293/annot/</t>
        </is>
      </c>
      <c r="M785" s="2">
        <f>HYPERLINK("https://ru.wikipedia.org/w/index.php?search=%D0%90%D0%BB%D0%B5%D0%BA%D1%81%D0%B0%D0%BD%D0%B4%D1%80%D0%B0%201976%20%D1%84%D0%B8%D0%BB%D1%8C%D0%BC","искать")</f>
        <v/>
      </c>
      <c r="N785" s="3" t="n"/>
      <c r="O785" s="2" t="n"/>
    </row>
    <row r="786">
      <c r="A786" s="2" t="n">
        <v>785</v>
      </c>
      <c r="B786" s="2" t="inlineStr">
        <is>
          <t>не сюжет</t>
        </is>
      </c>
      <c r="C786" s="2" t="n">
        <v>10658</v>
      </c>
      <c r="D786" s="3" t="inlineStr">
        <is>
          <t>На всякого мудреца довольно простоты</t>
        </is>
      </c>
      <c r="E786" s="2" t="n">
        <v>1976</v>
      </c>
      <c r="F786" s="2" t="inlineStr">
        <is>
          <t>фильм-спектакль</t>
        </is>
      </c>
      <c r="G786" s="2" t="inlineStr">
        <is>
          <t>ТО "Экран"</t>
        </is>
      </c>
      <c r="H786" s="2" t="n">
        <v>56</v>
      </c>
      <c r="I786" s="2" t="inlineStr"/>
      <c r="J786" s="2" t="inlineStr">
        <is>
          <t>да</t>
        </is>
      </c>
      <c r="K786" s="3" t="inlineStr">
        <is>
          <t>По пьесе А.Н.Островского в постановке МХАТ им. Горького.</t>
        </is>
      </c>
      <c r="L786" s="2" t="inlineStr">
        <is>
          <t>https://www.kino-teatr.ru/teatr/movie/93015/annot/</t>
        </is>
      </c>
      <c r="M786" s="2">
        <f>HYPERLINK("https://ru.wikipedia.org/w/index.php?search=%D0%9D%D0%B0%20%D0%B2%D1%81%D1%8F%D0%BA%D0%BE%D0%B3%D0%BE%20%D0%BC%D1%83%D0%B4%D1%80%D0%B5%D1%86%D0%B0%20%D0%B4%D0%BE%D0%B2%D0%BE%D0%BB%D1%8C%D0%BD%D0%BE%20%D0%BF%D1%80%D0%BE%D1%81%D1%82%D0%BE%D1%82%D1%8B%201976%20%D1%84%D0%B8%D0%BB%D1%8C%D0%BC","искать")</f>
        <v/>
      </c>
      <c r="N786" s="3" t="n"/>
      <c r="O786" s="2" t="n"/>
    </row>
    <row r="787">
      <c r="A787" s="2" t="n">
        <v>786</v>
      </c>
      <c r="B787" s="2" t="inlineStr">
        <is>
          <t>не сюжет</t>
        </is>
      </c>
      <c r="C787" s="2" t="n">
        <v>10749</v>
      </c>
      <c r="D787" s="3" t="inlineStr">
        <is>
          <t>Капитанская дочка</t>
        </is>
      </c>
      <c r="E787" s="2" t="n">
        <v>1978</v>
      </c>
      <c r="F787" s="2" t="inlineStr">
        <is>
          <t>фильм-спектакль</t>
        </is>
      </c>
      <c r="G787" s="2" t="n"/>
      <c r="H787" s="2" t="n">
        <v>56</v>
      </c>
      <c r="I787" s="2" t="inlineStr"/>
      <c r="J787" s="2" t="inlineStr">
        <is>
          <t>да</t>
        </is>
      </c>
      <c r="K787" s="3" t="inlineStr">
        <is>
          <t>Телеспекталь по мотивам одноименной повести А.С.Пушкина.</t>
        </is>
      </c>
      <c r="L787" s="2" t="inlineStr">
        <is>
          <t>https://www.kino-teatr.ru/teatr/movie/2911/annot/</t>
        </is>
      </c>
      <c r="M787" s="2">
        <f>HYPERLINK("https://ru.wikipedia.org/w/index.php?search=%D0%9A%D0%B0%D0%BF%D0%B8%D1%82%D0%B0%D0%BD%D1%81%D0%BA%D0%B0%D1%8F%20%D0%B4%D0%BE%D1%87%D0%BA%D0%B0%201978%20%D1%84%D0%B8%D0%BB%D1%8C%D0%BC","искать")</f>
        <v/>
      </c>
      <c r="N787" s="3" t="n"/>
      <c r="O787" s="2" t="n"/>
    </row>
    <row r="788">
      <c r="A788" s="2" t="n">
        <v>787</v>
      </c>
      <c r="B788" s="2" t="inlineStr">
        <is>
          <t>не сюжет</t>
        </is>
      </c>
      <c r="C788" s="2" t="n">
        <v>10859</v>
      </c>
      <c r="D788" s="3" t="inlineStr">
        <is>
          <t>По страницам Сатирикона-2</t>
        </is>
      </c>
      <c r="E788" s="2" t="n">
        <v>1980</v>
      </c>
      <c r="F788" s="2" t="inlineStr">
        <is>
          <t>фильм-спектакль</t>
        </is>
      </c>
      <c r="G788" s="2" t="n"/>
      <c r="H788" s="2" t="n">
        <v>56</v>
      </c>
      <c r="I788" s="2" t="inlineStr"/>
      <c r="J788" s="2" t="inlineStr">
        <is>
          <t>да</t>
        </is>
      </c>
      <c r="K788" s="3" t="inlineStr">
        <is>
          <t>Спектакль поставлен по рассказам из журнала "Сатирикон".</t>
        </is>
      </c>
      <c r="L788" s="2" t="inlineStr">
        <is>
          <t>https://www.kino-teatr.ru/teatr/movie/99472/annot/</t>
        </is>
      </c>
      <c r="M788" s="2">
        <f>HYPERLINK("https://ru.wikipedia.org/w/index.php?search=%D0%9F%D0%BE%20%D1%81%D1%82%D1%80%D0%B0%D0%BD%D0%B8%D1%86%D0%B0%D0%BC%20%D0%A1%D0%B0%D1%82%D0%B8%D1%80%D0%B8%D0%BA%D0%BE%D0%BD%D0%B0-2%201980%20%D1%84%D0%B8%D0%BB%D1%8C%D0%BC","искать")</f>
        <v/>
      </c>
      <c r="N788" s="3" t="n"/>
      <c r="O788" s="2" t="n"/>
    </row>
    <row r="789">
      <c r="A789" s="2" t="n">
        <v>788</v>
      </c>
      <c r="B789" s="2" t="inlineStr">
        <is>
          <t>не сюжет</t>
        </is>
      </c>
      <c r="C789" s="2" t="n">
        <v>7562</v>
      </c>
      <c r="D789" s="3" t="inlineStr">
        <is>
          <t>Другая драма</t>
        </is>
      </c>
      <c r="E789" s="2" t="n">
        <v>1990</v>
      </c>
      <c r="F789" s="2" t="inlineStr">
        <is>
          <t>телефильм</t>
        </is>
      </c>
      <c r="G789" s="2" t="n"/>
      <c r="H789" s="2" t="n">
        <v>57</v>
      </c>
      <c r="I789" s="2" t="inlineStr"/>
      <c r="J789" s="2" t="inlineStr">
        <is>
          <t>да</t>
        </is>
      </c>
      <c r="K789" s="3" t="inlineStr">
        <is>
          <t>О жизни и творчестве знаменитого поэта Бориса Пастернака.</t>
        </is>
      </c>
      <c r="L789" s="2" t="inlineStr">
        <is>
          <t>Кино_СССР сводный каталог.xlsx: список телефильмов</t>
        </is>
      </c>
      <c r="M789" s="2">
        <f>HYPERLINK("https://ru.wikipedia.org/w/index.php?search=%D0%94%D1%80%D1%83%D0%B3%D0%B0%D1%8F%20%D0%B4%D1%80%D0%B0%D0%BC%D0%B0%201990%20%D1%84%D0%B8%D0%BB%D1%8C%D0%BC","искать")</f>
        <v/>
      </c>
      <c r="N789" s="3" t="n"/>
      <c r="O789" s="2" t="n"/>
    </row>
    <row r="790">
      <c r="A790" s="2" t="n">
        <v>789</v>
      </c>
      <c r="B790" s="2" t="inlineStr">
        <is>
          <t>не сюжет</t>
        </is>
      </c>
      <c r="C790" s="2" t="n">
        <v>9641</v>
      </c>
      <c r="D790" s="3" t="inlineStr">
        <is>
          <t>Сержант Фетисов</t>
        </is>
      </c>
      <c r="E790" s="2" t="n">
        <v>1961</v>
      </c>
      <c r="F790" s="2" t="inlineStr">
        <is>
          <t>кинофильм</t>
        </is>
      </c>
      <c r="G790" s="2" t="n"/>
      <c r="H790" s="2" t="n">
        <v>57</v>
      </c>
      <c r="I790" s="2" t="inlineStr"/>
      <c r="J790" s="2" t="inlineStr">
        <is>
          <t>да</t>
        </is>
      </c>
      <c r="K790" s="3" t="inlineStr">
        <is>
          <t>Научно-популярный фильм о мирных буднях воинов-танкистов.</t>
        </is>
      </c>
      <c r="L790" s="2" t="inlineStr">
        <is>
          <t>Кино_СССР сводный каталог.xlsx: список фильмов (доп.)</t>
        </is>
      </c>
      <c r="M790" s="2">
        <f>HYPERLINK("https://ru.wikipedia.org/w/index.php?search=%D0%A1%D0%B5%D1%80%D0%B6%D0%B0%D0%BD%D1%82%20%D0%A4%D0%B5%D1%82%D0%B8%D1%81%D0%BE%D0%B2%201961%20%D1%84%D0%B8%D0%BB%D1%8C%D0%BC","искать")</f>
        <v/>
      </c>
      <c r="N790" s="3" t="n"/>
      <c r="O790" s="2" t="n"/>
    </row>
    <row r="791">
      <c r="A791" s="2" t="n">
        <v>790</v>
      </c>
      <c r="B791" s="2" t="inlineStr">
        <is>
          <t>не сюжет</t>
        </is>
      </c>
      <c r="C791" s="2" t="n">
        <v>10344</v>
      </c>
      <c r="D791" s="3" t="inlineStr">
        <is>
          <t>Швейк во второй мировой войне</t>
        </is>
      </c>
      <c r="E791" s="2" t="n">
        <v>1969</v>
      </c>
      <c r="F791" s="2" t="inlineStr">
        <is>
          <t>фильм-спектакль</t>
        </is>
      </c>
      <c r="G791" s="2" t="inlineStr">
        <is>
          <t>Главная редакция литературно-драматических программ центр. тел. СССР</t>
        </is>
      </c>
      <c r="H791" s="2" t="n">
        <v>57</v>
      </c>
      <c r="I791" s="2" t="inlineStr"/>
      <c r="J791" s="2" t="inlineStr">
        <is>
          <t>да</t>
        </is>
      </c>
      <c r="K791" s="3" t="inlineStr">
        <is>
          <t>По одноименной сатирической антивоенной комедии Б.Брехта.</t>
        </is>
      </c>
      <c r="L791" s="2" t="inlineStr">
        <is>
          <t>https://www.kino-teatr.ru/teatr/movie/17063/annot/</t>
        </is>
      </c>
      <c r="M791" s="2">
        <f>HYPERLINK("https://ru.wikipedia.org/w/index.php?search=%D0%A8%D0%B2%D0%B5%D0%B9%D0%BA%20%D0%B2%D0%BE%20%D0%B2%D1%82%D0%BE%D1%80%D0%BE%D0%B9%20%D0%BC%D0%B8%D1%80%D0%BE%D0%B2%D0%BE%D0%B9%20%D0%B2%D0%BE%D0%B9%D0%BD%D0%B5%201969%20%D1%84%D0%B8%D0%BB%D1%8C%D0%BC","искать")</f>
        <v/>
      </c>
      <c r="N791" s="3" t="n"/>
      <c r="O791" s="2" t="n"/>
    </row>
    <row r="792">
      <c r="A792" s="2" t="n">
        <v>791</v>
      </c>
      <c r="B792" s="2" t="inlineStr">
        <is>
          <t>не сюжет</t>
        </is>
      </c>
      <c r="C792" s="2" t="n">
        <v>8441</v>
      </c>
      <c r="D792" s="3" t="inlineStr">
        <is>
          <t>Танцы вокруг парового котла</t>
        </is>
      </c>
      <c r="E792" s="2" t="n">
        <v>1987</v>
      </c>
      <c r="F792" s="2" t="inlineStr">
        <is>
          <t>телефильм</t>
        </is>
      </c>
      <c r="G792" s="2" t="n"/>
      <c r="H792" s="2" t="n">
        <v>58</v>
      </c>
      <c r="I792" s="2" t="inlineStr"/>
      <c r="J792" s="2" t="inlineStr">
        <is>
          <t>да</t>
        </is>
      </c>
      <c r="K792" s="3" t="inlineStr">
        <is>
          <t>Двухсерийная экранизация одноимённого романа Матса Траата.</t>
        </is>
      </c>
      <c r="L792" s="2" t="inlineStr">
        <is>
          <t>Кино_СССР сводный каталог.xlsx: список телефильмов</t>
        </is>
      </c>
      <c r="M792" s="2">
        <f>HYPERLINK("https://ru.wikipedia.org/w/index.php?search=%D0%A2%D0%B0%D0%BD%D1%86%D1%8B%20%D0%B2%D0%BE%D0%BA%D1%80%D1%83%D0%B3%20%D0%BF%D0%B0%D1%80%D0%BE%D0%B2%D0%BE%D0%B3%D0%BE%20%D0%BA%D0%BE%D1%82%D0%BB%D0%B0%201987%20%D1%84%D0%B8%D0%BB%D1%8C%D0%BC","искать")</f>
        <v/>
      </c>
      <c r="N792" s="3" t="n"/>
      <c r="O792" s="2" t="n"/>
    </row>
    <row r="793">
      <c r="A793" s="2" t="n">
        <v>792</v>
      </c>
      <c r="B793" s="2" t="inlineStr">
        <is>
          <t>не сюжет</t>
        </is>
      </c>
      <c r="C793" s="2" t="n">
        <v>8917</v>
      </c>
      <c r="D793" s="3" t="inlineStr">
        <is>
          <t>Память поколения</t>
        </is>
      </c>
      <c r="E793" s="2" t="n">
        <v>1963</v>
      </c>
      <c r="F793" s="2" t="inlineStr">
        <is>
          <t>кинофильм</t>
        </is>
      </c>
      <c r="G793" s="2" t="n"/>
      <c r="H793" s="2" t="n">
        <v>58</v>
      </c>
      <c r="I793" s="2" t="inlineStr"/>
      <c r="J793" s="2" t="inlineStr">
        <is>
          <t>да</t>
        </is>
      </c>
      <c r="K793" s="3" t="inlineStr">
        <is>
          <t>О борьбе с контрреволюцией в первые годы советской власти.</t>
        </is>
      </c>
      <c r="L793" s="2" t="inlineStr">
        <is>
          <t>Кино_СССР сводный каталог.xlsx: список фильмов (доп.)</t>
        </is>
      </c>
      <c r="M793" s="2">
        <f>HYPERLINK("https://ru.wikipedia.org/w/index.php?search=%D0%9F%D0%B0%D0%BC%D1%8F%D1%82%D1%8C%20%D0%BF%D0%BE%D0%BA%D0%BE%D0%BB%D0%B5%D0%BD%D0%B8%D1%8F%201963%20%D1%84%D0%B8%D0%BB%D1%8C%D0%BC","искать")</f>
        <v/>
      </c>
      <c r="N793" s="3" t="n"/>
      <c r="O793" s="2" t="n"/>
    </row>
    <row r="794">
      <c r="A794" s="2" t="n">
        <v>793</v>
      </c>
      <c r="B794" s="2" t="inlineStr">
        <is>
          <t>не сюжет</t>
        </is>
      </c>
      <c r="C794" s="2" t="n">
        <v>7802</v>
      </c>
      <c r="D794" s="3" t="inlineStr">
        <is>
          <t>Лето в Журавлином</t>
        </is>
      </c>
      <c r="E794" s="2" t="n">
        <v>1974</v>
      </c>
      <c r="F794" s="2" t="inlineStr">
        <is>
          <t>телефильм</t>
        </is>
      </c>
      <c r="G794" s="2" t="n"/>
      <c r="H794" s="2" t="n">
        <v>59</v>
      </c>
      <c r="I794" s="2" t="inlineStr"/>
      <c r="J794" s="2" t="inlineStr">
        <is>
          <t>да</t>
        </is>
      </c>
      <c r="K794" s="3" t="inlineStr">
        <is>
          <t>По роману Д.И.Бедзика. Посвящен труженикам колхозных полей.</t>
        </is>
      </c>
      <c r="L794" s="2" t="inlineStr">
        <is>
          <t>Кино_СССР сводный каталог.xlsx: список телефильмов</t>
        </is>
      </c>
      <c r="M794" s="2">
        <f>HYPERLINK("https://ru.wikipedia.org/w/index.php?search=%D0%9B%D0%B5%D1%82%D0%BE%20%D0%B2%20%D0%96%D1%83%D1%80%D0%B0%D0%B2%D0%BB%D0%B8%D0%BD%D0%BE%D0%BC%201974%20%D1%84%D0%B8%D0%BB%D1%8C%D0%BC","искать")</f>
        <v/>
      </c>
      <c r="N794" s="3" t="n"/>
      <c r="O794" s="2" t="n"/>
    </row>
    <row r="795">
      <c r="A795" s="2" t="n">
        <v>794</v>
      </c>
      <c r="B795" s="2" t="inlineStr">
        <is>
          <t>не сюжет</t>
        </is>
      </c>
      <c r="C795" s="2" t="n">
        <v>8360</v>
      </c>
      <c r="D795" s="3" t="inlineStr">
        <is>
          <t>Случай на фестивале</t>
        </is>
      </c>
      <c r="E795" s="2" t="n">
        <v>1976</v>
      </c>
      <c r="F795" s="2" t="inlineStr">
        <is>
          <t>телефильм</t>
        </is>
      </c>
      <c r="G795" s="2" t="inlineStr">
        <is>
          <t>«Молдова-фильм»</t>
        </is>
      </c>
      <c r="H795" s="2" t="n">
        <v>59</v>
      </c>
      <c r="I795" s="2" t="inlineStr"/>
      <c r="J795" s="2" t="inlineStr">
        <is>
          <t>да</t>
        </is>
      </c>
      <c r="K795" s="3" t="inlineStr">
        <is>
          <t>Музыкальная история о любви на фоне фольклорного фестиваля.</t>
        </is>
      </c>
      <c r="L795" s="2" t="inlineStr">
        <is>
          <t>Кино_СССР сводный каталог.xlsx: список телефильмов</t>
        </is>
      </c>
      <c r="M795" s="2">
        <f>HYPERLINK("https://ru.wikipedia.org/w/index.php?search=%D0%A1%D0%BB%D1%83%D1%87%D0%B0%D0%B9%20%D0%BD%D0%B0%20%D1%84%D0%B5%D1%81%D1%82%D0%B8%D0%B2%D0%B0%D0%BB%D0%B5%201976%20%D1%84%D0%B8%D0%BB%D1%8C%D0%BC","искать")</f>
        <v/>
      </c>
      <c r="N795" s="3" t="n"/>
      <c r="O795" s="2" t="n"/>
    </row>
    <row r="796">
      <c r="A796" s="2" t="n">
        <v>795</v>
      </c>
      <c r="B796" s="2" t="inlineStr">
        <is>
          <t>не сюжет</t>
        </is>
      </c>
      <c r="C796" s="2" t="n">
        <v>8929</v>
      </c>
      <c r="D796" s="3" t="inlineStr">
        <is>
          <t>Пламя гор</t>
        </is>
      </c>
      <c r="E796" s="2" t="n">
        <v>1931</v>
      </c>
      <c r="F796" s="2" t="inlineStr">
        <is>
          <t>кинофильм</t>
        </is>
      </c>
      <c r="G796" s="2" t="n"/>
      <c r="H796" s="2" t="n">
        <v>59</v>
      </c>
      <c r="I796" s="2" t="inlineStr"/>
      <c r="J796" s="2" t="inlineStr">
        <is>
          <t>да</t>
        </is>
      </c>
      <c r="K796" s="3" t="inlineStr">
        <is>
          <t>Фильм был запрещен из-за яркой антипольской направленности.</t>
        </is>
      </c>
      <c r="L796" s="2" t="inlineStr">
        <is>
          <t>Кино_СССР сводный каталог.xlsx: список фильмов (доп.)</t>
        </is>
      </c>
      <c r="M796" s="2">
        <f>HYPERLINK("https://ru.wikipedia.org/w/index.php?search=%D0%9F%D0%BB%D0%B0%D0%BC%D1%8F%20%D0%B3%D0%BE%D1%80%201931%20%D1%84%D0%B8%D0%BB%D1%8C%D0%BC","искать")</f>
        <v/>
      </c>
      <c r="N796" s="3" t="n"/>
      <c r="O796" s="2" t="n"/>
    </row>
    <row r="797">
      <c r="A797" s="2" t="n">
        <v>796</v>
      </c>
      <c r="B797" s="2" t="inlineStr">
        <is>
          <t>не сюжет</t>
        </is>
      </c>
      <c r="C797" s="2" t="n">
        <v>9649</v>
      </c>
      <c r="D797" s="3" t="inlineStr">
        <is>
          <t>Следствие продолжается</t>
        </is>
      </c>
      <c r="E797" s="2" t="n">
        <v>1958</v>
      </c>
      <c r="F797" s="2" t="inlineStr">
        <is>
          <t>кинофильм</t>
        </is>
      </c>
      <c r="G797" s="2" t="n"/>
      <c r="H797" s="2" t="n">
        <v>59</v>
      </c>
      <c r="I797" s="2" t="inlineStr"/>
      <c r="J797" s="2" t="inlineStr">
        <is>
          <t>да</t>
        </is>
      </c>
      <c r="K797" s="3" t="inlineStr">
        <is>
          <t>О методах расследования хищений государственного имущества.</t>
        </is>
      </c>
      <c r="L797" s="2" t="inlineStr">
        <is>
          <t>Кино_СССР сводный каталог.xlsx: список фильмов (доп.)</t>
        </is>
      </c>
      <c r="M797" s="2">
        <f>HYPERLINK("https://ru.wikipedia.org/w/index.php?search=%D0%A1%D0%BB%D0%B5%D0%B4%D1%81%D1%82%D0%B2%D0%B8%D0%B5%20%D0%BF%D1%80%D0%BE%D0%B4%D0%BE%D0%BB%D0%B6%D0%B0%D0%B5%D1%82%D1%81%D1%8F%201958%20%D1%84%D0%B8%D0%BB%D1%8C%D0%BC","искать")</f>
        <v/>
      </c>
      <c r="N797" s="3" t="n"/>
      <c r="O797" s="2" t="n"/>
    </row>
    <row r="798">
      <c r="A798" s="2" t="n">
        <v>797</v>
      </c>
      <c r="B798" s="2" t="inlineStr">
        <is>
          <t>не сюжет</t>
        </is>
      </c>
      <c r="C798" s="2" t="n">
        <v>10045</v>
      </c>
      <c r="D798" s="3" t="inlineStr">
        <is>
          <t>Двойник</t>
        </is>
      </c>
      <c r="E798" s="2" t="n">
        <v>1990</v>
      </c>
      <c r="F798" s="2" t="inlineStr">
        <is>
          <t>кинофильм</t>
        </is>
      </c>
      <c r="G798" s="2" t="inlineStr">
        <is>
          <t>Литовская киностудия</t>
        </is>
      </c>
      <c r="H798" s="2" t="n">
        <v>59</v>
      </c>
      <c r="I798" s="2" t="inlineStr"/>
      <c r="J798" s="2" t="inlineStr">
        <is>
          <t>да</t>
        </is>
      </c>
      <c r="K798" s="3" t="inlineStr">
        <is>
          <t>По мотивам произведения Римантаса Гавялиса "Лицо человека".</t>
        </is>
      </c>
      <c r="L798" s="2" t="inlineStr">
        <is>
          <t>https://www.kino-teatr.ru/short/movie/sov/107813/annot/</t>
        </is>
      </c>
      <c r="M798" s="2">
        <f>HYPERLINK("https://ru.wikipedia.org/w/index.php?search=%D0%94%D0%B2%D0%BE%D0%B9%D0%BD%D0%B8%D0%BA%201990%20%D1%84%D0%B8%D0%BB%D1%8C%D0%BC","искать")</f>
        <v/>
      </c>
      <c r="N798" s="3" t="n"/>
      <c r="O798" s="2" t="n"/>
    </row>
    <row r="799">
      <c r="A799" s="2" t="n">
        <v>798</v>
      </c>
      <c r="B799" s="2" t="inlineStr">
        <is>
          <t>не сюжет</t>
        </is>
      </c>
      <c r="C799" s="2" t="n">
        <v>10122</v>
      </c>
      <c r="D799" s="3" t="inlineStr">
        <is>
          <t>Марюта ищет жениха</t>
        </is>
      </c>
      <c r="E799" s="2" t="n">
        <v>1964</v>
      </c>
      <c r="F799" s="2" t="inlineStr">
        <is>
          <t>фильм-спектакль</t>
        </is>
      </c>
      <c r="G799" s="2" t="inlineStr">
        <is>
          <t>Центральное телевидение</t>
        </is>
      </c>
      <c r="H799" s="2" t="n">
        <v>59</v>
      </c>
      <c r="I799" s="2" t="inlineStr"/>
      <c r="J799" s="2" t="inlineStr">
        <is>
          <t>да</t>
        </is>
      </c>
      <c r="K799" s="3" t="inlineStr">
        <is>
          <t>Водевиль Лии Гераскиной в исполнении актеров театра Сатиры.</t>
        </is>
      </c>
      <c r="L799" s="2" t="inlineStr">
        <is>
          <t>https://www.kino-teatr.ru/teatr/movie/136291/annot/</t>
        </is>
      </c>
      <c r="M799" s="2">
        <f>HYPERLINK("https://ru.wikipedia.org/w/index.php?search=%D0%9C%D0%B0%D1%80%D1%8E%D1%82%D0%B0%20%D0%B8%D1%89%D0%B5%D1%82%20%D0%B6%D0%B5%D0%BD%D0%B8%D1%85%D0%B0%201964%20%D1%84%D0%B8%D0%BB%D1%8C%D0%BC","искать")</f>
        <v/>
      </c>
      <c r="N799" s="3" t="n"/>
      <c r="O799" s="2" t="n"/>
    </row>
    <row r="800">
      <c r="A800" s="2" t="n">
        <v>799</v>
      </c>
      <c r="B800" s="2" t="inlineStr">
        <is>
          <t>не сюжет</t>
        </is>
      </c>
      <c r="C800" s="2" t="n">
        <v>10604</v>
      </c>
      <c r="D800" s="3" t="inlineStr">
        <is>
          <t>Граф Люксембург</t>
        </is>
      </c>
      <c r="E800" s="2" t="n">
        <v>1975</v>
      </c>
      <c r="F800" s="2" t="inlineStr">
        <is>
          <t>фильм-спектакль</t>
        </is>
      </c>
      <c r="G800" s="2" t="inlineStr">
        <is>
          <t>ЦТ</t>
        </is>
      </c>
      <c r="H800" s="2" t="n">
        <v>59</v>
      </c>
      <c r="I800" s="2" t="inlineStr"/>
      <c r="J800" s="2" t="inlineStr">
        <is>
          <t>да</t>
        </is>
      </c>
      <c r="K800" s="3" t="inlineStr">
        <is>
          <t>Оперетта Ф.Легара в постановке Московского театра оперетты.</t>
        </is>
      </c>
      <c r="L800" s="2" t="inlineStr">
        <is>
          <t>https://www.kino-teatr.ru/teatr/movie/89761/annot/</t>
        </is>
      </c>
      <c r="M800" s="2">
        <f>HYPERLINK("https://ru.wikipedia.org/w/index.php?search=%D0%93%D1%80%D0%B0%D1%84%20%D0%9B%D1%8E%D0%BA%D1%81%D0%B5%D0%BC%D0%B1%D1%83%D1%80%D0%B3%201975%20%D1%84%D0%B8%D0%BB%D1%8C%D0%BC","искать")</f>
        <v/>
      </c>
      <c r="N800" s="3" t="n"/>
      <c r="O800" s="2" t="n"/>
    </row>
    <row r="801">
      <c r="A801" s="2" t="n">
        <v>800</v>
      </c>
      <c r="B801" s="2" t="inlineStr">
        <is>
          <t>не сюжет</t>
        </is>
      </c>
      <c r="C801" s="2" t="n">
        <v>7497</v>
      </c>
      <c r="D801" s="3" t="inlineStr">
        <is>
          <t>Дело Сухово-Кобылина</t>
        </is>
      </c>
      <c r="E801" s="2" t="n">
        <v>1991</v>
      </c>
      <c r="F801" s="2" t="inlineStr">
        <is>
          <t>телефильм</t>
        </is>
      </c>
      <c r="G801" s="2" t="n"/>
      <c r="H801" s="2" t="n">
        <v>60</v>
      </c>
      <c r="I801" s="2" t="inlineStr"/>
      <c r="J801" s="2" t="inlineStr">
        <is>
          <t>да</t>
        </is>
      </c>
      <c r="K801" s="3" t="inlineStr">
        <is>
          <t>О жизни и творчестве русского драматурга А. Сухово-Кобылина.</t>
        </is>
      </c>
      <c r="L801" s="2" t="inlineStr">
        <is>
          <t>Кино_СССР сводный каталог.xlsx: список телефильмов</t>
        </is>
      </c>
      <c r="M801" s="2">
        <f>HYPERLINK("https://ru.wikipedia.org/w/index.php?search=%D0%94%D0%B5%D0%BB%D0%BE%20%D0%A1%D1%83%D1%85%D0%BE%D0%B2%D0%BE-%D0%9A%D0%BE%D0%B1%D1%8B%D0%BB%D0%B8%D0%BD%D0%B0%201991%20%D1%84%D0%B8%D0%BB%D1%8C%D0%BC","искать")</f>
        <v/>
      </c>
      <c r="N801" s="3" t="n"/>
      <c r="O801" s="2" t="n"/>
    </row>
    <row r="802">
      <c r="A802" s="2" t="n">
        <v>801</v>
      </c>
      <c r="B802" s="2" t="inlineStr">
        <is>
          <t>не сюжет</t>
        </is>
      </c>
      <c r="C802" s="2" t="n">
        <v>7706</v>
      </c>
      <c r="D802" s="3" t="inlineStr">
        <is>
          <t>Канатоходец</t>
        </is>
      </c>
      <c r="E802" s="2" t="n">
        <v>1972</v>
      </c>
      <c r="F802" s="2" t="inlineStr">
        <is>
          <t>телефильм</t>
        </is>
      </c>
      <c r="G802" s="2" t="n"/>
      <c r="H802" s="2" t="n">
        <v>60</v>
      </c>
      <c r="I802" s="2" t="inlineStr"/>
      <c r="J802" s="2" t="inlineStr">
        <is>
          <t>да</t>
        </is>
      </c>
      <c r="K802" s="3" t="inlineStr">
        <is>
          <t>О древнем искусстве хождения по канату в дагестанских аулах.</t>
        </is>
      </c>
      <c r="L802" s="2" t="inlineStr">
        <is>
          <t>Кино_СССР сводный каталог.xlsx: список телефильмов</t>
        </is>
      </c>
      <c r="M802" s="2">
        <f>HYPERLINK("https://ru.wikipedia.org/w/index.php?search=%D0%9A%D0%B0%D0%BD%D0%B0%D1%82%D0%BE%D1%85%D0%BE%D0%B4%D0%B5%D1%86%201972%20%D1%84%D0%B8%D0%BB%D1%8C%D0%BC","искать")</f>
        <v/>
      </c>
      <c r="N802" s="3" t="n"/>
      <c r="O802" s="2" t="n"/>
    </row>
    <row r="803">
      <c r="A803" s="2" t="n">
        <v>802</v>
      </c>
      <c r="B803" s="2" t="inlineStr">
        <is>
          <t>не сюжет</t>
        </is>
      </c>
      <c r="C803" s="2" t="n">
        <v>9804</v>
      </c>
      <c r="D803" s="3" t="inlineStr">
        <is>
          <t>Испытатели</t>
        </is>
      </c>
      <c r="E803" s="2" t="n">
        <v>1987</v>
      </c>
      <c r="F803" s="2" t="inlineStr">
        <is>
          <t>телефильм</t>
        </is>
      </c>
      <c r="G803" s="2" t="inlineStr">
        <is>
          <t>Укртелефильм</t>
        </is>
      </c>
      <c r="H803" s="2" t="n">
        <v>60</v>
      </c>
      <c r="I803" s="2" t="inlineStr"/>
      <c r="J803" s="2" t="inlineStr">
        <is>
          <t>да</t>
        </is>
      </c>
      <c r="K803" s="3" t="inlineStr">
        <is>
          <t>Фильм о производственных конфликтах на автомобильном заводе.</t>
        </is>
      </c>
      <c r="L803" s="2" t="inlineStr">
        <is>
          <t>https://www.kino-teatr.ru/kino/movie/sov/12946/annot/</t>
        </is>
      </c>
      <c r="M803" s="2">
        <f>HYPERLINK("https://ru.wikipedia.org/w/index.php?search=%D0%98%D1%81%D0%BF%D1%8B%D1%82%D0%B0%D1%82%D0%B5%D0%BB%D0%B8%201987%20%D1%84%D0%B8%D0%BB%D1%8C%D0%BC","искать")</f>
        <v/>
      </c>
      <c r="N803" s="3" t="n"/>
      <c r="O803" s="2" t="n"/>
    </row>
    <row r="804">
      <c r="A804" s="2" t="n">
        <v>803</v>
      </c>
      <c r="B804" s="2" t="inlineStr">
        <is>
          <t>не сюжет</t>
        </is>
      </c>
      <c r="C804" s="2" t="n">
        <v>9916</v>
      </c>
      <c r="D804" s="3" t="inlineStr">
        <is>
          <t>Здесь мой причал</t>
        </is>
      </c>
      <c r="E804" s="2" t="n">
        <v>1976</v>
      </c>
      <c r="F804" s="2" t="inlineStr">
        <is>
          <t>телефильм</t>
        </is>
      </c>
      <c r="G804" s="2" t="inlineStr">
        <is>
          <t>Волгоградская студия телевидения</t>
        </is>
      </c>
      <c r="H804" s="2" t="n">
        <v>60</v>
      </c>
      <c r="I804" s="2" t="inlineStr"/>
      <c r="J804" s="2" t="inlineStr">
        <is>
          <t>да</t>
        </is>
      </c>
      <c r="K804" s="3" t="inlineStr">
        <is>
          <t>Телефильм о семейных взаимоотношениях, дружбе и преданности.</t>
        </is>
      </c>
      <c r="L804" s="2" t="inlineStr">
        <is>
          <t>https://www.kino-teatr.ru/short/movie/sov/14642/annot/</t>
        </is>
      </c>
      <c r="M804" s="2">
        <f>HYPERLINK("https://ru.wikipedia.org/w/index.php?search=%D0%97%D0%B4%D0%B5%D1%81%D1%8C%20%D0%BC%D0%BE%D0%B9%20%D0%BF%D1%80%D0%B8%D1%87%D0%B0%D0%BB%201976%20%D1%84%D0%B8%D0%BB%D1%8C%D0%BC","искать")</f>
        <v/>
      </c>
      <c r="N804" s="3" t="n"/>
      <c r="O804" s="2" t="n"/>
    </row>
    <row r="805">
      <c r="A805" s="2" t="n">
        <v>804</v>
      </c>
      <c r="B805" s="2" t="inlineStr">
        <is>
          <t>не сюжет</t>
        </is>
      </c>
      <c r="C805" s="2" t="n">
        <v>10059</v>
      </c>
      <c r="D805" s="3" t="inlineStr">
        <is>
          <t>Воскресенье — Ночной театр (1950-1959)</t>
        </is>
      </c>
      <c r="E805" s="2" t="n">
        <v>1950</v>
      </c>
      <c r="F805" s="2" t="inlineStr">
        <is>
          <t>фильм-спектакль</t>
        </is>
      </c>
      <c r="G805" s="2" t="inlineStr">
        <is>
          <t>BBC Television Centre</t>
        </is>
      </c>
      <c r="H805" s="2" t="n">
        <v>60</v>
      </c>
      <c r="I805" s="2" t="inlineStr"/>
      <c r="J805" s="2" t="inlineStr">
        <is>
          <t>да</t>
        </is>
      </c>
      <c r="K805" s="3" t="inlineStr">
        <is>
          <t>Антология главных театральных спектаклей 50-х годов XX века.</t>
        </is>
      </c>
      <c r="L805" s="2" t="inlineStr">
        <is>
          <t>https://www.kino-teatr.ru/teatr/movie/16864/annot/</t>
        </is>
      </c>
      <c r="M805" s="2">
        <f>HYPERLINK("https://ru.wikipedia.org/w/index.php?search=%D0%92%D0%BE%D1%81%D0%BA%D1%80%D0%B5%D1%81%D0%B5%D0%BD%D1%8C%D0%B5%20%E2%80%94%20%D0%9D%D0%BE%D1%87%D0%BD%D0%BE%D0%B9%20%D1%82%D0%B5%D0%B0%D1%82%D1%80%20%281950-1959%29%201950%20%D1%84%D0%B8%D0%BB%D1%8C%D0%BC","искать")</f>
        <v/>
      </c>
      <c r="N805" s="3" t="n"/>
      <c r="O805" s="2" t="n"/>
    </row>
    <row r="806">
      <c r="A806" s="2" t="n">
        <v>805</v>
      </c>
      <c r="B806" s="2" t="inlineStr">
        <is>
          <t>не сюжет</t>
        </is>
      </c>
      <c r="C806" s="2" t="n">
        <v>10182</v>
      </c>
      <c r="D806" s="3" t="inlineStr">
        <is>
          <t>Адресат неизвестен</t>
        </is>
      </c>
      <c r="E806" s="2" t="n">
        <v>1967</v>
      </c>
      <c r="F806" s="2" t="inlineStr">
        <is>
          <t>фильм-спектакль</t>
        </is>
      </c>
      <c r="G806" s="2" t="inlineStr">
        <is>
          <t>Центральное телевидение</t>
        </is>
      </c>
      <c r="H806" s="2" t="n">
        <v>60</v>
      </c>
      <c r="I806" s="2" t="inlineStr"/>
      <c r="J806" s="2" t="inlineStr">
        <is>
          <t>да</t>
        </is>
      </c>
      <c r="K806" s="3" t="inlineStr">
        <is>
          <t>По детективной повести польской писательницы Барбары Гордон.</t>
        </is>
      </c>
      <c r="L806" s="2" t="inlineStr">
        <is>
          <t>https://www.kino-teatr.ru/teatr/movie/136681/annot/</t>
        </is>
      </c>
      <c r="M806" s="2">
        <f>HYPERLINK("https://ru.wikipedia.org/w/index.php?search=%D0%90%D0%B4%D1%80%D0%B5%D1%81%D0%B0%D1%82%20%D0%BD%D0%B5%D0%B8%D0%B7%D0%B2%D0%B5%D1%81%D1%82%D0%B5%D0%BD%201967%20%D1%84%D0%B8%D0%BB%D1%8C%D0%BC","искать")</f>
        <v/>
      </c>
      <c r="N806" s="3" t="n"/>
      <c r="O806" s="2" t="n"/>
    </row>
    <row r="807">
      <c r="A807" s="2" t="n">
        <v>806</v>
      </c>
      <c r="B807" s="2" t="inlineStr">
        <is>
          <t>не сюжет</t>
        </is>
      </c>
      <c r="C807" s="2" t="n">
        <v>10560</v>
      </c>
      <c r="D807" s="3" t="inlineStr">
        <is>
          <t>Домби и сын</t>
        </is>
      </c>
      <c r="E807" s="2" t="n">
        <v>1974</v>
      </c>
      <c r="F807" s="2" t="inlineStr">
        <is>
          <t>фильм-спектакль</t>
        </is>
      </c>
      <c r="G807" s="2" t="inlineStr">
        <is>
          <t>ЦТ</t>
        </is>
      </c>
      <c r="H807" s="2" t="n">
        <v>60</v>
      </c>
      <c r="I807" s="2" t="inlineStr"/>
      <c r="J807" s="2" t="inlineStr">
        <is>
          <t>да</t>
        </is>
      </c>
      <c r="K807" s="3" t="inlineStr">
        <is>
          <t>Телеспектакль.
По страницам одноименного романа Ч. Диккенса.</t>
        </is>
      </c>
      <c r="L807" s="2" t="inlineStr">
        <is>
          <t>https://www.kino-teatr.ru/teatr/movie/1965/annot/</t>
        </is>
      </c>
      <c r="M807" s="2">
        <f>HYPERLINK("https://ru.wikipedia.org/w/index.php?search=%D0%94%D0%BE%D0%BC%D0%B1%D0%B8%20%D0%B8%20%D1%81%D1%8B%D0%BD%201974%20%D1%84%D0%B8%D0%BB%D1%8C%D0%BC","искать")</f>
        <v/>
      </c>
      <c r="N807" s="3" t="n"/>
      <c r="O807" s="2" t="n"/>
    </row>
    <row r="808">
      <c r="A808" s="2" t="n">
        <v>807</v>
      </c>
      <c r="B808" s="2" t="inlineStr">
        <is>
          <t>не сюжет</t>
        </is>
      </c>
      <c r="C808" s="2" t="n">
        <v>10688</v>
      </c>
      <c r="D808" s="3" t="inlineStr">
        <is>
          <t>Жена</t>
        </is>
      </c>
      <c r="E808" s="2" t="n">
        <v>1977</v>
      </c>
      <c r="F808" s="2" t="inlineStr">
        <is>
          <t>фильм-спектакль</t>
        </is>
      </c>
      <c r="G808" s="2" t="inlineStr">
        <is>
          <t>Ленинградское телевидение</t>
        </is>
      </c>
      <c r="H808" s="2" t="n">
        <v>60</v>
      </c>
      <c r="I808" s="2" t="inlineStr"/>
      <c r="J808" s="2" t="inlineStr">
        <is>
          <t>да</t>
        </is>
      </c>
      <c r="K808" s="3" t="inlineStr">
        <is>
          <t>По рассказу А.П.Чехова.
О сложных взаимоотношениях супругов.</t>
        </is>
      </c>
      <c r="L808" s="2" t="inlineStr">
        <is>
          <t>https://www.kino-teatr.ru/teatr/movie/87377/annot/</t>
        </is>
      </c>
      <c r="M808" s="2">
        <f>HYPERLINK("https://ru.wikipedia.org/w/index.php?search=%D0%96%D0%B5%D0%BD%D0%B0%201977%20%D1%84%D0%B8%D0%BB%D1%8C%D0%BC","искать")</f>
        <v/>
      </c>
      <c r="N808" s="3" t="n"/>
      <c r="O808" s="2" t="n"/>
    </row>
    <row r="809">
      <c r="A809" s="2" t="n">
        <v>808</v>
      </c>
      <c r="B809" s="2" t="inlineStr">
        <is>
          <t>не сюжет</t>
        </is>
      </c>
      <c r="C809" s="2" t="n">
        <v>11379</v>
      </c>
      <c r="D809" s="3" t="inlineStr">
        <is>
          <t>Моя Кармен</t>
        </is>
      </c>
      <c r="E809" s="2" t="n">
        <v>1976</v>
      </c>
      <c r="F809" s="2" t="inlineStr">
        <is>
          <t>фильм-опера/балет</t>
        </is>
      </c>
      <c r="G809" s="2" t="n"/>
      <c r="H809" s="2" t="n">
        <v>60</v>
      </c>
      <c r="I809" s="2" t="inlineStr"/>
      <c r="J809" s="2" t="inlineStr">
        <is>
          <t>да</t>
        </is>
      </c>
      <c r="K809" s="3" t="inlineStr">
        <is>
          <t>Фильм-опера по новелле Проспера Мериме на музыку Жоржа Бизе.</t>
        </is>
      </c>
      <c r="L809" s="2" t="inlineStr">
        <is>
          <t>Кино_СССР телефильмы и пропуски включить в базу.xlsx</t>
        </is>
      </c>
      <c r="M809" s="2">
        <f>HYPERLINK("https://ru.wikipedia.org/w/index.php?search=%D0%9C%D0%BE%D1%8F%20%D0%9A%D0%B0%D1%80%D0%BC%D0%B5%D0%BD%201976%20%D1%84%D0%B8%D0%BB%D1%8C%D0%BC","искать")</f>
        <v/>
      </c>
      <c r="N809" s="3" t="n"/>
      <c r="O809" s="2" t="n"/>
    </row>
    <row r="810">
      <c r="A810" s="2" t="n">
        <v>809</v>
      </c>
      <c r="B810" s="2" t="inlineStr">
        <is>
          <t>не сюжет</t>
        </is>
      </c>
      <c r="C810" s="2" t="n">
        <v>8734</v>
      </c>
      <c r="D810" s="3" t="inlineStr">
        <is>
          <t>Здесь начинается милиция</t>
        </is>
      </c>
      <c r="E810" s="2" t="n">
        <v>1966</v>
      </c>
      <c r="F810" s="2" t="inlineStr">
        <is>
          <t>кинофильм</t>
        </is>
      </c>
      <c r="G810" s="2" t="n"/>
      <c r="H810" s="2" t="n">
        <v>61</v>
      </c>
      <c r="I810" s="2" t="inlineStr"/>
      <c r="J810" s="2" t="inlineStr">
        <is>
          <t>да</t>
        </is>
      </c>
      <c r="K810" s="3" t="inlineStr">
        <is>
          <t>О важности и сложности работы дежурного по отделению милиции.</t>
        </is>
      </c>
      <c r="L810" s="2" t="inlineStr">
        <is>
          <t>Кино_СССР сводный каталог.xlsx: список фильмов (доп.)</t>
        </is>
      </c>
      <c r="M810" s="2">
        <f>HYPERLINK("https://ru.wikipedia.org/w/index.php?search=%D0%97%D0%B4%D0%B5%D1%81%D1%8C%20%D0%BD%D0%B0%D1%87%D0%B8%D0%BD%D0%B0%D0%B5%D1%82%D1%81%D1%8F%20%D0%BC%D0%B8%D0%BB%D0%B8%D1%86%D0%B8%D1%8F%201966%20%D1%84%D0%B8%D0%BB%D1%8C%D0%BC","искать")</f>
        <v/>
      </c>
      <c r="N810" s="3" t="n"/>
      <c r="O810" s="2" t="n"/>
    </row>
    <row r="811">
      <c r="A811" s="2" t="n">
        <v>810</v>
      </c>
      <c r="B811" s="2" t="inlineStr">
        <is>
          <t>не сюжет</t>
        </is>
      </c>
      <c r="C811" s="2" t="n">
        <v>9141</v>
      </c>
      <c r="D811" s="3" t="inlineStr">
        <is>
          <t>Фронт</t>
        </is>
      </c>
      <c r="E811" s="2" t="n">
        <v>1931</v>
      </c>
      <c r="F811" s="2" t="inlineStr">
        <is>
          <t>кинофильм</t>
        </is>
      </c>
      <c r="G811" s="2" t="n"/>
      <c r="H811" s="2" t="n">
        <v>61</v>
      </c>
      <c r="I811" s="2" t="inlineStr"/>
      <c r="J811" s="2" t="inlineStr">
        <is>
          <t>да</t>
        </is>
      </c>
      <c r="K811" s="3" t="inlineStr">
        <is>
          <t>Фильм в традициях агитпропа на тему механизации шахт Донбасса</t>
        </is>
      </c>
      <c r="L811" s="2" t="inlineStr">
        <is>
          <t>Кино_СССР сводный каталог.xlsx: список фильмов (доп.)</t>
        </is>
      </c>
      <c r="M811" s="2">
        <f>HYPERLINK("https://ru.wikipedia.org/w/index.php?search=%D0%A4%D1%80%D0%BE%D0%BD%D1%82%201931%20%D1%84%D0%B8%D0%BB%D1%8C%D0%BC","искать")</f>
        <v/>
      </c>
      <c r="N811" s="3" t="n"/>
      <c r="O811" s="2" t="n"/>
    </row>
    <row r="812">
      <c r="A812" s="2" t="n">
        <v>811</v>
      </c>
      <c r="B812" s="2" t="inlineStr">
        <is>
          <t>не сюжет</t>
        </is>
      </c>
      <c r="C812" s="2" t="n">
        <v>9247</v>
      </c>
      <c r="D812" s="3" t="inlineStr">
        <is>
          <t>Боевой киносборник "Юные партизаны"</t>
        </is>
      </c>
      <c r="E812" s="2" t="n">
        <v>1942</v>
      </c>
      <c r="F812" s="2" t="inlineStr">
        <is>
          <t>кинофильм</t>
        </is>
      </c>
      <c r="G812" s="2" t="n"/>
      <c r="H812" s="2" t="n">
        <v>61</v>
      </c>
      <c r="I812" s="2" t="inlineStr"/>
      <c r="J812" s="2" t="inlineStr">
        <is>
          <t>да</t>
        </is>
      </c>
      <c r="K812" s="3" t="inlineStr">
        <is>
          <t>В сборник входит 2 новеллы: "Левко", "Учительница Карташова".</t>
        </is>
      </c>
      <c r="L812" s="2" t="inlineStr">
        <is>
          <t>Кино_СССР сводный каталог.xlsx: список фильмов (доп.)</t>
        </is>
      </c>
      <c r="M812" s="2">
        <f>HYPERLINK("https://ru.wikipedia.org/w/index.php?search=%D0%91%D0%BE%D0%B5%D0%B2%D0%BE%D0%B9%20%D0%BA%D0%B8%D0%BD%D0%BE%D1%81%D0%B1%D0%BE%D1%80%D0%BD%D0%B8%D0%BA%20%22%D0%AE%D0%BD%D1%8B%D0%B5%20%D0%BF%D0%B0%D1%80%D1%82%D0%B8%D0%B7%D0%B0%D0%BD%D1%8B%22%201942%20%D1%84%D0%B8%D0%BB%D1%8C%D0%BC","искать")</f>
        <v/>
      </c>
      <c r="N812" s="3" t="n"/>
      <c r="O812" s="2" t="n"/>
    </row>
    <row r="813">
      <c r="A813" s="2" t="n">
        <v>812</v>
      </c>
      <c r="B813" s="2" t="inlineStr">
        <is>
          <t>не сюжет</t>
        </is>
      </c>
      <c r="C813" s="2" t="n">
        <v>9623</v>
      </c>
      <c r="D813" s="3" t="inlineStr">
        <is>
          <t>Рок и фортуна</t>
        </is>
      </c>
      <c r="E813" s="2" t="n">
        <v>1989</v>
      </c>
      <c r="F813" s="2" t="inlineStr">
        <is>
          <t>кинофильм</t>
        </is>
      </c>
      <c r="G813" s="2" t="n"/>
      <c r="H813" s="2" t="n">
        <v>61</v>
      </c>
      <c r="I813" s="2" t="inlineStr"/>
      <c r="J813" s="2" t="inlineStr">
        <is>
          <t>да</t>
        </is>
      </c>
      <c r="K813" s="3" t="inlineStr">
        <is>
          <t>Музыкальная киноповесть о популярной группе “Машина времени”.</t>
        </is>
      </c>
      <c r="L813" s="2" t="inlineStr">
        <is>
          <t>Кино_СССР сводный каталог.xlsx: список фильмов (доп.)</t>
        </is>
      </c>
      <c r="M813" s="2">
        <f>HYPERLINK("https://ru.wikipedia.org/w/index.php?search=%D0%A0%D0%BE%D0%BA%20%D0%B8%20%D1%84%D0%BE%D1%80%D1%82%D1%83%D0%BD%D0%B0%201989%20%D1%84%D0%B8%D0%BB%D1%8C%D0%BC","искать")</f>
        <v/>
      </c>
      <c r="N813" s="3" t="n"/>
      <c r="O813" s="2" t="n"/>
    </row>
    <row r="814">
      <c r="A814" s="2" t="n">
        <v>813</v>
      </c>
      <c r="B814" s="2" t="inlineStr">
        <is>
          <t>не сюжет</t>
        </is>
      </c>
      <c r="C814" s="2" t="n">
        <v>10108</v>
      </c>
      <c r="D814" s="3" t="inlineStr">
        <is>
          <t>Комендант снежной крепости</t>
        </is>
      </c>
      <c r="E814" s="2" t="n">
        <v>1963</v>
      </c>
      <c r="F814" s="2" t="inlineStr">
        <is>
          <t>фильм-спектакль</t>
        </is>
      </c>
      <c r="G814" s="2" t="n"/>
      <c r="H814" s="2" t="n">
        <v>61</v>
      </c>
      <c r="I814" s="2" t="inlineStr"/>
      <c r="J814" s="2" t="inlineStr">
        <is>
          <t>да</t>
        </is>
      </c>
      <c r="K814" s="3" t="inlineStr">
        <is>
          <t>Телеспектакль по мотивам одноименной повести Аркадия Гайдара.</t>
        </is>
      </c>
      <c r="L814" s="2" t="inlineStr">
        <is>
          <t>https://www.kino-teatr.ru/teatr/movie/103641/annot/</t>
        </is>
      </c>
      <c r="M814" s="2">
        <f>HYPERLINK("https://ru.wikipedia.org/w/index.php?search=%D0%9A%D0%BE%D0%BC%D0%B5%D0%BD%D0%B4%D0%B0%D0%BD%D1%82%20%D1%81%D0%BD%D0%B5%D0%B6%D0%BD%D0%BE%D0%B9%20%D0%BA%D1%80%D0%B5%D0%BF%D0%BE%D1%81%D1%82%D0%B8%201963%20%D1%84%D0%B8%D0%BB%D1%8C%D0%BC","искать")</f>
        <v/>
      </c>
      <c r="N814" s="3" t="n"/>
      <c r="O814" s="2" t="n"/>
    </row>
    <row r="815">
      <c r="A815" s="2" t="n">
        <v>814</v>
      </c>
      <c r="B815" s="2" t="inlineStr">
        <is>
          <t>не сюжет</t>
        </is>
      </c>
      <c r="C815" s="2" t="n">
        <v>10286</v>
      </c>
      <c r="D815" s="3" t="inlineStr">
        <is>
          <t>Аргонавты</t>
        </is>
      </c>
      <c r="E815" s="2" t="n">
        <v>1969</v>
      </c>
      <c r="F815" s="2" t="inlineStr">
        <is>
          <t>фильм-спектакль</t>
        </is>
      </c>
      <c r="G815" s="2" t="inlineStr">
        <is>
          <t>Ленинградское телевидение</t>
        </is>
      </c>
      <c r="H815" s="2" t="n">
        <v>61</v>
      </c>
      <c r="I815" s="2" t="inlineStr"/>
      <c r="J815" s="2" t="inlineStr">
        <is>
          <t>да</t>
        </is>
      </c>
      <c r="K815" s="3" t="inlineStr">
        <is>
          <t>По пьесе Юлиу Эдлиса.
О молодежи, о любви, о поисках счастья.</t>
        </is>
      </c>
      <c r="L815" s="2" t="inlineStr">
        <is>
          <t>https://www.kino-teatr.ru/teatr/movie/136676/annot/</t>
        </is>
      </c>
      <c r="M815" s="2">
        <f>HYPERLINK("https://ru.wikipedia.org/w/index.php?search=%D0%90%D1%80%D0%B3%D0%BE%D0%BD%D0%B0%D0%B2%D1%82%D1%8B%201969%20%D1%84%D0%B8%D0%BB%D1%8C%D0%BC","искать")</f>
        <v/>
      </c>
      <c r="N815" s="3" t="n"/>
      <c r="O815" s="2" t="n"/>
    </row>
    <row r="816">
      <c r="A816" s="2" t="n">
        <v>815</v>
      </c>
      <c r="B816" s="2" t="inlineStr">
        <is>
          <t>не сюжет</t>
        </is>
      </c>
      <c r="C816" s="2" t="n">
        <v>10983</v>
      </c>
      <c r="D816" s="3" t="inlineStr">
        <is>
          <t>Вишнёвый сад</t>
        </is>
      </c>
      <c r="E816" s="2" t="n">
        <v>1983</v>
      </c>
      <c r="F816" s="2" t="inlineStr">
        <is>
          <t>фильм-спектакль</t>
        </is>
      </c>
      <c r="G816" s="2" t="inlineStr">
        <is>
          <t>Главная редакция литературно-драматических программ Гостелерадио СССР</t>
        </is>
      </c>
      <c r="H816" s="2" t="n">
        <v>61</v>
      </c>
      <c r="I816" s="2" t="inlineStr"/>
      <c r="J816" s="2" t="inlineStr">
        <is>
          <t>да</t>
        </is>
      </c>
      <c r="K816" s="3" t="inlineStr">
        <is>
          <t>Постановка Государственного академического Малого театра СССР</t>
        </is>
      </c>
      <c r="L816" s="2" t="inlineStr">
        <is>
          <t>https://www.kino-teatr.ru/teatr/movie/10728/annot/</t>
        </is>
      </c>
      <c r="M816" s="2">
        <f>HYPERLINK("https://ru.wikipedia.org/w/index.php?search=%D0%92%D0%B8%D1%88%D0%BD%D1%91%D0%B2%D1%8B%D0%B9%20%D1%81%D0%B0%D0%B4%201983%20%D1%84%D0%B8%D0%BB%D1%8C%D0%BC","искать")</f>
        <v/>
      </c>
      <c r="N816" s="3" t="n"/>
      <c r="O816" s="2" t="n"/>
    </row>
    <row r="817">
      <c r="A817" s="2" t="n">
        <v>816</v>
      </c>
      <c r="B817" s="2" t="inlineStr">
        <is>
          <t>не сюжет</t>
        </is>
      </c>
      <c r="C817" s="2" t="n">
        <v>11351</v>
      </c>
      <c r="D817" s="3" t="inlineStr">
        <is>
          <t>Хранители</t>
        </is>
      </c>
      <c r="E817" s="2" t="n">
        <v>1991</v>
      </c>
      <c r="F817" s="2" t="inlineStr">
        <is>
          <t>фильм-спектакль</t>
        </is>
      </c>
      <c r="G817" s="2" t="inlineStr">
        <is>
          <t>Ленинградское телевидение</t>
        </is>
      </c>
      <c r="H817" s="2" t="n">
        <v>61</v>
      </c>
      <c r="I817" s="2" t="inlineStr"/>
      <c r="J817" s="2" t="inlineStr">
        <is>
          <t>да</t>
        </is>
      </c>
      <c r="K817" s="3" t="inlineStr">
        <is>
          <t>Телеспектакль по мотивам повести Дж.Р.Р.Толкиена "Хранители".</t>
        </is>
      </c>
      <c r="L817" s="2" t="inlineStr">
        <is>
          <t>https://www.kino-teatr.ru/teatr/movie/145938/annot/</t>
        </is>
      </c>
      <c r="M817" s="2">
        <f>HYPERLINK("https://ru.wikipedia.org/w/index.php?search=%D0%A5%D1%80%D0%B0%D0%BD%D0%B8%D1%82%D0%B5%D0%BB%D0%B8%201991%20%D1%84%D0%B8%D0%BB%D1%8C%D0%BC","искать")</f>
        <v/>
      </c>
      <c r="N817" s="3" t="n"/>
      <c r="O817" s="2" t="n"/>
    </row>
    <row r="818">
      <c r="A818" s="2" t="n">
        <v>817</v>
      </c>
      <c r="B818" s="2" t="inlineStr">
        <is>
          <t>не сюжет</t>
        </is>
      </c>
      <c r="C818" s="2" t="n">
        <v>7479</v>
      </c>
      <c r="D818" s="3" t="inlineStr">
        <is>
          <t>Две пары и одиночество</t>
        </is>
      </c>
      <c r="E818" s="2" t="n">
        <v>1984</v>
      </c>
      <c r="F818" s="2" t="inlineStr">
        <is>
          <t>телефильм</t>
        </is>
      </c>
      <c r="G818" s="2" t="n"/>
      <c r="H818" s="2" t="n">
        <v>62</v>
      </c>
      <c r="I818" s="2" t="inlineStr"/>
      <c r="J818" s="2" t="inlineStr">
        <is>
          <t>да</t>
        </is>
      </c>
      <c r="K818" s="3" t="inlineStr">
        <is>
          <t>Телефильм по мотивам рассказов американского писателя О`Генри.</t>
        </is>
      </c>
      <c r="L818" s="2" t="inlineStr">
        <is>
          <t>Кино_СССР сводный каталог.xlsx: список телефильмов</t>
        </is>
      </c>
      <c r="M818" s="2">
        <f>HYPERLINK("https://ru.wikipedia.org/w/index.php?search=%D0%94%D0%B2%D0%B5%20%D0%BF%D0%B0%D1%80%D1%8B%20%D0%B8%20%D0%BE%D0%B4%D0%B8%D0%BD%D0%BE%D1%87%D0%B5%D1%81%D1%82%D0%B2%D0%BE%201984%20%D1%84%D0%B8%D0%BB%D1%8C%D0%BC","искать")</f>
        <v/>
      </c>
      <c r="N818" s="3" t="n"/>
      <c r="O818" s="2" t="n"/>
    </row>
    <row r="819">
      <c r="A819" s="2" t="n">
        <v>818</v>
      </c>
      <c r="B819" s="2" t="inlineStr">
        <is>
          <t>не сюжет</t>
        </is>
      </c>
      <c r="C819" s="2" t="n">
        <v>8639</v>
      </c>
      <c r="D819" s="3" t="inlineStr">
        <is>
          <t>Бывает же... (киноальманах)</t>
        </is>
      </c>
      <c r="E819" s="2" t="n">
        <v>1988</v>
      </c>
      <c r="F819" s="2" t="inlineStr">
        <is>
          <t>кинофильм</t>
        </is>
      </c>
      <c r="G819" s="2" t="n"/>
      <c r="H819" s="2" t="n">
        <v>62</v>
      </c>
      <c r="I819" s="2" t="inlineStr"/>
      <c r="J819" s="2" t="inlineStr">
        <is>
          <t>да</t>
        </is>
      </c>
      <c r="K819" s="3" t="inlineStr">
        <is>
          <t>Киноальманах из трех новелл: "Брюки", "Луиза" и "Благодетель".</t>
        </is>
      </c>
      <c r="L819" s="2" t="inlineStr">
        <is>
          <t>Кино_СССР сводный каталог.xlsx: список фильмов (доп.)</t>
        </is>
      </c>
      <c r="M819" s="2">
        <f>HYPERLINK("https://ru.wikipedia.org/w/index.php?search=%D0%91%D1%8B%D0%B2%D0%B0%D0%B5%D1%82%20%D0%B6%D0%B5...%20%28%D0%BA%D0%B8%D0%BD%D0%BE%D0%B0%D0%BB%D1%8C%D0%BC%D0%B0%D0%BD%D0%B0%D1%85%29%201988%20%D1%84%D0%B8%D0%BB%D1%8C%D0%BC","искать")</f>
        <v/>
      </c>
      <c r="N819" s="3" t="n"/>
      <c r="O819" s="2" t="n"/>
    </row>
    <row r="820">
      <c r="A820" s="2" t="n">
        <v>819</v>
      </c>
      <c r="B820" s="2" t="inlineStr">
        <is>
          <t>не сюжет</t>
        </is>
      </c>
      <c r="C820" s="2" t="n">
        <v>9895</v>
      </c>
      <c r="D820" s="3" t="inlineStr">
        <is>
          <t>Прогулка</t>
        </is>
      </c>
      <c r="E820" s="2" t="n">
        <v>1972</v>
      </c>
      <c r="F820" s="2" t="inlineStr">
        <is>
          <t>кинофильм</t>
        </is>
      </c>
      <c r="G820" s="2" t="inlineStr">
        <is>
          <t>Грузия-фильм</t>
        </is>
      </c>
      <c r="H820" s="2" t="n">
        <v>62</v>
      </c>
      <c r="I820" s="2" t="inlineStr"/>
      <c r="J820" s="2" t="inlineStr">
        <is>
          <t>да</t>
        </is>
      </c>
      <c r="K820" s="3" t="inlineStr">
        <is>
          <t>Комедийная киноновелла о соперничестве двух влюбленных юношей.</t>
        </is>
      </c>
      <c r="L820" s="2" t="inlineStr">
        <is>
          <t>https://www.kino-teatr.ru/short/movie/sov/84581/annot/</t>
        </is>
      </c>
      <c r="M820" s="2">
        <f>HYPERLINK("https://ru.wikipedia.org/w/index.php?search=%D0%9F%D1%80%D0%BE%D0%B3%D1%83%D0%BB%D0%BA%D0%B0%201972%20%D1%84%D0%B8%D0%BB%D1%8C%D0%BC","искать")</f>
        <v/>
      </c>
      <c r="N820" s="3" t="n"/>
      <c r="O820" s="2" t="n"/>
    </row>
    <row r="821">
      <c r="A821" s="2" t="n">
        <v>820</v>
      </c>
      <c r="B821" s="2" t="inlineStr">
        <is>
          <t>не сюжет</t>
        </is>
      </c>
      <c r="C821" s="2" t="n">
        <v>10754</v>
      </c>
      <c r="D821" s="3" t="inlineStr">
        <is>
          <t>Мелодии из оперетт советских композиторов</t>
        </is>
      </c>
      <c r="E821" s="2" t="n">
        <v>1978</v>
      </c>
      <c r="F821" s="2" t="inlineStr">
        <is>
          <t>фильм-спектакль</t>
        </is>
      </c>
      <c r="G821" s="2" t="n"/>
      <c r="H821" s="2" t="n">
        <v>62</v>
      </c>
      <c r="I821" s="2" t="inlineStr"/>
      <c r="J821" s="2" t="inlineStr">
        <is>
          <t>да</t>
        </is>
      </c>
      <c r="K821" s="3" t="inlineStr">
        <is>
          <t>Арии и дуэты, сцены и танцы из оперетт советских композиторов.</t>
        </is>
      </c>
      <c r="L821" s="2" t="inlineStr">
        <is>
          <t>https://www.kino-teatr.ru/teatr/movie/100568/annot/</t>
        </is>
      </c>
      <c r="M821" s="2">
        <f>HYPERLINK("https://ru.wikipedia.org/w/index.php?search=%D0%9C%D0%B5%D0%BB%D0%BE%D0%B4%D0%B8%D0%B8%20%D0%B8%D0%B7%20%D0%BE%D0%BF%D0%B5%D1%80%D0%B5%D1%82%D1%82%20%D1%81%D0%BE%D0%B2%D0%B5%D1%82%D1%81%D0%BA%D0%B8%D1%85%20%D0%BA%D0%BE%D0%BC%D0%BF%D0%BE%D0%B7%D0%B8%D1%82%D0%BE%D1%80%D0%BE%D0%B2%201978%20%D1%84%D0%B8%D0%BB%D1%8C%D0%BC","искать")</f>
        <v/>
      </c>
      <c r="N821" s="3" t="n"/>
      <c r="O821" s="2" t="n"/>
    </row>
    <row r="822">
      <c r="A822" s="2" t="n">
        <v>821</v>
      </c>
      <c r="B822" s="2" t="inlineStr">
        <is>
          <t>не сюжет</t>
        </is>
      </c>
      <c r="C822" s="2" t="n">
        <v>11354</v>
      </c>
      <c r="D822" s="3" t="inlineStr">
        <is>
          <t>Алкина песня</t>
        </is>
      </c>
      <c r="E822" s="2" t="n">
        <v>1969</v>
      </c>
      <c r="F822" s="2" t="inlineStr">
        <is>
          <t>фильм-опера/балет</t>
        </is>
      </c>
      <c r="G822" s="2" t="n"/>
      <c r="H822" s="2" t="n">
        <v>62</v>
      </c>
      <c r="I822" s="2" t="inlineStr"/>
      <c r="J822" s="2" t="inlineStr">
        <is>
          <t>да</t>
        </is>
      </c>
      <c r="K822" s="3" t="inlineStr">
        <is>
          <t>Фильм-опера по мотивам одноимённого рассказа Анатолия Иванова.</t>
        </is>
      </c>
      <c r="L822" s="2" t="inlineStr">
        <is>
          <t>Кино_СССР телефильмы и пропуски включить в базу.xlsx</t>
        </is>
      </c>
      <c r="M822" s="2">
        <f>HYPERLINK("https://ru.wikipedia.org/w/index.php?search=%D0%90%D0%BB%D0%BA%D0%B8%D0%BD%D0%B0%20%D0%BF%D0%B5%D1%81%D0%BD%D1%8F%201969%20%D1%84%D0%B8%D0%BB%D1%8C%D0%BC","искать")</f>
        <v/>
      </c>
      <c r="N822" s="3" t="n"/>
      <c r="O822" s="2" t="n"/>
    </row>
    <row r="823">
      <c r="A823" s="2" t="n">
        <v>822</v>
      </c>
      <c r="B823" s="2" t="inlineStr">
        <is>
          <t>не сюжет</t>
        </is>
      </c>
      <c r="C823" s="2" t="n">
        <v>7927</v>
      </c>
      <c r="D823" s="3" t="inlineStr">
        <is>
          <t>На дальней точке</t>
        </is>
      </c>
      <c r="E823" s="2" t="n">
        <v>1970</v>
      </c>
      <c r="F823" s="2" t="inlineStr">
        <is>
          <t>телефильм</t>
        </is>
      </c>
      <c r="G823" s="2" t="inlineStr">
        <is>
          <t>ТО «Экран»</t>
        </is>
      </c>
      <c r="H823" s="2" t="n">
        <v>63</v>
      </c>
      <c r="I823" s="2" t="inlineStr"/>
      <c r="J823" s="2" t="inlineStr">
        <is>
          <t>да</t>
        </is>
      </c>
      <c r="K823" s="3" t="inlineStr">
        <is>
          <t>Герой фильма - солдат последнего года службы, ефрейтор Гвоздев.</t>
        </is>
      </c>
      <c r="L823" s="2" t="inlineStr">
        <is>
          <t>Кино_СССР сводный каталог.xlsx: список телефильмов</t>
        </is>
      </c>
      <c r="M823" s="2">
        <f>HYPERLINK("https://ru.wikipedia.org/w/index.php?search=%D0%9D%D0%B0%20%D0%B4%D0%B0%D0%BB%D1%8C%D0%BD%D0%B5%D0%B9%20%D1%82%D0%BE%D1%87%D0%BA%D0%B5%201970%20%D1%84%D0%B8%D0%BB%D1%8C%D0%BC","искать")</f>
        <v/>
      </c>
      <c r="N823" s="3" t="n"/>
      <c r="O823" s="2" t="n"/>
    </row>
    <row r="824">
      <c r="A824" s="2" t="n">
        <v>823</v>
      </c>
      <c r="B824" s="2" t="inlineStr">
        <is>
          <t>не сюжет</t>
        </is>
      </c>
      <c r="C824" s="2" t="n">
        <v>8089</v>
      </c>
      <c r="D824" s="3" t="inlineStr">
        <is>
          <t>Первые радости</t>
        </is>
      </c>
      <c r="E824" s="2" t="n">
        <v>1977</v>
      </c>
      <c r="F824" s="2" t="inlineStr">
        <is>
          <t>телефильм</t>
        </is>
      </c>
      <c r="G824" s="2" t="inlineStr">
        <is>
          <t>Ленфильм</t>
        </is>
      </c>
      <c r="H824" s="2" t="n">
        <v>63</v>
      </c>
      <c r="I824" s="2" t="inlineStr"/>
      <c r="J824" s="2" t="inlineStr">
        <is>
          <t>да</t>
        </is>
      </c>
      <c r="K824" s="3" t="inlineStr">
        <is>
          <t>Телесериал. Экранизация одноименного романа Константина Федина.</t>
        </is>
      </c>
      <c r="L824" s="2" t="inlineStr">
        <is>
          <t>Кино_СССР сводный каталог.xlsx: список телефильмов</t>
        </is>
      </c>
      <c r="M824" s="2">
        <f>HYPERLINK("https://ru.wikipedia.org/w/index.php?search=%D0%9F%D0%B5%D1%80%D0%B2%D1%8B%D0%B5%20%D1%80%D0%B0%D0%B4%D0%BE%D1%81%D1%82%D0%B8%201977%20%D1%84%D0%B8%D0%BB%D1%8C%D0%BC","искать")</f>
        <v/>
      </c>
      <c r="N824" s="3" t="n"/>
      <c r="O824" s="2" t="n"/>
    </row>
    <row r="825">
      <c r="A825" s="2" t="n">
        <v>824</v>
      </c>
      <c r="B825" s="2" t="inlineStr">
        <is>
          <t>не сюжет</t>
        </is>
      </c>
      <c r="C825" s="2" t="n">
        <v>8545</v>
      </c>
      <c r="D825" s="3" t="inlineStr">
        <is>
          <t>Частный случай</t>
        </is>
      </c>
      <c r="E825" s="2" t="n">
        <v>1983</v>
      </c>
      <c r="F825" s="2" t="inlineStr">
        <is>
          <t>телефильм</t>
        </is>
      </c>
      <c r="G825" s="2" t="n"/>
      <c r="H825" s="2" t="n">
        <v>63</v>
      </c>
      <c r="I825" s="2" t="inlineStr"/>
      <c r="J825" s="2" t="inlineStr">
        <is>
          <t>да</t>
        </is>
      </c>
      <c r="K825" s="3" t="inlineStr">
        <is>
          <t>О долге, чести, необходимости правдивых отношений между людьми.</t>
        </is>
      </c>
      <c r="L825" s="2" t="inlineStr">
        <is>
          <t>Кино_СССР сводный каталог.xlsx: список телефильмов</t>
        </is>
      </c>
      <c r="M825" s="2">
        <f>HYPERLINK("https://ru.wikipedia.org/w/index.php?search=%D0%A7%D0%B0%D1%81%D1%82%D0%BD%D1%8B%D0%B9%20%D1%81%D0%BB%D1%83%D1%87%D0%B0%D0%B9%201983%20%D1%84%D0%B8%D0%BB%D1%8C%D0%BC","искать")</f>
        <v/>
      </c>
      <c r="N825" s="3" t="n"/>
      <c r="O825" s="2" t="n"/>
    </row>
    <row r="826">
      <c r="A826" s="2" t="n">
        <v>825</v>
      </c>
      <c r="B826" s="2" t="inlineStr">
        <is>
          <t>не сюжет</t>
        </is>
      </c>
      <c r="C826" s="2" t="n">
        <v>9067</v>
      </c>
      <c r="D826" s="3" t="inlineStr">
        <is>
          <t>Старик и солнце (киноальманах)</t>
        </is>
      </c>
      <c r="E826" s="2" t="n">
        <v>1981</v>
      </c>
      <c r="F826" s="2" t="inlineStr">
        <is>
          <t>телефильм</t>
        </is>
      </c>
      <c r="G826" s="2" t="inlineStr">
        <is>
          <t>Арменфильм по заказу Гостелерадио</t>
        </is>
      </c>
      <c r="H826" s="2" t="n">
        <v>63</v>
      </c>
      <c r="I826" s="2" t="inlineStr"/>
      <c r="J826" s="2" t="inlineStr">
        <is>
          <t>да</t>
        </is>
      </c>
      <c r="K826" s="3" t="inlineStr">
        <is>
          <t>Фильмы в составе: Старик и ветер, Сон, Маленькая история любви.</t>
        </is>
      </c>
      <c r="L826" s="2" t="inlineStr">
        <is>
          <t>https://www.kino-teatr.ru/kino/movie/sov/84402/annot/</t>
        </is>
      </c>
      <c r="M826" s="2">
        <f>HYPERLINK("https://ru.wikipedia.org/w/index.php?search=%D0%A1%D1%82%D0%B0%D1%80%D0%B8%D0%BA%20%D0%B8%20%D1%81%D0%BE%D0%BB%D0%BD%D1%86%D0%B5%20%28%D0%BA%D0%B8%D0%BD%D0%BE%D0%B0%D0%BB%D1%8C%D0%BC%D0%B0%D0%BD%D0%B0%D1%85%29%201981%20%D1%84%D0%B8%D0%BB%D1%8C%D0%BC","искать")</f>
        <v/>
      </c>
      <c r="N826" s="3" t="n"/>
      <c r="O826" s="2" t="n"/>
    </row>
    <row r="827">
      <c r="A827" s="2" t="n">
        <v>826</v>
      </c>
      <c r="B827" s="2" t="inlineStr">
        <is>
          <t>не сюжет</t>
        </is>
      </c>
      <c r="C827" s="2" t="n">
        <v>9936</v>
      </c>
      <c r="D827" s="3" t="inlineStr">
        <is>
          <t>На дне</t>
        </is>
      </c>
      <c r="E827" s="2" t="n">
        <v>1978</v>
      </c>
      <c r="F827" s="2" t="inlineStr">
        <is>
          <t>кинофильм</t>
        </is>
      </c>
      <c r="G827" s="2" t="inlineStr">
        <is>
          <t>ВГИК</t>
        </is>
      </c>
      <c r="H827" s="2" t="n">
        <v>63</v>
      </c>
      <c r="I827" s="2" t="inlineStr"/>
      <c r="J827" s="2" t="inlineStr">
        <is>
          <t>да</t>
        </is>
      </c>
      <c r="K827" s="3" t="inlineStr">
        <is>
          <t>Музыкальная фантазия по пьесе А.М.Горького (наброски к фильму).</t>
        </is>
      </c>
      <c r="L827" s="2" t="inlineStr">
        <is>
          <t>https://www.kino-teatr.ru/short/movie/sov/108783/annot/</t>
        </is>
      </c>
      <c r="M827" s="2">
        <f>HYPERLINK("https://ru.wikipedia.org/w/index.php?search=%D0%9D%D0%B0%20%D0%B4%D0%BD%D0%B5%201978%20%D1%84%D0%B8%D0%BB%D1%8C%D0%BC","искать")</f>
        <v/>
      </c>
      <c r="N827" s="3" t="n"/>
      <c r="O827" s="2" t="n"/>
    </row>
    <row r="828">
      <c r="A828" s="2" t="n">
        <v>827</v>
      </c>
      <c r="B828" s="2" t="inlineStr">
        <is>
          <t>не сюжет</t>
        </is>
      </c>
      <c r="C828" s="2" t="n">
        <v>10197</v>
      </c>
      <c r="D828" s="3" t="inlineStr">
        <is>
          <t>Золотая роза</t>
        </is>
      </c>
      <c r="E828" s="2" t="n">
        <v>1967</v>
      </c>
      <c r="F828" s="2" t="inlineStr">
        <is>
          <t>фильм-спектакль</t>
        </is>
      </c>
      <c r="G828" s="2" t="inlineStr">
        <is>
          <t>Ленинградское ТВ</t>
        </is>
      </c>
      <c r="H828" s="2" t="n">
        <v>63</v>
      </c>
      <c r="I828" s="2" t="inlineStr"/>
      <c r="J828" s="2" t="inlineStr">
        <is>
          <t>да</t>
        </is>
      </c>
      <c r="K828" s="3" t="inlineStr">
        <is>
          <t>Литературная композиция по книге К.Паустовского "Золотая роза".</t>
        </is>
      </c>
      <c r="L828" s="2" t="inlineStr">
        <is>
          <t>https://www.kino-teatr.ru/teatr/movie/92886/annot/</t>
        </is>
      </c>
      <c r="M828" s="2">
        <f>HYPERLINK("https://ru.wikipedia.org/w/index.php?search=%D0%97%D0%BE%D0%BB%D0%BE%D1%82%D0%B0%D1%8F%20%D1%80%D0%BE%D0%B7%D0%B0%201967%20%D1%84%D0%B8%D0%BB%D1%8C%D0%BC","искать")</f>
        <v/>
      </c>
      <c r="N828" s="3" t="n"/>
      <c r="O828" s="2" t="n"/>
    </row>
    <row r="829">
      <c r="A829" s="2" t="n">
        <v>828</v>
      </c>
      <c r="B829" s="2" t="inlineStr">
        <is>
          <t>не сюжет</t>
        </is>
      </c>
      <c r="C829" s="2" t="n">
        <v>10308</v>
      </c>
      <c r="D829" s="3" t="inlineStr">
        <is>
          <t>Житейские воззрения кота Мурра</t>
        </is>
      </c>
      <c r="E829" s="2" t="n">
        <v>1969</v>
      </c>
      <c r="F829" s="2" t="inlineStr">
        <is>
          <t>фильм-спектакль</t>
        </is>
      </c>
      <c r="G829" s="2" t="inlineStr">
        <is>
          <t>Творческое объединение "Экран"</t>
        </is>
      </c>
      <c r="H829" s="2" t="n">
        <v>63</v>
      </c>
      <c r="I829" s="2" t="inlineStr"/>
      <c r="J829" s="2" t="inlineStr">
        <is>
          <t>да</t>
        </is>
      </c>
      <c r="K829" s="3" t="inlineStr">
        <is>
          <t>По произведению Э.-Т.-А.Гофмана.
Из цикла "Энциклопедия смеха".</t>
        </is>
      </c>
      <c r="L829" s="2" t="inlineStr">
        <is>
          <t>https://www.kino-teatr.ru/teatr/movie/161954/annot/</t>
        </is>
      </c>
      <c r="M829" s="2">
        <f>HYPERLINK("https://ru.wikipedia.org/w/index.php?search=%D0%96%D0%B8%D1%82%D0%B5%D0%B9%D1%81%D0%BA%D0%B8%D0%B5%20%D0%B2%D0%BE%D0%B7%D0%B7%D1%80%D0%B5%D0%BD%D0%B8%D1%8F%20%D0%BA%D0%BE%D1%82%D0%B0%20%D0%9C%D1%83%D1%80%D1%80%D0%B0%201969%20%D1%84%D0%B8%D0%BB%D1%8C%D0%BC","искать")</f>
        <v/>
      </c>
      <c r="N829" s="3" t="n"/>
      <c r="O829" s="2" t="n"/>
    </row>
    <row r="830">
      <c r="A830" s="2" t="n">
        <v>829</v>
      </c>
      <c r="B830" s="2" t="inlineStr">
        <is>
          <t>не сюжет</t>
        </is>
      </c>
      <c r="C830" s="2" t="n">
        <v>10503</v>
      </c>
      <c r="D830" s="3" t="inlineStr">
        <is>
          <t>Конёк-Горбунок</t>
        </is>
      </c>
      <c r="E830" s="2" t="n">
        <v>1973</v>
      </c>
      <c r="F830" s="2" t="inlineStr">
        <is>
          <t>фильм-спектакль</t>
        </is>
      </c>
      <c r="G830" s="2" t="inlineStr">
        <is>
          <t>ТО "Экран"</t>
        </is>
      </c>
      <c r="H830" s="2" t="n">
        <v>63</v>
      </c>
      <c r="I830" s="2" t="inlineStr"/>
      <c r="J830" s="2" t="inlineStr">
        <is>
          <t>да</t>
        </is>
      </c>
      <c r="K830" s="3" t="inlineStr">
        <is>
          <t>Моноспектакль по сказке П.П.Ершова в исполнении Олега Табакова.</t>
        </is>
      </c>
      <c r="L830" s="2" t="inlineStr">
        <is>
          <t>https://www.kino-teatr.ru/teatr/movie/109046/annot/</t>
        </is>
      </c>
      <c r="M830" s="2">
        <f>HYPERLINK("https://ru.wikipedia.org/w/index.php?search=%D0%9A%D0%BE%D0%BD%D1%91%D0%BA-%D0%93%D0%BE%D1%80%D0%B1%D1%83%D0%BD%D0%BE%D0%BA%201973%20%D1%84%D0%B8%D0%BB%D1%8C%D0%BC","искать")</f>
        <v/>
      </c>
      <c r="N830" s="3" t="n"/>
      <c r="O830" s="2" t="n"/>
    </row>
    <row r="831">
      <c r="A831" s="2" t="n">
        <v>830</v>
      </c>
      <c r="B831" s="2" t="inlineStr">
        <is>
          <t>не сюжет</t>
        </is>
      </c>
      <c r="C831" s="2" t="n">
        <v>10651</v>
      </c>
      <c r="D831" s="3" t="inlineStr">
        <is>
          <t>Когда-то в Калифорнии</t>
        </is>
      </c>
      <c r="E831" s="2" t="n">
        <v>1976</v>
      </c>
      <c r="F831" s="2" t="inlineStr">
        <is>
          <t>фильм-спектакль</t>
        </is>
      </c>
      <c r="G831" s="2" t="n"/>
      <c r="H831" s="2" t="n">
        <v>63</v>
      </c>
      <c r="I831" s="2" t="inlineStr"/>
      <c r="J831" s="2" t="inlineStr">
        <is>
          <t>да</t>
        </is>
      </c>
      <c r="K831" s="3" t="inlineStr">
        <is>
          <t>Музыкальный телеспектакль 1976 года по рассказам Ф. Брет-Гарта.</t>
        </is>
      </c>
      <c r="L831" s="2" t="inlineStr">
        <is>
          <t>https://www.kino-teatr.ru/teatr/movie/83019/annot/</t>
        </is>
      </c>
      <c r="M831" s="2">
        <f>HYPERLINK("https://ru.wikipedia.org/w/index.php?search=%D0%9A%D0%BE%D0%B3%D0%B4%D0%B0-%D1%82%D0%BE%20%D0%B2%20%D0%9A%D0%B0%D0%BB%D0%B8%D1%84%D0%BE%D1%80%D0%BD%D0%B8%D0%B8%201976%20%D1%84%D0%B8%D0%BB%D1%8C%D0%BC","искать")</f>
        <v/>
      </c>
      <c r="N831" s="3" t="n"/>
      <c r="O831" s="2" t="n"/>
    </row>
    <row r="832">
      <c r="A832" s="2" t="n">
        <v>831</v>
      </c>
      <c r="B832" s="2" t="inlineStr">
        <is>
          <t>не сюжет</t>
        </is>
      </c>
      <c r="C832" s="2" t="n">
        <v>11384</v>
      </c>
      <c r="D832" s="3" t="inlineStr">
        <is>
          <t>Фантазия</t>
        </is>
      </c>
      <c r="E832" s="2" t="n">
        <v>1976</v>
      </c>
      <c r="F832" s="2" t="inlineStr">
        <is>
          <t>фильм-опера/балет</t>
        </is>
      </c>
      <c r="G832" s="2" t="n"/>
      <c r="H832" s="2" t="n">
        <v>63</v>
      </c>
      <c r="I832" s="2" t="inlineStr"/>
      <c r="J832" s="2" t="inlineStr">
        <is>
          <t>да</t>
        </is>
      </c>
      <c r="K832" s="3" t="inlineStr">
        <is>
          <t>Телефильм-балет по мотивам повести И.С.Тургенева «Вешние воды».</t>
        </is>
      </c>
      <c r="L832" s="2" t="inlineStr">
        <is>
          <t>Кино_СССР телефильмы и пропуски включить в базу.xlsx</t>
        </is>
      </c>
      <c r="M832" s="2">
        <f>HYPERLINK("https://ru.wikipedia.org/w/index.php?search=%D0%A4%D0%B0%D0%BD%D1%82%D0%B0%D0%B7%D0%B8%D1%8F%201976%20%D1%84%D0%B8%D0%BB%D1%8C%D0%BC","искать")</f>
        <v/>
      </c>
      <c r="N832" s="3" t="n"/>
      <c r="O832" s="2" t="n"/>
    </row>
    <row r="833">
      <c r="A833" s="2" t="n">
        <v>832</v>
      </c>
      <c r="B833" s="2" t="inlineStr">
        <is>
          <t>не сюжет</t>
        </is>
      </c>
      <c r="C833" s="2" t="n">
        <v>8582</v>
      </c>
      <c r="D833" s="3" t="inlineStr">
        <is>
          <t>Шок и Шер</t>
        </is>
      </c>
      <c r="E833" s="2" t="n">
        <v>1972</v>
      </c>
      <c r="F833" s="2" t="inlineStr">
        <is>
          <t>телефильм</t>
        </is>
      </c>
      <c r="G833" s="2" t="inlineStr">
        <is>
          <t>Казахфильм</t>
        </is>
      </c>
      <c r="H833" s="2" t="n">
        <v>64</v>
      </c>
      <c r="I833" s="2" t="inlineStr"/>
      <c r="J833" s="2" t="inlineStr">
        <is>
          <t>да</t>
        </is>
      </c>
      <c r="K833" s="3" t="inlineStr">
        <is>
          <t>О трогательной дружбе маленького мальчика Шера и жеребенка Шока.</t>
        </is>
      </c>
      <c r="L833" s="2" t="inlineStr">
        <is>
          <t>Кино_СССР сводный каталог.xlsx: список телефильмов</t>
        </is>
      </c>
      <c r="M833" s="2">
        <f>HYPERLINK("https://ru.wikipedia.org/w/index.php?search=%D0%A8%D0%BE%D0%BA%20%D0%B8%20%D0%A8%D0%B5%D1%80%201972%20%D1%84%D0%B8%D0%BB%D1%8C%D0%BC","искать")</f>
        <v/>
      </c>
      <c r="N833" s="3" t="n"/>
      <c r="O833" s="2" t="n"/>
    </row>
    <row r="834">
      <c r="A834" s="2" t="n">
        <v>833</v>
      </c>
      <c r="B834" s="2" t="inlineStr">
        <is>
          <t>не сюжет</t>
        </is>
      </c>
      <c r="C834" s="2" t="n">
        <v>8966</v>
      </c>
      <c r="D834" s="3" t="inlineStr">
        <is>
          <t>Постскриптум</t>
        </is>
      </c>
      <c r="E834" s="2" t="n">
        <v>1984</v>
      </c>
      <c r="F834" s="2" t="inlineStr">
        <is>
          <t>кинофильм</t>
        </is>
      </c>
      <c r="G834" s="2" t="n"/>
      <c r="H834" s="2" t="n">
        <v>64</v>
      </c>
      <c r="I834" s="2" t="inlineStr"/>
      <c r="J834" s="2" t="inlineStr">
        <is>
          <t>да</t>
        </is>
      </c>
      <c r="K834" s="3" t="inlineStr">
        <is>
          <t>Фильм о сложных отношениях в семье рядом с пьющим мужем и отцом.</t>
        </is>
      </c>
      <c r="L834" s="2" t="inlineStr">
        <is>
          <t>Кино_СССР сводный каталог.xlsx: список фильмов (доп.)</t>
        </is>
      </c>
      <c r="M834" s="2">
        <f>HYPERLINK("https://ru.wikipedia.org/w/index.php?search=%D0%9F%D0%BE%D1%81%D1%82%D1%81%D0%BA%D1%80%D0%B8%D0%BF%D1%82%D1%83%D0%BC%201984%20%D1%84%D0%B8%D0%BB%D1%8C%D0%BC","искать")</f>
        <v/>
      </c>
      <c r="N834" s="3" t="n"/>
      <c r="O834" s="2" t="n"/>
    </row>
    <row r="835">
      <c r="A835" s="2" t="n">
        <v>834</v>
      </c>
      <c r="B835" s="2" t="inlineStr">
        <is>
          <t>не сюжет</t>
        </is>
      </c>
      <c r="C835" s="2" t="n">
        <v>7427</v>
      </c>
      <c r="D835" s="3" t="inlineStr">
        <is>
          <t>Гайгысыз Атабаев</t>
        </is>
      </c>
      <c r="E835" s="2" t="n">
        <v>1974</v>
      </c>
      <c r="F835" s="2" t="inlineStr">
        <is>
          <t>телефильм</t>
        </is>
      </c>
      <c r="G835" s="2" t="n"/>
      <c r="H835" s="2" t="n">
        <v>65</v>
      </c>
      <c r="I835" s="2" t="inlineStr"/>
      <c r="J835" s="2" t="inlineStr">
        <is>
          <t>да</t>
        </is>
      </c>
      <c r="K835" s="3" t="inlineStr">
        <is>
          <t>О первом председателе Совета народных комиссаров Туркменской ССР.</t>
        </is>
      </c>
      <c r="L835" s="2" t="inlineStr">
        <is>
          <t>Кино_СССР сводный каталог.xlsx: список телефильмов</t>
        </is>
      </c>
      <c r="M835" s="2">
        <f>HYPERLINK("https://ru.wikipedia.org/w/index.php?search=%D0%93%D0%B0%D0%B9%D0%B3%D1%8B%D1%81%D1%8B%D0%B7%20%D0%90%D1%82%D0%B0%D0%B1%D0%B0%D0%B5%D0%B2%201974%20%D1%84%D0%B8%D0%BB%D1%8C%D0%BC","искать")</f>
        <v/>
      </c>
      <c r="N835" s="3" t="n"/>
      <c r="O835" s="2" t="n"/>
    </row>
    <row r="836">
      <c r="A836" s="2" t="n">
        <v>835</v>
      </c>
      <c r="B836" s="2" t="inlineStr">
        <is>
          <t>не сюжет</t>
        </is>
      </c>
      <c r="C836" s="2" t="n">
        <v>8137</v>
      </c>
      <c r="D836" s="3" t="inlineStr">
        <is>
          <t>Подводные странники</t>
        </is>
      </c>
      <c r="E836" s="2" t="n">
        <v>1991</v>
      </c>
      <c r="F836" s="2" t="inlineStr">
        <is>
          <t>телефильм</t>
        </is>
      </c>
      <c r="G836" s="2" t="n"/>
      <c r="H836" s="2" t="n">
        <v>65</v>
      </c>
      <c r="I836" s="2" t="inlineStr"/>
      <c r="J836" s="2" t="inlineStr">
        <is>
          <t>да</t>
        </is>
      </c>
      <c r="K836" s="3" t="inlineStr">
        <is>
          <t>Фильм снят по повести «Подводные земледельцы» Александра Беляева.</t>
        </is>
      </c>
      <c r="L836" s="2" t="inlineStr">
        <is>
          <t>Кино_СССР сводный каталог.xlsx: список телефильмов</t>
        </is>
      </c>
      <c r="M836" s="2">
        <f>HYPERLINK("https://ru.wikipedia.org/w/index.php?search=%D0%9F%D0%BE%D0%B4%D0%B2%D0%BE%D0%B4%D0%BD%D1%8B%D0%B5%20%D1%81%D1%82%D1%80%D0%B0%D0%BD%D0%BD%D0%B8%D0%BA%D0%B8%201991%20%D1%84%D0%B8%D0%BB%D1%8C%D0%BC","искать")</f>
        <v/>
      </c>
      <c r="N836" s="3" t="n"/>
      <c r="O836" s="2" t="n"/>
    </row>
    <row r="837">
      <c r="A837" s="2" t="n">
        <v>836</v>
      </c>
      <c r="B837" s="2" t="inlineStr">
        <is>
          <t>не сюжет</t>
        </is>
      </c>
      <c r="C837" s="2" t="n">
        <v>9529</v>
      </c>
      <c r="D837" s="3" t="inlineStr">
        <is>
          <t>Осадное положение</t>
        </is>
      </c>
      <c r="E837" s="2" t="n">
        <v>1935</v>
      </c>
      <c r="F837" s="2" t="inlineStr">
        <is>
          <t>кинофильм</t>
        </is>
      </c>
      <c r="G837" s="2" t="n"/>
      <c r="H837" s="2" t="n">
        <v>65</v>
      </c>
      <c r="I837" s="2" t="inlineStr"/>
      <c r="J837" s="2" t="inlineStr">
        <is>
          <t>да</t>
        </is>
      </c>
      <c r="K837" s="3" t="inlineStr">
        <is>
          <t>Оборонная комедия на материале гражданской войны. Фильм запрещен.</t>
        </is>
      </c>
      <c r="L837" s="2" t="inlineStr">
        <is>
          <t>Кино_СССР сводный каталог.xlsx: список фильмов (доп.)</t>
        </is>
      </c>
      <c r="M837" s="2">
        <f>HYPERLINK("https://ru.wikipedia.org/w/index.php?search=%D0%9E%D1%81%D0%B0%D0%B4%D0%BD%D0%BE%D0%B5%20%D0%BF%D0%BE%D0%BB%D0%BE%D0%B6%D0%B5%D0%BD%D0%B8%D0%B5%201935%20%D1%84%D0%B8%D0%BB%D1%8C%D0%BC","искать")</f>
        <v/>
      </c>
      <c r="N837" s="3" t="n"/>
      <c r="O837" s="2" t="n"/>
    </row>
    <row r="838">
      <c r="A838" s="2" t="n">
        <v>837</v>
      </c>
      <c r="B838" s="2" t="inlineStr">
        <is>
          <t>не сюжет</t>
        </is>
      </c>
      <c r="C838" s="2" t="n">
        <v>10249</v>
      </c>
      <c r="D838" s="3" t="inlineStr">
        <is>
          <t>Из рассказов о Шерлоке Холмсе</t>
        </is>
      </c>
      <c r="E838" s="2" t="n">
        <v>1968</v>
      </c>
      <c r="F838" s="2" t="inlineStr">
        <is>
          <t>фильм-спектакль</t>
        </is>
      </c>
      <c r="G838" s="2" t="inlineStr">
        <is>
          <t>Центральное телевидение</t>
        </is>
      </c>
      <c r="H838" s="2" t="n">
        <v>65</v>
      </c>
      <c r="I838" s="2" t="inlineStr"/>
      <c r="J838" s="2" t="inlineStr">
        <is>
          <t>да</t>
        </is>
      </c>
      <c r="K838" s="3" t="inlineStr">
        <is>
          <t>Телеспектакль по рассказу Артура Конан Дойла "Скандал в Богемии".</t>
        </is>
      </c>
      <c r="L838" s="2" t="inlineStr">
        <is>
          <t>https://www.kino-teatr.ru/teatr/movie/111625/annot/</t>
        </is>
      </c>
      <c r="M838" s="2">
        <f>HYPERLINK("https://ru.wikipedia.org/w/index.php?search=%D0%98%D0%B7%20%D1%80%D0%B0%D1%81%D1%81%D0%BA%D0%B0%D0%B7%D0%BE%D0%B2%20%D0%BE%20%D0%A8%D0%B5%D1%80%D0%BB%D0%BE%D0%BA%D0%B5%20%D0%A5%D0%BE%D0%BB%D0%BC%D1%81%D0%B5%201968%20%D1%84%D0%B8%D0%BB%D1%8C%D0%BC","искать")</f>
        <v/>
      </c>
      <c r="N838" s="3" t="n"/>
      <c r="O838" s="2" t="n"/>
    </row>
    <row r="839">
      <c r="A839" s="2" t="n">
        <v>838</v>
      </c>
      <c r="B839" s="2" t="inlineStr">
        <is>
          <t>не сюжет</t>
        </is>
      </c>
      <c r="C839" s="2" t="n">
        <v>7785</v>
      </c>
      <c r="D839" s="3" t="inlineStr">
        <is>
          <t>Курмангазы</t>
        </is>
      </c>
      <c r="E839" s="2" t="n">
        <v>1974</v>
      </c>
      <c r="F839" s="2" t="inlineStr">
        <is>
          <t>телефильм</t>
        </is>
      </c>
      <c r="G839" s="2" t="n"/>
      <c r="H839" s="2" t="n">
        <v>66</v>
      </c>
      <c r="I839" s="2" t="inlineStr"/>
      <c r="J839" s="2" t="inlineStr">
        <is>
          <t>да</t>
        </is>
      </c>
      <c r="K839" s="3" t="inlineStr">
        <is>
          <t>О выдающемся казахском народном композиторе Курмангазы Сабырбаеве.</t>
        </is>
      </c>
      <c r="L839" s="2" t="inlineStr">
        <is>
          <t>Кино_СССР сводный каталог.xlsx: список телефильмов</t>
        </is>
      </c>
      <c r="M839" s="2">
        <f>HYPERLINK("https://ru.wikipedia.org/w/index.php?search=%D0%9A%D1%83%D1%80%D0%BC%D0%B0%D0%BD%D0%B3%D0%B0%D0%B7%D1%8B%201974%20%D1%84%D0%B8%D0%BB%D1%8C%D0%BC","искать")</f>
        <v/>
      </c>
      <c r="N839" s="3" t="n"/>
      <c r="O839" s="2" t="n"/>
    </row>
    <row r="840">
      <c r="A840" s="2" t="n">
        <v>839</v>
      </c>
      <c r="B840" s="2" t="inlineStr">
        <is>
          <t>не сюжет</t>
        </is>
      </c>
      <c r="C840" s="2" t="n">
        <v>9889</v>
      </c>
      <c r="D840" s="3" t="inlineStr">
        <is>
          <t>Пятнадцатое лето</t>
        </is>
      </c>
      <c r="E840" s="2" t="n">
        <v>1971</v>
      </c>
      <c r="F840" s="2" t="inlineStr">
        <is>
          <t>телефильм</t>
        </is>
      </c>
      <c r="G840" s="2" t="inlineStr">
        <is>
          <t>Грузинская студия телефильмов</t>
        </is>
      </c>
      <c r="H840" s="2" t="n">
        <v>66</v>
      </c>
      <c r="I840" s="2" t="inlineStr"/>
      <c r="J840" s="2" t="inlineStr">
        <is>
          <t>да</t>
        </is>
      </c>
      <c r="K840" s="3" t="inlineStr">
        <is>
          <t>О дружбе подростков Темури и Хатуны, о зарождающейся первой любви.</t>
        </is>
      </c>
      <c r="L840" s="2" t="inlineStr">
        <is>
          <t>https://www.kino-teatr.ru/short/movie/sov/92736/annot/</t>
        </is>
      </c>
      <c r="M840" s="2">
        <f>HYPERLINK("https://ru.wikipedia.org/w/index.php?search=%D0%9F%D1%8F%D1%82%D0%BD%D0%B0%D0%B4%D1%86%D0%B0%D1%82%D0%BE%D0%B5%20%D0%BB%D0%B5%D1%82%D0%BE%201971%20%D1%84%D0%B8%D0%BB%D1%8C%D0%BC","искать")</f>
        <v/>
      </c>
      <c r="N840" s="3" t="n"/>
      <c r="O840" s="2" t="n"/>
    </row>
    <row r="841">
      <c r="A841" s="2" t="n">
        <v>840</v>
      </c>
      <c r="B841" s="2" t="inlineStr">
        <is>
          <t>не сюжет</t>
        </is>
      </c>
      <c r="C841" s="2" t="n">
        <v>9956</v>
      </c>
      <c r="D841" s="3" t="inlineStr">
        <is>
          <t>Окно</t>
        </is>
      </c>
      <c r="E841" s="2" t="n">
        <v>1980</v>
      </c>
      <c r="F841" s="2" t="inlineStr">
        <is>
          <t>телефильм</t>
        </is>
      </c>
      <c r="G841" s="2" t="inlineStr">
        <is>
          <t>Грузинская студия телефильмов</t>
        </is>
      </c>
      <c r="H841" s="2" t="n">
        <v>66</v>
      </c>
      <c r="I841" s="2" t="inlineStr"/>
      <c r="J841" s="2" t="inlineStr">
        <is>
          <t>да</t>
        </is>
      </c>
      <c r="K841" s="3" t="inlineStr">
        <is>
          <t>Зарисовка о ремонте оборвавшегося железнодорожного электропровода.</t>
        </is>
      </c>
      <c r="L841" s="2" t="inlineStr">
        <is>
          <t>https://www.kino-teatr.ru/short/movie/sov/11468/annot/</t>
        </is>
      </c>
      <c r="M841" s="2">
        <f>HYPERLINK("https://ru.wikipedia.org/w/index.php?search=%D0%9E%D0%BA%D0%BD%D0%BE%201980%20%D1%84%D0%B8%D0%BB%D1%8C%D0%BC","искать")</f>
        <v/>
      </c>
      <c r="N841" s="3" t="n"/>
      <c r="O841" s="2" t="n"/>
    </row>
    <row r="842">
      <c r="A842" s="2" t="n">
        <v>841</v>
      </c>
      <c r="B842" s="2" t="inlineStr">
        <is>
          <t>не сюжет</t>
        </is>
      </c>
      <c r="C842" s="2" t="n">
        <v>10198</v>
      </c>
      <c r="D842" s="3" t="inlineStr">
        <is>
          <t>Канун грозы</t>
        </is>
      </c>
      <c r="E842" s="2" t="n">
        <v>1967</v>
      </c>
      <c r="F842" s="2" t="inlineStr">
        <is>
          <t>фильм-спектакль</t>
        </is>
      </c>
      <c r="G842" s="2" t="inlineStr">
        <is>
          <t>Центральное ТВ</t>
        </is>
      </c>
      <c r="H842" s="2" t="n">
        <v>66</v>
      </c>
      <c r="I842" s="2" t="inlineStr"/>
      <c r="J842" s="2" t="inlineStr">
        <is>
          <t>да</t>
        </is>
      </c>
      <c r="K842" s="3" t="inlineStr">
        <is>
          <t>По одноименной пьесе П. Маляревского о Ленских событиях 1912 года.</t>
        </is>
      </c>
      <c r="L842" s="2" t="inlineStr">
        <is>
          <t>https://www.kino-teatr.ru/teatr/movie/92824/annot/</t>
        </is>
      </c>
      <c r="M842" s="2">
        <f>HYPERLINK("https://ru.wikipedia.org/w/index.php?search=%D0%9A%D0%B0%D0%BD%D1%83%D0%BD%20%D0%B3%D1%80%D0%BE%D0%B7%D1%8B%201967%20%D1%84%D0%B8%D0%BB%D1%8C%D0%BC","искать")</f>
        <v/>
      </c>
      <c r="N842" s="3" t="n"/>
      <c r="O842" s="2" t="n"/>
    </row>
    <row r="843">
      <c r="A843" s="2" t="n">
        <v>842</v>
      </c>
      <c r="B843" s="2" t="inlineStr">
        <is>
          <t>не сюжет</t>
        </is>
      </c>
      <c r="C843" s="2" t="n">
        <v>10712</v>
      </c>
      <c r="D843" s="3" t="inlineStr">
        <is>
          <t>Провинциальная история</t>
        </is>
      </c>
      <c r="E843" s="2" t="n">
        <v>1977</v>
      </c>
      <c r="F843" s="2" t="inlineStr">
        <is>
          <t>фильм-спектакль</t>
        </is>
      </c>
      <c r="G843" s="2" t="inlineStr">
        <is>
          <t>Гл. ред. лит-драм программ</t>
        </is>
      </c>
      <c r="H843" s="2" t="n">
        <v>66</v>
      </c>
      <c r="I843" s="2" t="inlineStr"/>
      <c r="J843" s="2" t="inlineStr">
        <is>
          <t>да</t>
        </is>
      </c>
      <c r="K843" s="3" t="inlineStr">
        <is>
          <t>По рассказам А.И.Куприна «Как я был актером», «К славе», «Полубог»</t>
        </is>
      </c>
      <c r="L843" s="2" t="inlineStr">
        <is>
          <t>https://www.kino-teatr.ru/teatr/movie/15878/annot/</t>
        </is>
      </c>
      <c r="M843" s="2">
        <f>HYPERLINK("https://ru.wikipedia.org/w/index.php?search=%D0%9F%D1%80%D0%BE%D0%B2%D0%B8%D0%BD%D1%86%D0%B8%D0%B0%D0%BB%D1%8C%D0%BD%D0%B0%D1%8F%20%D0%B8%D1%81%D1%82%D0%BE%D1%80%D0%B8%D1%8F%201977%20%D1%84%D0%B8%D0%BB%D1%8C%D0%BC","искать")</f>
        <v/>
      </c>
      <c r="N843" s="3" t="n"/>
      <c r="O843" s="2" t="n"/>
    </row>
    <row r="844">
      <c r="A844" s="2" t="n">
        <v>843</v>
      </c>
      <c r="B844" s="2" t="inlineStr">
        <is>
          <t>не сюжет</t>
        </is>
      </c>
      <c r="C844" s="2" t="n">
        <v>11347</v>
      </c>
      <c r="D844" s="3" t="inlineStr">
        <is>
          <t>Сны о Гоголе</t>
        </is>
      </c>
      <c r="E844" s="2" t="n">
        <v>1991</v>
      </c>
      <c r="F844" s="2" t="inlineStr">
        <is>
          <t>фильм-спектакль</t>
        </is>
      </c>
      <c r="G844" s="2" t="inlineStr">
        <is>
          <t>Ленинградское ТВ</t>
        </is>
      </c>
      <c r="H844" s="2" t="n">
        <v>66</v>
      </c>
      <c r="I844" s="2" t="inlineStr"/>
      <c r="J844" s="2" t="inlineStr">
        <is>
          <t>да</t>
        </is>
      </c>
      <c r="K844" s="3" t="inlineStr">
        <is>
          <t>Фильм-спектакль о мистических переживаниях Гоголя накануне смерти.</t>
        </is>
      </c>
      <c r="L844" s="2" t="inlineStr">
        <is>
          <t>https://www.kino-teatr.ru/teatr/movie/10202/annot/</t>
        </is>
      </c>
      <c r="M844" s="2">
        <f>HYPERLINK("https://ru.wikipedia.org/w/index.php?search=%D0%A1%D0%BD%D1%8B%20%D0%BE%20%D0%93%D0%BE%D0%B3%D0%BE%D0%BB%D0%B5%201991%20%D1%84%D0%B8%D0%BB%D1%8C%D0%BC","искать")</f>
        <v/>
      </c>
      <c r="N844" s="3" t="n"/>
      <c r="O844" s="2" t="n"/>
    </row>
    <row r="845">
      <c r="A845" s="2" t="n">
        <v>844</v>
      </c>
      <c r="B845" s="2" t="inlineStr">
        <is>
          <t>не сюжет</t>
        </is>
      </c>
      <c r="C845" s="2" t="n">
        <v>7382</v>
      </c>
      <c r="D845" s="3" t="inlineStr">
        <is>
          <t>Вот придет август</t>
        </is>
      </c>
      <c r="E845" s="2" t="n">
        <v>1984</v>
      </c>
      <c r="F845" s="2" t="inlineStr">
        <is>
          <t>телефильм</t>
        </is>
      </c>
      <c r="G845" s="2" t="n"/>
      <c r="H845" s="2" t="n">
        <v>67</v>
      </c>
      <c r="I845" s="2" t="inlineStr"/>
      <c r="J845" s="2" t="inlineStr">
        <is>
          <t>да</t>
        </is>
      </c>
      <c r="K845" s="3" t="inlineStr">
        <is>
          <t>Телефильм повествует о периоде формирования характера у подростков.</t>
        </is>
      </c>
      <c r="L845" s="2" t="inlineStr">
        <is>
          <t>Кино_СССР сводный каталог.xlsx: список телефильмов</t>
        </is>
      </c>
      <c r="M845" s="2">
        <f>HYPERLINK("https://ru.wikipedia.org/w/index.php?search=%D0%92%D0%BE%D1%82%20%D0%BF%D1%80%D0%B8%D0%B4%D0%B5%D1%82%20%D0%B0%D0%B2%D0%B3%D1%83%D1%81%D1%82%201984%20%D1%84%D0%B8%D0%BB%D1%8C%D0%BC","искать")</f>
        <v/>
      </c>
      <c r="N845" s="3" t="n"/>
      <c r="O845" s="2" t="n"/>
    </row>
    <row r="846">
      <c r="A846" s="2" t="n">
        <v>845</v>
      </c>
      <c r="B846" s="2" t="inlineStr">
        <is>
          <t>не сюжет</t>
        </is>
      </c>
      <c r="C846" s="2" t="n">
        <v>9184</v>
      </c>
      <c r="D846" s="3" t="inlineStr">
        <is>
          <t>Это надо знать молодым</t>
        </is>
      </c>
      <c r="E846" s="2" t="n">
        <v>1988</v>
      </c>
      <c r="F846" s="2" t="inlineStr">
        <is>
          <t>кинофильм</t>
        </is>
      </c>
      <c r="G846" s="2" t="n"/>
      <c r="H846" s="2" t="n">
        <v>67</v>
      </c>
      <c r="I846" s="2" t="inlineStr"/>
      <c r="J846" s="2" t="inlineStr">
        <is>
          <t>да</t>
        </is>
      </c>
      <c r="K846" s="3" t="inlineStr">
        <is>
          <t>Фильм рассказывает о преимуществах молодёжного премиального вклада.</t>
        </is>
      </c>
      <c r="L846" s="2" t="inlineStr">
        <is>
          <t>Кино_СССР сводный каталог.xlsx: список фильмов (доп.)</t>
        </is>
      </c>
      <c r="M846" s="2">
        <f>HYPERLINK("https://ru.wikipedia.org/w/index.php?search=%D0%AD%D1%82%D0%BE%20%D0%BD%D0%B0%D0%B4%D0%BE%20%D0%B7%D0%BD%D0%B0%D1%82%D1%8C%20%D0%BC%D0%BE%D0%BB%D0%BE%D0%B4%D1%8B%D0%BC%201988%20%D1%84%D0%B8%D0%BB%D1%8C%D0%BC","искать")</f>
        <v/>
      </c>
      <c r="N846" s="3" t="n"/>
      <c r="O846" s="2" t="n"/>
    </row>
    <row r="847">
      <c r="A847" s="2" t="n">
        <v>846</v>
      </c>
      <c r="B847" s="2" t="inlineStr">
        <is>
          <t>не сюжет</t>
        </is>
      </c>
      <c r="C847" s="2" t="n">
        <v>9837</v>
      </c>
      <c r="D847" s="3" t="inlineStr">
        <is>
          <t>Шуточка</t>
        </is>
      </c>
      <c r="E847" s="2" t="n">
        <v>1966</v>
      </c>
      <c r="F847" s="2" t="inlineStr">
        <is>
          <t>телефильм</t>
        </is>
      </c>
      <c r="G847" s="2" t="inlineStr">
        <is>
          <t>Мосфильм</t>
        </is>
      </c>
      <c r="H847" s="2" t="n">
        <v>67</v>
      </c>
      <c r="I847" s="2" t="inlineStr"/>
      <c r="J847" s="2" t="inlineStr">
        <is>
          <t>да</t>
        </is>
      </c>
      <c r="K847" s="3" t="inlineStr">
        <is>
          <t>Телефильм. Новелла, мелодрама.
По одноименному рассказу А.П.Чехова.</t>
        </is>
      </c>
      <c r="L847" s="2" t="inlineStr">
        <is>
          <t>https://www.kino-teatr.ru/short/movie/sov/8054/annot/</t>
        </is>
      </c>
      <c r="M847" s="2">
        <f>HYPERLINK("https://ru.wikipedia.org/w/index.php?search=%D0%A8%D1%83%D1%82%D0%BE%D1%87%D0%BA%D0%B0%201966%20%D1%84%D0%B8%D0%BB%D1%8C%D0%BC","искать")</f>
        <v/>
      </c>
      <c r="N847" s="3" t="n"/>
      <c r="O847" s="2" t="n"/>
    </row>
    <row r="848">
      <c r="A848" s="2" t="n">
        <v>847</v>
      </c>
      <c r="B848" s="2" t="inlineStr">
        <is>
          <t>не сюжет</t>
        </is>
      </c>
      <c r="C848" s="2" t="n">
        <v>9847</v>
      </c>
      <c r="D848" s="3" t="inlineStr">
        <is>
          <t>Дорога в Париж</t>
        </is>
      </c>
      <c r="E848" s="2" t="n">
        <v>1968</v>
      </c>
      <c r="F848" s="2" t="inlineStr">
        <is>
          <t>телефильм</t>
        </is>
      </c>
      <c r="G848" s="2" t="inlineStr">
        <is>
          <t>Фрунзенское телевидение</t>
        </is>
      </c>
      <c r="H848" s="2" t="n">
        <v>67</v>
      </c>
      <c r="I848" s="2" t="inlineStr"/>
      <c r="J848" s="2" t="inlineStr">
        <is>
          <t>да</t>
        </is>
      </c>
      <c r="K848" s="3" t="inlineStr">
        <is>
          <t>Фильм о богатой детской фантазии, о стремлении познать мир и людей.</t>
        </is>
      </c>
      <c r="L848" s="2" t="inlineStr">
        <is>
          <t>https://www.kino-teatr.ru/short/movie/sov/85100/annot/</t>
        </is>
      </c>
      <c r="M848" s="2">
        <f>HYPERLINK("https://ru.wikipedia.org/w/index.php?search=%D0%94%D0%BE%D1%80%D0%BE%D0%B3%D0%B0%20%D0%B2%20%D0%9F%D0%B0%D1%80%D0%B8%D0%B6%201968%20%D1%84%D0%B8%D0%BB%D1%8C%D0%BC","искать")</f>
        <v/>
      </c>
      <c r="N848" s="3" t="n"/>
      <c r="O848" s="2" t="n"/>
    </row>
    <row r="849">
      <c r="A849" s="2" t="n">
        <v>848</v>
      </c>
      <c r="B849" s="2" t="inlineStr">
        <is>
          <t>не сюжет</t>
        </is>
      </c>
      <c r="C849" s="2" t="n">
        <v>11048</v>
      </c>
      <c r="D849" s="3" t="inlineStr">
        <is>
          <t>Анчутка</t>
        </is>
      </c>
      <c r="E849" s="2" t="n">
        <v>1985</v>
      </c>
      <c r="F849" s="2" t="inlineStr">
        <is>
          <t>фильм-спектакль</t>
        </is>
      </c>
      <c r="G849" s="2" t="inlineStr">
        <is>
          <t>Центральное телевидение</t>
        </is>
      </c>
      <c r="H849" s="2" t="n">
        <v>67</v>
      </c>
      <c r="I849" s="2" t="inlineStr"/>
      <c r="J849" s="2" t="inlineStr">
        <is>
          <t>да</t>
        </is>
      </c>
      <c r="K849" s="3" t="inlineStr">
        <is>
          <t>Сказка Будимира Метальникова в исполнении актеров Московского ТЮЗа.</t>
        </is>
      </c>
      <c r="L849" s="2" t="inlineStr">
        <is>
          <t>https://www.kino-teatr.ru/teatr/movie/138272/annot/</t>
        </is>
      </c>
      <c r="M849" s="2">
        <f>HYPERLINK("https://ru.wikipedia.org/w/index.php?search=%D0%90%D0%BD%D1%87%D1%83%D1%82%D0%BA%D0%B0%201985%20%D1%84%D0%B8%D0%BB%D1%8C%D0%BC","искать")</f>
        <v/>
      </c>
      <c r="N849" s="3" t="n"/>
      <c r="O849" s="2" t="n"/>
    </row>
    <row r="850">
      <c r="A850" s="2" t="n">
        <v>849</v>
      </c>
      <c r="B850" s="2" t="inlineStr">
        <is>
          <t>не сюжет</t>
        </is>
      </c>
      <c r="C850" s="2" t="n">
        <v>11165</v>
      </c>
      <c r="D850" s="3" t="inlineStr">
        <is>
          <t>Кроткая</t>
        </is>
      </c>
      <c r="E850" s="2" t="n">
        <v>1987</v>
      </c>
      <c r="F850" s="2" t="inlineStr">
        <is>
          <t>фильм-спектакль</t>
        </is>
      </c>
      <c r="G850" s="2" t="inlineStr">
        <is>
          <t>Малый Драматический театр</t>
        </is>
      </c>
      <c r="H850" s="2" t="n">
        <v>67</v>
      </c>
      <c r="I850" s="2" t="inlineStr"/>
      <c r="J850" s="2" t="inlineStr">
        <is>
          <t>да</t>
        </is>
      </c>
      <c r="K850" s="3" t="inlineStr">
        <is>
          <t>Спектакль Малого Драматического театра по повести Ф.М.Достоевского.</t>
        </is>
      </c>
      <c r="L850" s="2" t="inlineStr">
        <is>
          <t>https://www.kino-teatr.ru/teatr/movie/115666/annot/</t>
        </is>
      </c>
      <c r="M850" s="2">
        <f>HYPERLINK("https://ru.wikipedia.org/w/index.php?search=%D0%9A%D1%80%D0%BE%D1%82%D0%BA%D0%B0%D1%8F%201987%20%D1%84%D0%B8%D0%BB%D1%8C%D0%BC","искать")</f>
        <v/>
      </c>
      <c r="N850" s="3" t="n"/>
      <c r="O850" s="2" t="n"/>
    </row>
    <row r="851">
      <c r="A851" s="2" t="n">
        <v>850</v>
      </c>
      <c r="B851" s="2" t="inlineStr">
        <is>
          <t>не сюжет</t>
        </is>
      </c>
      <c r="C851" s="2" t="n">
        <v>7637</v>
      </c>
      <c r="D851" s="3" t="inlineStr">
        <is>
          <t>Здравствуйте, все!</t>
        </is>
      </c>
      <c r="E851" s="2" t="n">
        <v>1980</v>
      </c>
      <c r="F851" s="2" t="inlineStr">
        <is>
          <t>телефильм</t>
        </is>
      </c>
      <c r="G851" s="2" t="n"/>
      <c r="H851" s="2" t="n">
        <v>68</v>
      </c>
      <c r="I851" s="2" t="inlineStr"/>
      <c r="J851" s="2" t="inlineStr">
        <is>
          <t>да</t>
        </is>
      </c>
      <c r="K851" s="3" t="inlineStr">
        <is>
          <t>Телефильм о жизни и творчестве грузинского художника Нико Пирасмани.</t>
        </is>
      </c>
      <c r="L851" s="2" t="inlineStr">
        <is>
          <t>Кино_СССР сводный каталог.xlsx: список телефильмов</t>
        </is>
      </c>
      <c r="M851" s="2">
        <f>HYPERLINK("https://ru.wikipedia.org/w/index.php?search=%D0%97%D0%B4%D1%80%D0%B0%D0%B2%D1%81%D1%82%D0%B2%D1%83%D0%B9%D1%82%D0%B5%2C%20%D0%B2%D1%81%D0%B5%21%201980%20%D1%84%D0%B8%D0%BB%D1%8C%D0%BC","искать")</f>
        <v/>
      </c>
      <c r="N851" s="3" t="n"/>
      <c r="O851" s="2" t="n"/>
    </row>
    <row r="852">
      <c r="A852" s="2" t="n">
        <v>851</v>
      </c>
      <c r="B852" s="2" t="inlineStr">
        <is>
          <t>не сюжет</t>
        </is>
      </c>
      <c r="C852" s="2" t="n">
        <v>8794</v>
      </c>
      <c r="D852" s="3" t="inlineStr">
        <is>
          <t>Легенды пожарных</t>
        </is>
      </c>
      <c r="E852" s="2" t="n">
        <v>1989</v>
      </c>
      <c r="F852" s="2" t="inlineStr">
        <is>
          <t>кинофильм</t>
        </is>
      </c>
      <c r="G852" s="2" t="n"/>
      <c r="H852" s="2" t="n">
        <v>68</v>
      </c>
      <c r="I852" s="2" t="inlineStr"/>
      <c r="J852" s="2" t="inlineStr">
        <is>
          <t>да</t>
        </is>
      </c>
      <c r="K852" s="3" t="inlineStr">
        <is>
          <t>Фидьм-гротеск, высмеивающий работу команды пожарников и их старшину.</t>
        </is>
      </c>
      <c r="L852" s="2" t="inlineStr">
        <is>
          <t>Кино_СССР сводный каталог.xlsx: список фильмов (доп.)</t>
        </is>
      </c>
      <c r="M852" s="2">
        <f>HYPERLINK("https://ru.wikipedia.org/w/index.php?search=%D0%9B%D0%B5%D0%B3%D0%B5%D0%BD%D0%B4%D1%8B%20%D0%BF%D0%BE%D0%B6%D0%B0%D1%80%D0%BD%D1%8B%D1%85%201989%20%D1%84%D0%B8%D0%BB%D1%8C%D0%BC","искать")</f>
        <v/>
      </c>
      <c r="N852" s="3" t="n"/>
      <c r="O852" s="2" t="n"/>
    </row>
    <row r="853">
      <c r="A853" s="2" t="n">
        <v>852</v>
      </c>
      <c r="B853" s="2" t="inlineStr">
        <is>
          <t>не сюжет</t>
        </is>
      </c>
      <c r="C853" s="2" t="n">
        <v>9181</v>
      </c>
      <c r="D853" s="3" t="inlineStr">
        <is>
          <t>Эстонские баллады</t>
        </is>
      </c>
      <c r="E853" s="2" t="n">
        <v>1989</v>
      </c>
      <c r="F853" s="2" t="inlineStr">
        <is>
          <t>кинофильм</t>
        </is>
      </c>
      <c r="G853" s="2" t="n"/>
      <c r="H853" s="2" t="n">
        <v>68</v>
      </c>
      <c r="I853" s="2" t="inlineStr"/>
      <c r="J853" s="2" t="inlineStr">
        <is>
          <t>да</t>
        </is>
      </c>
      <c r="K853" s="3" t="inlineStr">
        <is>
          <t>Музыкальный фильм по «Эстонским балладам» композитора Вельо Тормиса.</t>
        </is>
      </c>
      <c r="L853" s="2" t="inlineStr">
        <is>
          <t>Кино_СССР сводный каталог.xlsx: список фильмов (доп.)</t>
        </is>
      </c>
      <c r="M853" s="2">
        <f>HYPERLINK("https://ru.wikipedia.org/w/index.php?search=%D0%AD%D1%81%D1%82%D0%BE%D0%BD%D1%81%D0%BA%D0%B8%D0%B5%20%D0%B1%D0%B0%D0%BB%D0%BB%D0%B0%D0%B4%D1%8B%201989%20%D1%84%D0%B8%D0%BB%D1%8C%D0%BC","искать")</f>
        <v/>
      </c>
      <c r="N853" s="3" t="n"/>
      <c r="O853" s="2" t="n"/>
    </row>
    <row r="854">
      <c r="A854" s="2" t="n">
        <v>853</v>
      </c>
      <c r="B854" s="2" t="inlineStr">
        <is>
          <t>не сюжет</t>
        </is>
      </c>
      <c r="C854" s="2" t="n">
        <v>9853</v>
      </c>
      <c r="D854" s="3" t="inlineStr">
        <is>
          <t>Слепой дождь...</t>
        </is>
      </c>
      <c r="E854" s="2" t="n">
        <v>1968</v>
      </c>
      <c r="F854" s="2" t="inlineStr">
        <is>
          <t>телефильм</t>
        </is>
      </c>
      <c r="G854" s="2" t="inlineStr">
        <is>
          <t>Укртелефильм</t>
        </is>
      </c>
      <c r="H854" s="2" t="n">
        <v>68</v>
      </c>
      <c r="I854" s="2" t="inlineStr"/>
      <c r="J854" s="2" t="inlineStr">
        <is>
          <t>да</t>
        </is>
      </c>
      <c r="K854" s="3" t="inlineStr">
        <is>
          <t>Поэтический кинорассказ о первой любви мальчика Сани к девушке Лене.</t>
        </is>
      </c>
      <c r="L854" s="2" t="inlineStr">
        <is>
          <t>https://www.kino-teatr.ru/short/movie/sov/87041/annot/</t>
        </is>
      </c>
      <c r="M854" s="2">
        <f>HYPERLINK("https://ru.wikipedia.org/w/index.php?search=%D0%A1%D0%BB%D0%B5%D0%BF%D0%BE%D0%B9%20%D0%B4%D0%BE%D0%B6%D0%B4%D1%8C...%201968%20%D1%84%D0%B8%D0%BB%D1%8C%D0%BC","искать")</f>
        <v/>
      </c>
      <c r="N854" s="3" t="n"/>
      <c r="O854" s="2" t="n"/>
    </row>
    <row r="855">
      <c r="A855" s="2" t="n">
        <v>854</v>
      </c>
      <c r="B855" s="2" t="inlineStr">
        <is>
          <t>не сюжет</t>
        </is>
      </c>
      <c r="C855" s="2" t="n">
        <v>9959</v>
      </c>
      <c r="D855" s="3" t="inlineStr">
        <is>
          <t>Экзамен</t>
        </is>
      </c>
      <c r="E855" s="2" t="n">
        <v>1980</v>
      </c>
      <c r="F855" s="2" t="inlineStr">
        <is>
          <t>кинофильм</t>
        </is>
      </c>
      <c r="G855" s="2" t="inlineStr">
        <is>
          <t>Ленфильм</t>
        </is>
      </c>
      <c r="H855" s="2" t="n">
        <v>68</v>
      </c>
      <c r="I855" s="2" t="inlineStr"/>
      <c r="J855" s="2" t="inlineStr">
        <is>
          <t>да</t>
        </is>
      </c>
      <c r="K855" s="3" t="inlineStr">
        <is>
          <t>Агитационный фильм о необходимости знания правил дорожного движения.</t>
        </is>
      </c>
      <c r="L855" s="2" t="inlineStr">
        <is>
          <t>https://www.kino-teatr.ru/short/movie/sov/146238/annot/</t>
        </is>
      </c>
      <c r="M855" s="2">
        <f>HYPERLINK("https://ru.wikipedia.org/w/index.php?search=%D0%AD%D0%BA%D0%B7%D0%B0%D0%BC%D0%B5%D0%BD%201980%20%D1%84%D0%B8%D0%BB%D1%8C%D0%BC","искать")</f>
        <v/>
      </c>
      <c r="N855" s="3" t="n"/>
      <c r="O855" s="2" t="n"/>
    </row>
    <row r="856">
      <c r="A856" s="2" t="n">
        <v>855</v>
      </c>
      <c r="B856" s="2" t="inlineStr">
        <is>
          <t>не сюжет</t>
        </is>
      </c>
      <c r="C856" s="2" t="n">
        <v>10263</v>
      </c>
      <c r="D856" s="3" t="inlineStr">
        <is>
          <t>Первое дело доктора Уотсона</t>
        </is>
      </c>
      <c r="E856" s="2" t="n">
        <v>1968</v>
      </c>
      <c r="F856" s="2" t="inlineStr">
        <is>
          <t>фильм-спектакль</t>
        </is>
      </c>
      <c r="G856" s="2" t="inlineStr">
        <is>
          <t>Центральное телевидение</t>
        </is>
      </c>
      <c r="H856" s="2" t="n">
        <v>68</v>
      </c>
      <c r="I856" s="2" t="inlineStr"/>
      <c r="J856" s="2" t="inlineStr">
        <is>
          <t>да</t>
        </is>
      </c>
      <c r="K856" s="3" t="inlineStr">
        <is>
          <t>Телеспектакль по повести Артура Конан Дойла "Этюд в багровых тонах".</t>
        </is>
      </c>
      <c r="L856" s="2" t="inlineStr">
        <is>
          <t>https://www.kino-teatr.ru/teatr/movie/111626/annot/</t>
        </is>
      </c>
      <c r="M856" s="2">
        <f>HYPERLINK("https://ru.wikipedia.org/w/index.php?search=%D0%9F%D0%B5%D1%80%D0%B2%D0%BE%D0%B5%20%D0%B4%D0%B5%D0%BB%D0%BE%20%D0%B4%D0%BE%D0%BA%D1%82%D0%BE%D1%80%D0%B0%20%D0%A3%D0%BE%D1%82%D1%81%D0%BE%D0%BD%D0%B0%201968%20%D1%84%D0%B8%D0%BB%D1%8C%D0%BC","искать")</f>
        <v/>
      </c>
      <c r="N856" s="3" t="n"/>
      <c r="O856" s="2" t="n"/>
    </row>
    <row r="857">
      <c r="A857" s="2" t="n">
        <v>856</v>
      </c>
      <c r="B857" s="2" t="inlineStr">
        <is>
          <t>не сюжет</t>
        </is>
      </c>
      <c r="C857" s="2" t="n">
        <v>10790</v>
      </c>
      <c r="D857" s="3" t="inlineStr">
        <is>
          <t>Аморальная история</t>
        </is>
      </c>
      <c r="E857" s="2" t="n">
        <v>1979</v>
      </c>
      <c r="F857" s="2" t="inlineStr">
        <is>
          <t>фильм-спектакль</t>
        </is>
      </c>
      <c r="G857" s="2" t="n"/>
      <c r="H857" s="2" t="n">
        <v>68</v>
      </c>
      <c r="I857" s="2" t="inlineStr"/>
      <c r="J857" s="2" t="inlineStr">
        <is>
          <t>да</t>
        </is>
      </c>
      <c r="K857" s="3" t="inlineStr">
        <is>
          <t>Поставлен по одноименной пьесе Эмиля Брагинского и Эльдара Рязанова.</t>
        </is>
      </c>
      <c r="L857" s="2" t="inlineStr">
        <is>
          <t>https://www.kino-teatr.ru/teatr/movie/88978/annot/</t>
        </is>
      </c>
      <c r="M857" s="2">
        <f>HYPERLINK("https://ru.wikipedia.org/w/index.php?search=%D0%90%D0%BC%D0%BE%D1%80%D0%B0%D0%BB%D1%8C%D0%BD%D0%B0%D1%8F%20%D0%B8%D1%81%D1%82%D0%BE%D1%80%D0%B8%D1%8F%201979%20%D1%84%D0%B8%D0%BB%D1%8C%D0%BC","искать")</f>
        <v/>
      </c>
      <c r="N857" s="3" t="n"/>
      <c r="O857" s="2" t="n"/>
    </row>
    <row r="858">
      <c r="A858" s="2" t="n">
        <v>857</v>
      </c>
      <c r="B858" s="2" t="inlineStr">
        <is>
          <t>не сюжет</t>
        </is>
      </c>
      <c r="C858" s="2" t="n">
        <v>7558</v>
      </c>
      <c r="D858" s="3" t="inlineStr">
        <is>
          <t>Дочь Ганга</t>
        </is>
      </c>
      <c r="E858" s="2" t="n">
        <v>1961</v>
      </c>
      <c r="F858" s="2" t="inlineStr">
        <is>
          <t>телефильм</t>
        </is>
      </c>
      <c r="G858" s="2" t="n"/>
      <c r="H858" s="2" t="n">
        <v>69</v>
      </c>
      <c r="I858" s="2" t="inlineStr"/>
      <c r="J858" s="2" t="inlineStr">
        <is>
          <t>да</t>
        </is>
      </c>
      <c r="K858" s="3" t="inlineStr">
        <is>
          <t>Первый узбекский телефильм по  роману Рабиндраната Тагора "Крушение".</t>
        </is>
      </c>
      <c r="L858" s="2" t="inlineStr">
        <is>
          <t>Кино_СССР сводный каталог.xlsx: список телефильмов</t>
        </is>
      </c>
      <c r="M858" s="2">
        <f>HYPERLINK("https://ru.wikipedia.org/w/index.php?search=%D0%94%D0%BE%D1%87%D1%8C%20%D0%93%D0%B0%D0%BD%D0%B3%D0%B0%201961%20%D1%84%D0%B8%D0%BB%D1%8C%D0%BC","искать")</f>
        <v/>
      </c>
      <c r="N858" s="3" t="n"/>
      <c r="O858" s="2" t="n"/>
    </row>
    <row r="859">
      <c r="A859" s="2" t="n">
        <v>858</v>
      </c>
      <c r="B859" s="2" t="inlineStr">
        <is>
          <t>не сюжет</t>
        </is>
      </c>
      <c r="C859" s="2" t="n">
        <v>7576</v>
      </c>
      <c r="D859" s="3" t="inlineStr">
        <is>
          <t>Если мы вместе</t>
        </is>
      </c>
      <c r="E859" s="2" t="n">
        <v>1975</v>
      </c>
      <c r="F859" s="2" t="inlineStr">
        <is>
          <t>телефильм</t>
        </is>
      </c>
      <c r="G859" s="2" t="n"/>
      <c r="H859" s="2" t="n">
        <v>69</v>
      </c>
      <c r="I859" s="2" t="inlineStr"/>
      <c r="J859" s="2" t="inlineStr">
        <is>
          <t>да</t>
        </is>
      </c>
      <c r="K859" s="3" t="inlineStr">
        <is>
          <t>Телефильм, посвящается молодежи только, что окончившей среднюю школу.</t>
        </is>
      </c>
      <c r="L859" s="2" t="inlineStr">
        <is>
          <t>Кино_СССР сводный каталог.xlsx: список телефильмов</t>
        </is>
      </c>
      <c r="M859" s="2">
        <f>HYPERLINK("https://ru.wikipedia.org/w/index.php?search=%D0%95%D1%81%D0%BB%D0%B8%20%D0%BC%D1%8B%20%D0%B2%D0%BC%D0%B5%D1%81%D1%82%D0%B5%201975%20%D1%84%D0%B8%D0%BB%D1%8C%D0%BC","искать")</f>
        <v/>
      </c>
      <c r="N859" s="3" t="n"/>
      <c r="O859" s="2" t="n"/>
    </row>
    <row r="860">
      <c r="A860" s="2" t="n">
        <v>859</v>
      </c>
      <c r="B860" s="2" t="inlineStr">
        <is>
          <t>не сюжет</t>
        </is>
      </c>
      <c r="C860" s="2" t="n">
        <v>10493</v>
      </c>
      <c r="D860" s="3" t="inlineStr">
        <is>
          <t>Всего несколько слов в честь господина де Мольера</t>
        </is>
      </c>
      <c r="E860" s="2" t="n">
        <v>1973</v>
      </c>
      <c r="F860" s="2" t="inlineStr">
        <is>
          <t>фильм-спектакль</t>
        </is>
      </c>
      <c r="G860" s="2" t="inlineStr">
        <is>
          <t>ЦТ, Главная редакция литературно-драматических программ</t>
        </is>
      </c>
      <c r="H860" s="2" t="n">
        <v>69</v>
      </c>
      <c r="I860" s="2" t="inlineStr"/>
      <c r="J860" s="2" t="inlineStr">
        <is>
          <t>да</t>
        </is>
      </c>
      <c r="K860" s="3" t="inlineStr">
        <is>
          <t>По пьесе М.Булгакова "Кабала святош" и пьесе Ж.-Б.Мольера «Дон Жуан».</t>
        </is>
      </c>
      <c r="L860" s="2" t="inlineStr">
        <is>
          <t>https://www.kino-teatr.ru/teatr/movie/1239/annot/</t>
        </is>
      </c>
      <c r="M860" s="2">
        <f>HYPERLINK("https://ru.wikipedia.org/w/index.php?search=%D0%92%D1%81%D0%B5%D0%B3%D0%BE%20%D0%BD%D0%B5%D1%81%D0%BA%D0%BE%D0%BB%D1%8C%D0%BA%D0%BE%20%D1%81%D0%BB%D0%BE%D0%B2%20%D0%B2%20%D1%87%D0%B5%D1%81%D1%82%D1%8C%20%D0%B3%D0%BE%D1%81%D0%BF%D0%BE%D0%B4%D0%B8%D0%BD%D0%B0%20%D0%B4%D0%B5%20%D0%9C%D0%BE%D0%BB%D1%8C%D0%B5%D1%80%D0%B0%201973%20%D1%84%D0%B8%D0%BB%D1%8C%D0%BC","искать")</f>
        <v/>
      </c>
      <c r="N860" s="3" t="n"/>
      <c r="O860" s="2" t="n"/>
    </row>
    <row r="861">
      <c r="A861" s="2" t="n">
        <v>860</v>
      </c>
      <c r="B861" s="2" t="inlineStr">
        <is>
          <t>не сюжет</t>
        </is>
      </c>
      <c r="C861" s="2" t="n">
        <v>7910</v>
      </c>
      <c r="D861" s="3" t="inlineStr">
        <is>
          <t>Мужчина и сосновая мутовка</t>
        </is>
      </c>
      <c r="E861" s="2" t="n">
        <v>1979</v>
      </c>
      <c r="F861" s="2" t="inlineStr">
        <is>
          <t>телефильм</t>
        </is>
      </c>
      <c r="G861" s="2" t="n"/>
      <c r="H861" s="2" t="n">
        <v>70</v>
      </c>
      <c r="I861" s="2" t="inlineStr"/>
      <c r="J861" s="2" t="inlineStr">
        <is>
          <t>да</t>
        </is>
      </c>
      <c r="K861" s="3" t="inlineStr">
        <is>
          <t>Экранизация повести Пауля Куусберга "С птичкой в голове / Linnukesega"</t>
        </is>
      </c>
      <c r="L861" s="2" t="inlineStr">
        <is>
          <t>Кино_СССР сводный каталог.xlsx: список телефильмов</t>
        </is>
      </c>
      <c r="M861" s="2">
        <f>HYPERLINK("https://ru.wikipedia.org/w/index.php?search=%D0%9C%D1%83%D0%B6%D1%87%D0%B8%D0%BD%D0%B0%20%D0%B8%20%D1%81%D0%BE%D1%81%D0%BD%D0%BE%D0%B2%D0%B0%D1%8F%20%D0%BC%D1%83%D1%82%D0%BE%D0%B2%D0%BA%D0%B0%201979%20%D1%84%D0%B8%D0%BB%D1%8C%D0%BC","искать")</f>
        <v/>
      </c>
      <c r="N861" s="3" t="n"/>
      <c r="O861" s="2" t="n"/>
    </row>
    <row r="862">
      <c r="A862" s="2" t="n">
        <v>861</v>
      </c>
      <c r="B862" s="2" t="inlineStr">
        <is>
          <t>не сюжет</t>
        </is>
      </c>
      <c r="C862" s="2" t="n">
        <v>9002</v>
      </c>
      <c r="D862" s="3" t="inlineStr">
        <is>
          <t>Пятый тополь</t>
        </is>
      </c>
      <c r="E862" s="2" t="n">
        <v>1964</v>
      </c>
      <c r="F862" s="2" t="inlineStr">
        <is>
          <t>кинофильм</t>
        </is>
      </c>
      <c r="G862" s="2" t="n"/>
      <c r="H862" s="2" t="n">
        <v>70</v>
      </c>
      <c r="I862" s="2" t="inlineStr"/>
      <c r="J862" s="2" t="inlineStr">
        <is>
          <t>да</t>
        </is>
      </c>
      <c r="K862" s="3" t="inlineStr">
        <is>
          <t>Фильм рассказывает о судьбе и нелёгком труде сельского врача Крынкина.</t>
        </is>
      </c>
      <c r="L862" s="2" t="inlineStr">
        <is>
          <t>Кино_СССР сводный каталог.xlsx: список фильмов (доп.)</t>
        </is>
      </c>
      <c r="M862" s="2">
        <f>HYPERLINK("https://ru.wikipedia.org/w/index.php?search=%D0%9F%D1%8F%D1%82%D1%8B%D0%B9%20%D1%82%D0%BE%D0%BF%D0%BE%D0%BB%D1%8C%201964%20%D1%84%D0%B8%D0%BB%D1%8C%D0%BC","искать")</f>
        <v/>
      </c>
      <c r="N862" s="3" t="n"/>
      <c r="O862" s="2" t="n"/>
    </row>
    <row r="863">
      <c r="A863" s="2" t="n">
        <v>862</v>
      </c>
      <c r="B863" s="2" t="inlineStr">
        <is>
          <t>не сюжет</t>
        </is>
      </c>
      <c r="C863" s="2" t="n">
        <v>10232</v>
      </c>
      <c r="D863" s="3" t="inlineStr">
        <is>
          <t>В воскресенье рано зелье собирала</t>
        </is>
      </c>
      <c r="E863" s="2" t="n">
        <v>1968</v>
      </c>
      <c r="F863" s="2" t="inlineStr">
        <is>
          <t>фильм-спектакль</t>
        </is>
      </c>
      <c r="G863" s="2" t="inlineStr">
        <is>
          <t>Укртелефильм</t>
        </is>
      </c>
      <c r="H863" s="2" t="n">
        <v>70</v>
      </c>
      <c r="I863" s="2" t="inlineStr"/>
      <c r="J863" s="2" t="inlineStr">
        <is>
          <t>да</t>
        </is>
      </c>
      <c r="K863" s="3" t="inlineStr">
        <is>
          <t>По повести Ольги Кобылянской.
Спектакль Киевского театра им. И.Франко.</t>
        </is>
      </c>
      <c r="L863" s="2" t="inlineStr">
        <is>
          <t>https://www.kino-teatr.ru/teatr/movie/86366/annot/</t>
        </is>
      </c>
      <c r="M863" s="2">
        <f>HYPERLINK("https://ru.wikipedia.org/w/index.php?search=%D0%92%20%D0%B2%D0%BE%D1%81%D0%BA%D1%80%D0%B5%D1%81%D0%B5%D0%BD%D1%8C%D0%B5%20%D1%80%D0%B0%D0%BD%D0%BE%20%D0%B7%D0%B5%D0%BB%D1%8C%D0%B5%20%D1%81%D0%BE%D0%B1%D0%B8%D1%80%D0%B0%D0%BB%D0%B0%201968%20%D1%84%D0%B8%D0%BB%D1%8C%D0%BC","искать")</f>
        <v/>
      </c>
      <c r="N863" s="3" t="n"/>
      <c r="O863" s="2" t="n"/>
    </row>
    <row r="864">
      <c r="A864" s="2" t="n">
        <v>863</v>
      </c>
      <c r="B864" s="2" t="inlineStr">
        <is>
          <t>не сюжет</t>
        </is>
      </c>
      <c r="C864" s="2" t="n">
        <v>10346</v>
      </c>
      <c r="D864" s="3" t="inlineStr">
        <is>
          <t>37 су господина Монтодуана</t>
        </is>
      </c>
      <c r="E864" s="2" t="n">
        <v>1970</v>
      </c>
      <c r="F864" s="2" t="inlineStr">
        <is>
          <t>фильм-спектакль</t>
        </is>
      </c>
      <c r="G864" s="2" t="inlineStr">
        <is>
          <t>Центральное телевидение</t>
        </is>
      </c>
      <c r="H864" s="2" t="n">
        <v>70</v>
      </c>
      <c r="I864" s="2" t="inlineStr"/>
      <c r="J864" s="2" t="inlineStr">
        <is>
          <t>да</t>
        </is>
      </c>
      <c r="K864" s="3" t="inlineStr">
        <is>
          <t>Водевиль Эжена Лабиша в исполнении артистов Московского театра сатиры.</t>
        </is>
      </c>
      <c r="L864" s="2" t="inlineStr">
        <is>
          <t>https://www.kino-teatr.ru/teatr/movie/136511/annot/</t>
        </is>
      </c>
      <c r="M864" s="2">
        <f>HYPERLINK("https://ru.wikipedia.org/w/index.php?search=37%20%D1%81%D1%83%20%D0%B3%D0%BE%D1%81%D0%BF%D0%BE%D0%B4%D0%B8%D0%BD%D0%B0%20%D0%9C%D0%BE%D0%BD%D1%82%D0%BE%D0%B4%D1%83%D0%B0%D0%BD%D0%B0%201970%20%D1%84%D0%B8%D0%BB%D1%8C%D0%BC","искать")</f>
        <v/>
      </c>
      <c r="N864" s="3" t="n"/>
      <c r="O864" s="2" t="n"/>
    </row>
    <row r="865">
      <c r="A865" s="2" t="n">
        <v>864</v>
      </c>
      <c r="B865" s="2" t="inlineStr">
        <is>
          <t>не сюжет</t>
        </is>
      </c>
      <c r="C865" s="2" t="n">
        <v>10391</v>
      </c>
      <c r="D865" s="3" t="inlineStr">
        <is>
          <t>Драматические отрывки. Н.В.Гоголь</t>
        </is>
      </c>
      <c r="E865" s="2" t="n">
        <v>1971</v>
      </c>
      <c r="F865" s="2" t="inlineStr">
        <is>
          <t>фильм-спектакль</t>
        </is>
      </c>
      <c r="G865" s="2" t="inlineStr">
        <is>
          <t>Центральное телевидение, Подборки фильмов, экранизации Гоголя</t>
        </is>
      </c>
      <c r="H865" s="2" t="n">
        <v>70</v>
      </c>
      <c r="I865" s="2" t="inlineStr"/>
      <c r="J865" s="2" t="inlineStr">
        <is>
          <t>да</t>
        </is>
      </c>
      <c r="K865" s="3" t="inlineStr">
        <is>
          <t>По двум одноактным пьесам Гоголя - "Утро делового человека" И "Тяжба".</t>
        </is>
      </c>
      <c r="L865" s="2" t="inlineStr">
        <is>
          <t>https://www.kino-teatr.ru/teatr/movie/92992/annot/</t>
        </is>
      </c>
      <c r="M865" s="2">
        <f>HYPERLINK("https://ru.wikipedia.org/w/index.php?search=%D0%94%D1%80%D0%B0%D0%BC%D0%B0%D1%82%D0%B8%D1%87%D0%B5%D1%81%D0%BA%D0%B8%D0%B5%20%D0%BE%D1%82%D1%80%D1%8B%D0%B2%D0%BA%D0%B8.%20%D0%9D.%D0%92.%D0%93%D0%BE%D0%B3%D0%BE%D0%BB%D1%8C%201971%20%D1%84%D0%B8%D0%BB%D1%8C%D0%BC","искать")</f>
        <v/>
      </c>
      <c r="N865" s="3" t="n"/>
      <c r="O865" s="2" t="n"/>
    </row>
    <row r="866">
      <c r="A866" s="2" t="n">
        <v>865</v>
      </c>
      <c r="B866" s="2" t="inlineStr">
        <is>
          <t>не сюжет</t>
        </is>
      </c>
      <c r="C866" s="2" t="n">
        <v>10576</v>
      </c>
      <c r="D866" s="3" t="inlineStr">
        <is>
          <t>Оруженосец Кашка</t>
        </is>
      </c>
      <c r="E866" s="2" t="n">
        <v>1974</v>
      </c>
      <c r="F866" s="2" t="inlineStr">
        <is>
          <t>фильм-спектакль</t>
        </is>
      </c>
      <c r="G866" s="2" t="inlineStr">
        <is>
          <t>Главная редакция программ для детей и юношества ЦТ</t>
        </is>
      </c>
      <c r="H866" s="2" t="n">
        <v>70</v>
      </c>
      <c r="I866" s="2" t="inlineStr"/>
      <c r="J866" s="2" t="inlineStr">
        <is>
          <t>да</t>
        </is>
      </c>
      <c r="K866" s="3" t="inlineStr">
        <is>
          <t>Телевизионный спектакль о ребятах из пионерского лагеря "Синие камни".</t>
        </is>
      </c>
      <c r="L866" s="2" t="inlineStr">
        <is>
          <t>https://www.kino-teatr.ru/teatr/movie/79308/annot/</t>
        </is>
      </c>
      <c r="M866" s="2">
        <f>HYPERLINK("https://ru.wikipedia.org/w/index.php?search=%D0%9E%D1%80%D1%83%D0%B6%D0%B5%D0%BD%D0%BE%D1%81%D0%B5%D1%86%20%D0%9A%D0%B0%D1%88%D0%BA%D0%B0%201974%20%D1%84%D0%B8%D0%BB%D1%8C%D0%BC","искать")</f>
        <v/>
      </c>
      <c r="N866" s="3" t="n"/>
      <c r="O866" s="2" t="n"/>
    </row>
    <row r="867">
      <c r="A867" s="2" t="n">
        <v>866</v>
      </c>
      <c r="B867" s="2" t="inlineStr">
        <is>
          <t>не сюжет</t>
        </is>
      </c>
      <c r="C867" s="2" t="n">
        <v>10906</v>
      </c>
      <c r="D867" s="3" t="inlineStr">
        <is>
          <t>Путешествие дядюшки Тик-Так</t>
        </is>
      </c>
      <c r="E867" s="2" t="n">
        <v>1981</v>
      </c>
      <c r="F867" s="2" t="inlineStr">
        <is>
          <t>фильм-спектакль</t>
        </is>
      </c>
      <c r="G867" s="2" t="inlineStr">
        <is>
          <t>Эстонское телевидение</t>
        </is>
      </c>
      <c r="H867" s="2" t="n">
        <v>70</v>
      </c>
      <c r="I867" s="2" t="inlineStr"/>
      <c r="J867" s="2" t="inlineStr">
        <is>
          <t>да</t>
        </is>
      </c>
      <c r="K867" s="3" t="inlineStr">
        <is>
          <t>Поставлен по одноименной сказке английского писателя Дональда Биссета.</t>
        </is>
      </c>
      <c r="L867" s="2" t="inlineStr">
        <is>
          <t>https://www.kino-teatr.ru/teatr/movie/86748/annot/</t>
        </is>
      </c>
      <c r="M867" s="2">
        <f>HYPERLINK("https://ru.wikipedia.org/w/index.php?search=%D0%9F%D1%83%D1%82%D0%B5%D1%88%D0%B5%D1%81%D1%82%D0%B2%D0%B8%D0%B5%20%D0%B4%D1%8F%D0%B4%D1%8E%D1%88%D0%BA%D0%B8%20%D0%A2%D0%B8%D0%BA-%D0%A2%D0%B0%D0%BA%201981%20%D1%84%D0%B8%D0%BB%D1%8C%D0%BC","искать")</f>
        <v/>
      </c>
      <c r="N867" s="3" t="n"/>
      <c r="O867" s="2" t="n"/>
    </row>
    <row r="868">
      <c r="A868" s="2" t="n">
        <v>867</v>
      </c>
      <c r="B868" s="2" t="inlineStr">
        <is>
          <t>не сюжет</t>
        </is>
      </c>
      <c r="C868" s="2" t="n">
        <v>10912</v>
      </c>
      <c r="D868" s="3" t="inlineStr">
        <is>
          <t>Сильное чувство</t>
        </is>
      </c>
      <c r="E868" s="2" t="n">
        <v>1981</v>
      </c>
      <c r="F868" s="2" t="inlineStr">
        <is>
          <t>фильм-спектакль</t>
        </is>
      </c>
      <c r="G868" s="2" t="inlineStr">
        <is>
          <t>Литовское телевидение</t>
        </is>
      </c>
      <c r="H868" s="2" t="n">
        <v>70</v>
      </c>
      <c r="I868" s="2" t="inlineStr"/>
      <c r="J868" s="2" t="inlineStr">
        <is>
          <t>да</t>
        </is>
      </c>
      <c r="K868" s="3" t="inlineStr">
        <is>
          <t>Спектакль поставлен по одноименной пьесе Ильи Ильфа и Евгения Петрова.</t>
        </is>
      </c>
      <c r="L868" s="2" t="inlineStr">
        <is>
          <t>https://www.kino-teatr.ru/teatr/movie/105303/annot/</t>
        </is>
      </c>
      <c r="M868" s="2">
        <f>HYPERLINK("https://ru.wikipedia.org/w/index.php?search=%D0%A1%D0%B8%D0%BB%D1%8C%D0%BD%D0%BE%D0%B5%20%D1%87%D1%83%D0%B2%D1%81%D1%82%D0%B2%D0%BE%201981%20%D1%84%D0%B8%D0%BB%D1%8C%D0%BC","искать")</f>
        <v/>
      </c>
      <c r="N868" s="3" t="n"/>
      <c r="O868" s="2" t="n"/>
    </row>
    <row r="869">
      <c r="A869" s="2" t="n">
        <v>868</v>
      </c>
      <c r="B869" s="2" t="inlineStr">
        <is>
          <t>не сюжет</t>
        </is>
      </c>
      <c r="C869" s="2" t="n">
        <v>11030</v>
      </c>
      <c r="D869" s="3" t="inlineStr">
        <is>
          <t>Ночная исповедь</t>
        </is>
      </c>
      <c r="E869" s="2" t="n">
        <v>1984</v>
      </c>
      <c r="F869" s="2" t="inlineStr">
        <is>
          <t>фильм-спектакль</t>
        </is>
      </c>
      <c r="G869" s="2" t="inlineStr">
        <is>
          <t>Эстонское телевидение</t>
        </is>
      </c>
      <c r="H869" s="2" t="n">
        <v>70</v>
      </c>
      <c r="I869" s="2" t="inlineStr"/>
      <c r="J869" s="2" t="inlineStr">
        <is>
          <t>да</t>
        </is>
      </c>
      <c r="K869" s="3" t="inlineStr">
        <is>
          <t>Поставлен по одноименной пьесе советского драматурга Алексея Арбузова.</t>
        </is>
      </c>
      <c r="L869" s="2" t="inlineStr">
        <is>
          <t>https://www.kino-teatr.ru/teatr/movie/88976/annot/</t>
        </is>
      </c>
      <c r="M869" s="2">
        <f>HYPERLINK("https://ru.wikipedia.org/w/index.php?search=%D0%9D%D0%BE%D1%87%D0%BD%D0%B0%D1%8F%20%D0%B8%D1%81%D0%BF%D0%BE%D0%B2%D0%B5%D0%B4%D1%8C%201984%20%D1%84%D0%B8%D0%BB%D1%8C%D0%BC","искать")</f>
        <v/>
      </c>
      <c r="N869" s="3" t="n"/>
      <c r="O869" s="2" t="n"/>
    </row>
    <row r="870">
      <c r="A870" s="2" t="n">
        <v>869</v>
      </c>
      <c r="B870" s="2" t="inlineStr">
        <is>
          <t>не сюжет</t>
        </is>
      </c>
      <c r="C870" s="2" t="n">
        <v>11324</v>
      </c>
      <c r="D870" s="3" t="inlineStr">
        <is>
          <t>Странная миссис Сэвидж</t>
        </is>
      </c>
      <c r="E870" s="2" t="n">
        <v>1990</v>
      </c>
      <c r="F870" s="2" t="inlineStr">
        <is>
          <t>фильм-спектакль</t>
        </is>
      </c>
      <c r="G870" s="2" t="n"/>
      <c r="H870" s="2" t="n">
        <v>70</v>
      </c>
      <c r="I870" s="2" t="inlineStr"/>
      <c r="J870" s="2" t="inlineStr">
        <is>
          <t>да</t>
        </is>
      </c>
      <c r="K870" s="3" t="inlineStr">
        <is>
          <t>Поставлен по одноименной пьесе американского драматурга Джона Патрика.</t>
        </is>
      </c>
      <c r="L870" s="2" t="inlineStr">
        <is>
          <t>https://www.kino-teatr.ru/teatr/movie/89007/annot/</t>
        </is>
      </c>
      <c r="M870" s="2">
        <f>HYPERLINK("https://ru.wikipedia.org/w/index.php?search=%D0%A1%D1%82%D1%80%D0%B0%D0%BD%D0%BD%D0%B0%D1%8F%20%D0%BC%D0%B8%D1%81%D1%81%D0%B8%D1%81%20%D0%A1%D1%8D%D0%B2%D0%B8%D0%B4%D0%B6%201990%20%D1%84%D0%B8%D0%BB%D1%8C%D0%BC","искать")</f>
        <v/>
      </c>
      <c r="N870" s="3" t="n"/>
      <c r="O870" s="2" t="n"/>
    </row>
    <row r="871">
      <c r="A871" s="2" t="n">
        <v>870</v>
      </c>
      <c r="B871" s="2" t="inlineStr">
        <is>
          <t>не сюжет</t>
        </is>
      </c>
      <c r="C871" s="2" t="n">
        <v>7603</v>
      </c>
      <c r="D871" s="3" t="inlineStr">
        <is>
          <t>Жизнь, ставшая легендой</t>
        </is>
      </c>
      <c r="E871" s="2" t="n">
        <v>1969</v>
      </c>
      <c r="F871" s="2" t="inlineStr">
        <is>
          <t>телефильм</t>
        </is>
      </c>
      <c r="G871" s="2" t="n"/>
      <c r="H871" s="2" t="n">
        <v>71</v>
      </c>
      <c r="I871" s="2" t="inlineStr"/>
      <c r="J871" s="2" t="inlineStr">
        <is>
          <t>да</t>
        </is>
      </c>
      <c r="K871" s="3" t="inlineStr">
        <is>
          <t>Телевизионный фильм о герое гражданской войны Хаджи-Мурате Дзарахохове.</t>
        </is>
      </c>
      <c r="L871" s="2" t="inlineStr">
        <is>
          <t>Кино_СССР сводный каталог.xlsx: список телефильмов</t>
        </is>
      </c>
      <c r="M871" s="2">
        <f>HYPERLINK("https://ru.wikipedia.org/w/index.php?search=%D0%96%D0%B8%D0%B7%D0%BD%D1%8C%2C%20%D1%81%D1%82%D0%B0%D0%B2%D1%88%D0%B0%D1%8F%20%D0%BB%D0%B5%D0%B3%D0%B5%D0%BD%D0%B4%D0%BE%D0%B9%201969%20%D1%84%D0%B8%D0%BB%D1%8C%D0%BC","искать")</f>
        <v/>
      </c>
      <c r="N871" s="3" t="n"/>
      <c r="O871" s="2" t="n"/>
    </row>
    <row r="872">
      <c r="A872" s="2" t="n">
        <v>871</v>
      </c>
      <c r="B872" s="2" t="inlineStr">
        <is>
          <t>не сюжет</t>
        </is>
      </c>
      <c r="C872" s="2" t="n">
        <v>7658</v>
      </c>
      <c r="D872" s="3" t="inlineStr">
        <is>
          <t>И вечный бой... Из жизни Александра Блока</t>
        </is>
      </c>
      <c r="E872" s="2" t="n">
        <v>1980</v>
      </c>
      <c r="F872" s="2" t="inlineStr">
        <is>
          <t>телефильм</t>
        </is>
      </c>
      <c r="G872" s="2" t="n"/>
      <c r="H872" s="2" t="n">
        <v>71</v>
      </c>
      <c r="I872" s="2" t="inlineStr"/>
      <c r="J872" s="2" t="inlineStr">
        <is>
          <t>да</t>
        </is>
      </c>
      <c r="K872" s="3" t="inlineStr">
        <is>
          <t>Телефильм-монография. Снят к столетию со дня рождения Александра Блока.</t>
        </is>
      </c>
      <c r="L872" s="2" t="inlineStr">
        <is>
          <t>Кино_СССР сводный каталог.xlsx: список телефильмов</t>
        </is>
      </c>
      <c r="M872" s="2">
        <f>HYPERLINK("https://ru.wikipedia.org/w/index.php?search=%D0%98%20%D0%B2%D0%B5%D1%87%D0%BD%D1%8B%D0%B9%20%D0%B1%D0%BE%D0%B9...%20%D0%98%D0%B7%20%D0%B6%D0%B8%D0%B7%D0%BD%D0%B8%20%D0%90%D0%BB%D0%B5%D0%BA%D1%81%D0%B0%D0%BD%D0%B4%D1%80%D0%B0%20%D0%91%D0%BB%D0%BE%D0%BA%D0%B0%201980%20%D1%84%D0%B8%D0%BB%D1%8C%D0%BC","искать")</f>
        <v/>
      </c>
      <c r="N872" s="3" t="n"/>
      <c r="O872" s="2" t="n"/>
    </row>
    <row r="873">
      <c r="A873" s="2" t="n">
        <v>872</v>
      </c>
      <c r="B873" s="2" t="inlineStr">
        <is>
          <t>не сюжет</t>
        </is>
      </c>
      <c r="C873" s="2" t="n">
        <v>9009</v>
      </c>
      <c r="D873" s="3" t="inlineStr">
        <is>
          <t>Расследуется уголовное дело...</t>
        </is>
      </c>
      <c r="E873" s="2" t="n">
        <v>1983</v>
      </c>
      <c r="F873" s="2" t="inlineStr">
        <is>
          <t>кинофильм</t>
        </is>
      </c>
      <c r="G873" s="2" t="n"/>
      <c r="H873" s="2" t="n">
        <v>71</v>
      </c>
      <c r="I873" s="2" t="inlineStr"/>
      <c r="J873" s="2" t="inlineStr">
        <is>
          <t>да</t>
        </is>
      </c>
      <c r="K873" s="3" t="inlineStr">
        <is>
          <t>Фильм рассказывает о современных методах криминалистической экспертизы.</t>
        </is>
      </c>
      <c r="L873" s="2" t="inlineStr">
        <is>
          <t>Кино_СССР сводный каталог.xlsx: список фильмов (доп.)</t>
        </is>
      </c>
      <c r="M873" s="2">
        <f>HYPERLINK("https://ru.wikipedia.org/w/index.php?search=%D0%A0%D0%B0%D1%81%D1%81%D0%BB%D0%B5%D0%B4%D1%83%D0%B5%D1%82%D1%81%D1%8F%20%D1%83%D0%B3%D0%BE%D0%BB%D0%BE%D0%B2%D0%BD%D0%BE%D0%B5%20%D0%B4%D0%B5%D0%BB%D0%BE...%201983%20%D1%84%D0%B8%D0%BB%D1%8C%D0%BC","искать")</f>
        <v/>
      </c>
      <c r="N873" s="3" t="n"/>
      <c r="O873" s="2" t="n"/>
    </row>
    <row r="874">
      <c r="A874" s="2" t="n">
        <v>873</v>
      </c>
      <c r="B874" s="2" t="inlineStr">
        <is>
          <t>не сюжет</t>
        </is>
      </c>
      <c r="C874" s="2" t="n">
        <v>10505</v>
      </c>
      <c r="D874" s="3" t="inlineStr">
        <is>
          <t>Мой друг Доминик</t>
        </is>
      </c>
      <c r="E874" s="2" t="n">
        <v>1973</v>
      </c>
      <c r="F874" s="2" t="inlineStr">
        <is>
          <t>фильм-спектакль</t>
        </is>
      </c>
      <c r="G874" s="2" t="inlineStr">
        <is>
          <t>Ленинградское телевидение</t>
        </is>
      </c>
      <c r="H874" s="2" t="n">
        <v>71</v>
      </c>
      <c r="I874" s="2" t="inlineStr"/>
      <c r="J874" s="2" t="inlineStr">
        <is>
          <t>да</t>
        </is>
      </c>
      <c r="K874" s="3" t="inlineStr">
        <is>
          <t>Детский телеспектакль по повести Людвика Ежи Керна "Послушай-ка, слон".</t>
        </is>
      </c>
      <c r="L874" s="2" t="inlineStr">
        <is>
          <t>https://www.kino-teatr.ru/teatr/movie/137102/annot/</t>
        </is>
      </c>
      <c r="M874" s="2">
        <f>HYPERLINK("https://ru.wikipedia.org/w/index.php?search=%D0%9C%D0%BE%D0%B9%20%D0%B4%D1%80%D1%83%D0%B3%20%D0%94%D0%BE%D0%BC%D0%B8%D0%BD%D0%B8%D0%BA%201973%20%D1%84%D0%B8%D0%BB%D1%8C%D0%BC","искать")</f>
        <v/>
      </c>
      <c r="N874" s="3" t="n"/>
      <c r="O874" s="2" t="n"/>
    </row>
    <row r="875">
      <c r="A875" s="2" t="n">
        <v>874</v>
      </c>
      <c r="B875" s="2" t="inlineStr">
        <is>
          <t>не сюжет</t>
        </is>
      </c>
      <c r="C875" s="2" t="n">
        <v>11046</v>
      </c>
      <c r="D875" s="3" t="inlineStr">
        <is>
          <t>Я, Бомарше!</t>
        </is>
      </c>
      <c r="E875" s="2" t="n">
        <v>1984</v>
      </c>
      <c r="F875" s="2" t="inlineStr">
        <is>
          <t>фильм-спектакль</t>
        </is>
      </c>
      <c r="G875" s="2" t="inlineStr">
        <is>
          <t>Центральное телевидение</t>
        </is>
      </c>
      <c r="H875" s="2" t="n">
        <v>71</v>
      </c>
      <c r="I875" s="2" t="inlineStr"/>
      <c r="J875" s="2" t="inlineStr">
        <is>
          <t>да</t>
        </is>
      </c>
      <c r="K875" s="3" t="inlineStr">
        <is>
          <t>Страницы жизни великого французского драматурга Пьера-Огюстена Бомарше.</t>
        </is>
      </c>
      <c r="L875" s="2" t="inlineStr">
        <is>
          <t>https://www.kino-teatr.ru/teatr/movie/111460/annot/</t>
        </is>
      </c>
      <c r="M875" s="2">
        <f>HYPERLINK("https://ru.wikipedia.org/w/index.php?search=%D0%AF%2C%20%D0%91%D0%BE%D0%BC%D0%B0%D1%80%D1%88%D0%B5%21%201984%20%D1%84%D0%B8%D0%BB%D1%8C%D0%BC","искать")</f>
        <v/>
      </c>
      <c r="N875" s="3" t="n"/>
      <c r="O875" s="2" t="n"/>
    </row>
    <row r="876">
      <c r="A876" s="2" t="n">
        <v>875</v>
      </c>
      <c r="B876" s="2" t="inlineStr">
        <is>
          <t>не сюжет</t>
        </is>
      </c>
      <c r="C876" s="2" t="n">
        <v>11134</v>
      </c>
      <c r="D876" s="3" t="inlineStr">
        <is>
          <t>Стихи А.Л.Барто</t>
        </is>
      </c>
      <c r="E876" s="2" t="n">
        <v>1986</v>
      </c>
      <c r="F876" s="2" t="inlineStr">
        <is>
          <t>фильм-спектакль</t>
        </is>
      </c>
      <c r="G876" s="2" t="n"/>
      <c r="H876" s="2" t="n">
        <v>71</v>
      </c>
      <c r="I876" s="2" t="inlineStr"/>
      <c r="J876" s="2" t="inlineStr">
        <is>
          <t>да</t>
        </is>
      </c>
      <c r="K876" s="3" t="inlineStr">
        <is>
          <t>Композиция по стихотворениям Агнии Барто и песням Дмитрия Кабалевского.</t>
        </is>
      </c>
      <c r="L876" s="2" t="inlineStr">
        <is>
          <t>https://www.kino-teatr.ru/teatr/movie/82121/annot/</t>
        </is>
      </c>
      <c r="M876" s="2">
        <f>HYPERLINK("https://ru.wikipedia.org/w/index.php?search=%D0%A1%D1%82%D0%B8%D1%85%D0%B8%20%D0%90.%D0%9B.%D0%91%D0%B0%D1%80%D1%82%D0%BE%201986%20%D1%84%D0%B8%D0%BB%D1%8C%D0%BC","искать")</f>
        <v/>
      </c>
      <c r="N876" s="3" t="n"/>
      <c r="O876" s="2" t="n"/>
    </row>
    <row r="877">
      <c r="A877" s="2" t="n">
        <v>876</v>
      </c>
      <c r="B877" s="2" t="inlineStr">
        <is>
          <t>не сюжет</t>
        </is>
      </c>
      <c r="C877" s="2" t="n">
        <v>11233</v>
      </c>
      <c r="D877" s="3" t="inlineStr">
        <is>
          <t>Холопы</t>
        </is>
      </c>
      <c r="E877" s="2" t="n">
        <v>1988</v>
      </c>
      <c r="F877" s="2" t="inlineStr">
        <is>
          <t>фильм-спектакль</t>
        </is>
      </c>
      <c r="G877" s="2" t="inlineStr">
        <is>
          <t>ТО "Экран"</t>
        </is>
      </c>
      <c r="H877" s="2" t="n">
        <v>71</v>
      </c>
      <c r="I877" s="2" t="inlineStr"/>
      <c r="J877" s="2" t="inlineStr">
        <is>
          <t>да</t>
        </is>
      </c>
      <c r="K877" s="3" t="inlineStr">
        <is>
          <t>По одноименной пьесе П. П. Гнедича.
В основе — спектакль Малого театра.</t>
        </is>
      </c>
      <c r="L877" s="2" t="inlineStr">
        <is>
          <t>https://www.kino-teatr.ru/teatr/movie/7635/annot/</t>
        </is>
      </c>
      <c r="M877" s="2">
        <f>HYPERLINK("https://ru.wikipedia.org/w/index.php?search=%D0%A5%D0%BE%D0%BB%D0%BE%D0%BF%D1%8B%201988%20%D1%84%D0%B8%D0%BB%D1%8C%D0%BC","искать")</f>
        <v/>
      </c>
      <c r="N877" s="3" t="n"/>
      <c r="O877" s="2" t="n"/>
    </row>
    <row r="878">
      <c r="A878" s="2" t="n">
        <v>877</v>
      </c>
      <c r="B878" s="2" t="inlineStr">
        <is>
          <t>не сюжет</t>
        </is>
      </c>
      <c r="C878" s="2" t="n">
        <v>9033</v>
      </c>
      <c r="D878" s="3" t="inlineStr">
        <is>
          <t>Светлая речка Вздвиженка</t>
        </is>
      </c>
      <c r="E878" s="2" t="n">
        <v>1971</v>
      </c>
      <c r="F878" s="2" t="inlineStr">
        <is>
          <t>кинофильм</t>
        </is>
      </c>
      <c r="G878" s="2" t="n"/>
      <c r="H878" s="2" t="n">
        <v>72</v>
      </c>
      <c r="I878" s="2" t="inlineStr"/>
      <c r="J878" s="2" t="inlineStr">
        <is>
          <t>да</t>
        </is>
      </c>
      <c r="K878" s="3" t="inlineStr">
        <is>
          <t>Поэтический рассказ о деревне, ее людях, красоте человеческих отношений.</t>
        </is>
      </c>
      <c r="L878" s="2" t="inlineStr">
        <is>
          <t>Кино_СССР сводный каталог.xlsx: список фильмов (доп.)</t>
        </is>
      </c>
      <c r="M878" s="2">
        <f>HYPERLINK("https://ru.wikipedia.org/w/index.php?search=%D0%A1%D0%B2%D0%B5%D1%82%D0%BB%D0%B0%D1%8F%20%D1%80%D0%B5%D1%87%D0%BA%D0%B0%20%D0%92%D0%B7%D0%B4%D0%B2%D0%B8%D0%B6%D0%B5%D0%BD%D0%BA%D0%B0%201971%20%D1%84%D0%B8%D0%BB%D1%8C%D0%BC","искать")</f>
        <v/>
      </c>
      <c r="N878" s="3" t="n"/>
      <c r="O878" s="2" t="n"/>
    </row>
    <row r="879">
      <c r="A879" s="2" t="n">
        <v>878</v>
      </c>
      <c r="B879" s="2" t="inlineStr">
        <is>
          <t>не сюжет</t>
        </is>
      </c>
      <c r="C879" s="2" t="n">
        <v>10140</v>
      </c>
      <c r="D879" s="3" t="inlineStr">
        <is>
          <t>Воскресение</t>
        </is>
      </c>
      <c r="E879" s="2" t="n">
        <v>1965</v>
      </c>
      <c r="F879" s="2" t="inlineStr">
        <is>
          <t>фильм-спектакль</t>
        </is>
      </c>
      <c r="G879" s="2" t="inlineStr">
        <is>
          <t>Ленинградское телевидение</t>
        </is>
      </c>
      <c r="H879" s="2" t="n">
        <v>72</v>
      </c>
      <c r="I879" s="2" t="inlineStr"/>
      <c r="J879" s="2" t="inlineStr">
        <is>
          <t>да</t>
        </is>
      </c>
      <c r="K879" s="3" t="inlineStr">
        <is>
          <t>Спектакль Ленинградского театра им. Комиссаржевской по роману Л.Толстого</t>
        </is>
      </c>
      <c r="L879" s="2" t="inlineStr">
        <is>
          <t>https://www.kino-teatr.ru/teatr/movie/136093/annot/</t>
        </is>
      </c>
      <c r="M879" s="2">
        <f>HYPERLINK("https://ru.wikipedia.org/w/index.php?search=%D0%92%D0%BE%D1%81%D0%BA%D1%80%D0%B5%D1%81%D0%B5%D0%BD%D0%B8%D0%B5%201965%20%D1%84%D0%B8%D0%BB%D1%8C%D0%BC","искать")</f>
        <v/>
      </c>
      <c r="N879" s="3" t="n"/>
      <c r="O879" s="2" t="n"/>
    </row>
    <row r="880">
      <c r="A880" s="2" t="n">
        <v>879</v>
      </c>
      <c r="B880" s="2" t="inlineStr">
        <is>
          <t>не сюжет</t>
        </is>
      </c>
      <c r="C880" s="2" t="n">
        <v>10147</v>
      </c>
      <c r="D880" s="3" t="inlineStr">
        <is>
          <t>Нос</t>
        </is>
      </c>
      <c r="E880" s="2" t="n">
        <v>1965</v>
      </c>
      <c r="F880" s="2" t="inlineStr">
        <is>
          <t>фильм-спектакль</t>
        </is>
      </c>
      <c r="G880" s="2" t="inlineStr">
        <is>
          <t>Ленинградское ТВ, Подборки фильмов, экранизации Гоголя</t>
        </is>
      </c>
      <c r="H880" s="2" t="n">
        <v>72</v>
      </c>
      <c r="I880" s="2" t="inlineStr"/>
      <c r="J880" s="2" t="inlineStr">
        <is>
          <t>да</t>
        </is>
      </c>
      <c r="K880" s="3" t="inlineStr">
        <is>
          <t>Телеспектакль, эксцентрическая драма.
По одноименной повести Н.В.Гоголя.</t>
        </is>
      </c>
      <c r="L880" s="2" t="inlineStr">
        <is>
          <t>https://www.kino-teatr.ru/teatr/movie/8686/annot/</t>
        </is>
      </c>
      <c r="M880" s="2">
        <f>HYPERLINK("https://ru.wikipedia.org/w/index.php?search=%D0%9D%D0%BE%D1%81%201965%20%D1%84%D0%B8%D0%BB%D1%8C%D0%BC","искать")</f>
        <v/>
      </c>
      <c r="N880" s="3" t="n"/>
      <c r="O880" s="2" t="n"/>
    </row>
    <row r="881">
      <c r="A881" s="2" t="n">
        <v>880</v>
      </c>
      <c r="B881" s="2" t="inlineStr">
        <is>
          <t>не сюжет</t>
        </is>
      </c>
      <c r="C881" s="2" t="n">
        <v>10228</v>
      </c>
      <c r="D881" s="3" t="inlineStr">
        <is>
          <t>Ать-два... и в дамки!</t>
        </is>
      </c>
      <c r="E881" s="2" t="n">
        <v>1968</v>
      </c>
      <c r="F881" s="2" t="inlineStr">
        <is>
          <t>фильм-спектакль</t>
        </is>
      </c>
      <c r="G881" s="2" t="inlineStr">
        <is>
          <t>Ленинградское ТВ</t>
        </is>
      </c>
      <c r="H881" s="2" t="n">
        <v>72</v>
      </c>
      <c r="I881" s="2" t="inlineStr"/>
      <c r="J881" s="2" t="inlineStr">
        <is>
          <t>да</t>
        </is>
      </c>
      <c r="K881" s="3" t="inlineStr">
        <is>
          <t>По мотивам памфлета "Об этом помалкивают" финского писателя Марти Ларни.</t>
        </is>
      </c>
      <c r="L881" s="2" t="inlineStr">
        <is>
          <t>https://www.kino-teatr.ru/teatr/movie/121564/annot/</t>
        </is>
      </c>
      <c r="M881" s="2">
        <f>HYPERLINK("https://ru.wikipedia.org/w/index.php?search=%D0%90%D1%82%D1%8C-%D0%B4%D0%B2%D0%B0...%20%D0%B8%20%D0%B2%20%D0%B4%D0%B0%D0%BC%D0%BA%D0%B8%21%201968%20%D1%84%D0%B8%D0%BB%D1%8C%D0%BC","искать")</f>
        <v/>
      </c>
      <c r="N881" s="3" t="n"/>
      <c r="O881" s="2" t="n"/>
    </row>
    <row r="882">
      <c r="A882" s="2" t="n">
        <v>881</v>
      </c>
      <c r="B882" s="2" t="inlineStr">
        <is>
          <t>не сюжет</t>
        </is>
      </c>
      <c r="C882" s="2" t="n">
        <v>10384</v>
      </c>
      <c r="D882" s="3" t="inlineStr">
        <is>
          <t>Возмездие</t>
        </is>
      </c>
      <c r="E882" s="2" t="n">
        <v>1971</v>
      </c>
      <c r="F882" s="2" t="inlineStr">
        <is>
          <t>фильм-спектакль</t>
        </is>
      </c>
      <c r="G882" s="2" t="n"/>
      <c r="H882" s="2" t="n">
        <v>72</v>
      </c>
      <c r="I882" s="2" t="inlineStr"/>
      <c r="J882" s="2" t="inlineStr">
        <is>
          <t>да</t>
        </is>
      </c>
      <c r="K882" s="3" t="inlineStr">
        <is>
          <t>В основе спектакля - одноименная поэма и стихотворения Александра Блока.</t>
        </is>
      </c>
      <c r="L882" s="2" t="inlineStr">
        <is>
          <t>https://www.kino-teatr.ru/teatr/movie/81416/annot/</t>
        </is>
      </c>
      <c r="M882" s="2">
        <f>HYPERLINK("https://ru.wikipedia.org/w/index.php?search=%D0%92%D0%BE%D0%B7%D0%BC%D0%B5%D0%B7%D0%B4%D0%B8%D0%B5%201971%20%D1%84%D0%B8%D0%BB%D1%8C%D0%BC","искать")</f>
        <v/>
      </c>
      <c r="N882" s="3" t="n"/>
      <c r="O882" s="2" t="n"/>
    </row>
    <row r="883">
      <c r="A883" s="2" t="n">
        <v>882</v>
      </c>
      <c r="B883" s="2" t="inlineStr">
        <is>
          <t>не сюжет</t>
        </is>
      </c>
      <c r="C883" s="2" t="n">
        <v>10562</v>
      </c>
      <c r="D883" s="3" t="inlineStr">
        <is>
          <t>Еще раз о Шерлоке Холмсе</t>
        </is>
      </c>
      <c r="E883" s="2" t="n">
        <v>1974</v>
      </c>
      <c r="F883" s="2" t="inlineStr">
        <is>
          <t>фильм-спектакль</t>
        </is>
      </c>
      <c r="G883" s="2" t="inlineStr">
        <is>
          <t>Ленинградское телевидение</t>
        </is>
      </c>
      <c r="H883" s="2" t="n">
        <v>72</v>
      </c>
      <c r="I883" s="2" t="inlineStr"/>
      <c r="J883" s="2" t="inlineStr">
        <is>
          <t>да</t>
        </is>
      </c>
      <c r="K883" s="3" t="inlineStr">
        <is>
          <t>Музыкальный телеспектакль по повести Артура Конан Дойла "Долина страха".</t>
        </is>
      </c>
      <c r="L883" s="2" t="inlineStr">
        <is>
          <t>https://www.kino-teatr.ru/teatr/movie/111614/annot/</t>
        </is>
      </c>
      <c r="M883" s="2">
        <f>HYPERLINK("https://ru.wikipedia.org/w/index.php?search=%D0%95%D1%89%D0%B5%20%D1%80%D0%B0%D0%B7%20%D0%BE%20%D0%A8%D0%B5%D1%80%D0%BB%D0%BE%D0%BA%D0%B5%20%D0%A5%D0%BE%D0%BB%D0%BC%D1%81%D0%B5%201974%20%D1%84%D0%B8%D0%BB%D1%8C%D0%BC","искать")</f>
        <v/>
      </c>
      <c r="N883" s="3" t="n"/>
      <c r="O883" s="2" t="n"/>
    </row>
    <row r="884">
      <c r="A884" s="2" t="n">
        <v>883</v>
      </c>
      <c r="B884" s="2" t="inlineStr">
        <is>
          <t>не сюжет</t>
        </is>
      </c>
      <c r="C884" s="2" t="n">
        <v>7224</v>
      </c>
      <c r="D884" s="3" t="inlineStr">
        <is>
          <t>Ассоль</t>
        </is>
      </c>
      <c r="E884" s="2" t="n">
        <v>1982</v>
      </c>
      <c r="F884" s="2" t="inlineStr">
        <is>
          <t>телефильм</t>
        </is>
      </c>
      <c r="G884" s="2" t="inlineStr">
        <is>
          <t>Творческое объединение «Экран» и Главная редакция литературно-драматических программ ЦТ</t>
        </is>
      </c>
      <c r="H884" s="2" t="n">
        <v>73</v>
      </c>
      <c r="I884" s="2" t="inlineStr"/>
      <c r="J884" s="2" t="inlineStr">
        <is>
          <t>да</t>
        </is>
      </c>
      <c r="K884" s="3" t="inlineStr">
        <is>
          <t>Телефильм, романтическая феерия. По мотивам романа А.Грина «Алые паруса».</t>
        </is>
      </c>
      <c r="L884" s="2" t="inlineStr">
        <is>
          <t>Кино_СССР сводный каталог.xlsx: список телефильмов</t>
        </is>
      </c>
      <c r="M884" s="2">
        <f>HYPERLINK("https://ru.wikipedia.org/w/index.php?search=%D0%90%D1%81%D1%81%D0%BE%D0%BB%D1%8C%201982%20%D1%84%D0%B8%D0%BB%D1%8C%D0%BC","искать")</f>
        <v/>
      </c>
      <c r="N884" s="3" t="n"/>
      <c r="O884" s="2" t="n"/>
    </row>
    <row r="885">
      <c r="A885" s="2" t="n">
        <v>884</v>
      </c>
      <c r="B885" s="2" t="inlineStr">
        <is>
          <t>не сюжет</t>
        </is>
      </c>
      <c r="C885" s="2" t="n">
        <v>7326</v>
      </c>
      <c r="D885" s="3" t="inlineStr">
        <is>
          <t>Весенняя сказка</t>
        </is>
      </c>
      <c r="E885" s="2" t="n">
        <v>1971</v>
      </c>
      <c r="F885" s="2" t="inlineStr">
        <is>
          <t>телефильм</t>
        </is>
      </c>
      <c r="G885" s="2" t="inlineStr">
        <is>
          <t>Беларусьфильм</t>
        </is>
      </c>
      <c r="H885" s="2" t="n">
        <v>73</v>
      </c>
      <c r="I885" s="2" t="inlineStr"/>
      <c r="J885" s="2" t="inlineStr">
        <is>
          <t>да</t>
        </is>
      </c>
      <c r="K885" s="3" t="inlineStr">
        <is>
          <t>Музыкальный фильм - сказка. По мотивам пьесы А. Островского "Снегурочка".</t>
        </is>
      </c>
      <c r="L885" s="2" t="inlineStr">
        <is>
          <t>Кино_СССР сводный каталог.xlsx: список телефильмов</t>
        </is>
      </c>
      <c r="M885" s="2">
        <f>HYPERLINK("https://ru.wikipedia.org/w/index.php?search=%D0%92%D0%B5%D1%81%D0%B5%D0%BD%D0%BD%D1%8F%D1%8F%20%D1%81%D0%BA%D0%B0%D0%B7%D0%BA%D0%B0%201971%20%D1%84%D0%B8%D0%BB%D1%8C%D0%BC","искать")</f>
        <v/>
      </c>
      <c r="N885" s="3" t="n"/>
      <c r="O885" s="2" t="n"/>
    </row>
    <row r="886">
      <c r="A886" s="2" t="n">
        <v>885</v>
      </c>
      <c r="B886" s="2" t="inlineStr">
        <is>
          <t>не сюжет</t>
        </is>
      </c>
      <c r="C886" s="2" t="n">
        <v>8494</v>
      </c>
      <c r="D886" s="3" t="inlineStr">
        <is>
          <t>У подножья Найзатас</t>
        </is>
      </c>
      <c r="E886" s="2" t="n">
        <v>1969</v>
      </c>
      <c r="F886" s="2" t="inlineStr">
        <is>
          <t>телефильм</t>
        </is>
      </c>
      <c r="G886" s="2" t="n"/>
      <c r="H886" s="2" t="n">
        <v>73</v>
      </c>
      <c r="I886" s="2" t="inlineStr"/>
      <c r="J886" s="2" t="inlineStr">
        <is>
          <t>да</t>
        </is>
      </c>
      <c r="K886" s="3" t="inlineStr">
        <is>
          <t>Прототипами героев этого телефильма стали жители совхоза им. Торайгырова.</t>
        </is>
      </c>
      <c r="L886" s="2" t="inlineStr">
        <is>
          <t>Кино_СССР сводный каталог.xlsx: список телефильмов</t>
        </is>
      </c>
      <c r="M886" s="2">
        <f>HYPERLINK("https://ru.wikipedia.org/w/index.php?search=%D0%A3%20%D0%BF%D0%BE%D0%B4%D0%BD%D0%BE%D0%B6%D1%8C%D1%8F%20%D0%9D%D0%B0%D0%B9%D0%B7%D0%B0%D1%82%D0%B0%D1%81%201969%20%D1%84%D0%B8%D0%BB%D1%8C%D0%BC","искать")</f>
        <v/>
      </c>
      <c r="N886" s="3" t="n"/>
      <c r="O886" s="2" t="n"/>
    </row>
    <row r="887">
      <c r="A887" s="2" t="n">
        <v>886</v>
      </c>
      <c r="B887" s="2" t="inlineStr">
        <is>
          <t>не сюжет</t>
        </is>
      </c>
      <c r="C887" s="2" t="n">
        <v>8684</v>
      </c>
      <c r="D887" s="3" t="inlineStr">
        <is>
          <t>Гость</t>
        </is>
      </c>
      <c r="E887" s="2" t="n">
        <v>1987</v>
      </c>
      <c r="F887" s="2" t="inlineStr">
        <is>
          <t>кинофильм</t>
        </is>
      </c>
      <c r="G887" s="2" t="inlineStr">
        <is>
          <t>ЭМТО (Мосфильм) при участии Ленфильм</t>
        </is>
      </c>
      <c r="H887" s="2" t="n">
        <v>73</v>
      </c>
      <c r="I887" s="2" t="inlineStr"/>
      <c r="J887" s="2" t="inlineStr">
        <is>
          <t>да</t>
        </is>
      </c>
      <c r="K887" s="3" t="inlineStr">
        <is>
          <t>Мистическая драма по мотивам рассказа Х. Л. Борхеса «Евангелие от Марка».</t>
        </is>
      </c>
      <c r="L887" s="2" t="inlineStr">
        <is>
          <t>Кино_СССР сводный каталог.xlsx: список фильмов (доп.)</t>
        </is>
      </c>
      <c r="M887" s="2">
        <f>HYPERLINK("https://ru.wikipedia.org/w/index.php?search=%D0%93%D0%BE%D1%81%D1%82%D1%8C%201987%20%D1%84%D0%B8%D0%BB%D1%8C%D0%BC","искать")</f>
        <v/>
      </c>
      <c r="N887" s="3" t="n"/>
      <c r="O887" s="2" t="n"/>
    </row>
    <row r="888">
      <c r="A888" s="2" t="n">
        <v>887</v>
      </c>
      <c r="B888" s="2" t="inlineStr">
        <is>
          <t>не сюжет</t>
        </is>
      </c>
      <c r="C888" s="2" t="n">
        <v>10006</v>
      </c>
      <c r="D888" s="3" t="inlineStr">
        <is>
          <t>Доброе утро</t>
        </is>
      </c>
      <c r="E888" s="2" t="n">
        <v>1985</v>
      </c>
      <c r="F888" s="2" t="inlineStr">
        <is>
          <t>телефильм</t>
        </is>
      </c>
      <c r="G888" s="2" t="inlineStr">
        <is>
          <t>студия т/ф “Ереван”</t>
        </is>
      </c>
      <c r="H888" s="2" t="n">
        <v>73</v>
      </c>
      <c r="I888" s="2" t="inlineStr"/>
      <c r="J888" s="2" t="inlineStr">
        <is>
          <t>да</t>
        </is>
      </c>
      <c r="K888" s="3" t="inlineStr">
        <is>
          <t>О старом правдолюбе, который пытается найти истину во что бы то ни стало.</t>
        </is>
      </c>
      <c r="L888" s="2" t="inlineStr">
        <is>
          <t>https://www.kino-teatr.ru/short/movie/sov/11072/annot/</t>
        </is>
      </c>
      <c r="M888" s="2">
        <f>HYPERLINK("https://ru.wikipedia.org/w/index.php?search=%D0%94%D0%BE%D0%B1%D1%80%D0%BE%D0%B5%20%D1%83%D1%82%D1%80%D0%BE%201985%20%D1%84%D0%B8%D0%BB%D1%8C%D0%BC","искать")</f>
        <v/>
      </c>
      <c r="N888" s="3" t="n"/>
      <c r="O888" s="2" t="n"/>
    </row>
    <row r="889">
      <c r="A889" s="2" t="n">
        <v>888</v>
      </c>
      <c r="B889" s="2" t="inlineStr">
        <is>
          <t>не сюжет</t>
        </is>
      </c>
      <c r="C889" s="2" t="n">
        <v>10180</v>
      </c>
      <c r="D889" s="3" t="inlineStr">
        <is>
          <t>Авиньонские любовники</t>
        </is>
      </c>
      <c r="E889" s="2" t="n">
        <v>1967</v>
      </c>
      <c r="F889" s="2" t="inlineStr">
        <is>
          <t>фильм-спектакль</t>
        </is>
      </c>
      <c r="G889" s="2" t="inlineStr">
        <is>
          <t>Центральное телевидение</t>
        </is>
      </c>
      <c r="H889" s="2" t="n">
        <v>73</v>
      </c>
      <c r="I889" s="2" t="inlineStr"/>
      <c r="J889" s="2" t="inlineStr">
        <is>
          <t>да</t>
        </is>
      </c>
      <c r="K889" s="3" t="inlineStr">
        <is>
          <t>По повести Эльзы Триоле (1943).
Об участниках французского Сопротивления.</t>
        </is>
      </c>
      <c r="L889" s="2" t="inlineStr">
        <is>
          <t>https://www.kino-teatr.ru/teatr/movie/136634/annot/</t>
        </is>
      </c>
      <c r="M889" s="2">
        <f>HYPERLINK("https://ru.wikipedia.org/w/index.php?search=%D0%90%D0%B2%D0%B8%D0%BD%D1%8C%D0%BE%D0%BD%D1%81%D0%BA%D0%B8%D0%B5%20%D0%BB%D1%8E%D0%B1%D0%BE%D0%B2%D0%BD%D0%B8%D0%BA%D0%B8%201967%20%D1%84%D0%B8%D0%BB%D1%8C%D0%BC","искать")</f>
        <v/>
      </c>
      <c r="N889" s="3" t="n"/>
      <c r="O889" s="2" t="n"/>
    </row>
    <row r="890">
      <c r="A890" s="2" t="n">
        <v>889</v>
      </c>
      <c r="B890" s="2" t="inlineStr">
        <is>
          <t>не сюжет</t>
        </is>
      </c>
      <c r="C890" s="2" t="n">
        <v>10277</v>
      </c>
      <c r="D890" s="3" t="inlineStr">
        <is>
          <t>Три года</t>
        </is>
      </c>
      <c r="E890" s="2" t="n">
        <v>1968</v>
      </c>
      <c r="F890" s="2" t="inlineStr">
        <is>
          <t>фильм-спектакль</t>
        </is>
      </c>
      <c r="G890" s="2" t="inlineStr">
        <is>
          <t>Ленинградское телевидение</t>
        </is>
      </c>
      <c r="H890" s="2" t="n">
        <v>73</v>
      </c>
      <c r="I890" s="2" t="inlineStr"/>
      <c r="J890" s="2" t="inlineStr">
        <is>
          <t>да</t>
        </is>
      </c>
      <c r="K890" s="3" t="inlineStr">
        <is>
          <t>Телеспектакль по повести А. П. Чехова "Три года. Сцены из семейной жизни"</t>
        </is>
      </c>
      <c r="L890" s="2" t="inlineStr">
        <is>
          <t>https://www.kino-teatr.ru/teatr/movie/92988/annot/</t>
        </is>
      </c>
      <c r="M890" s="2">
        <f>HYPERLINK("https://ru.wikipedia.org/w/index.php?search=%D0%A2%D1%80%D0%B8%20%D0%B3%D0%BE%D0%B4%D0%B0%201968%20%D1%84%D0%B8%D0%BB%D1%8C%D0%BC","искать")</f>
        <v/>
      </c>
      <c r="N890" s="3" t="n"/>
      <c r="O890" s="2" t="n"/>
    </row>
    <row r="891">
      <c r="A891" s="2" t="n">
        <v>890</v>
      </c>
      <c r="B891" s="2" t="inlineStr">
        <is>
          <t>не сюжет</t>
        </is>
      </c>
      <c r="C891" s="2" t="n">
        <v>10281</v>
      </c>
      <c r="D891" s="3" t="inlineStr">
        <is>
          <t>Юморески Валентина Катаева</t>
        </is>
      </c>
      <c r="E891" s="2" t="n">
        <v>1968</v>
      </c>
      <c r="F891" s="2" t="inlineStr">
        <is>
          <t>фильм-спектакль</t>
        </is>
      </c>
      <c r="G891" s="2" t="inlineStr">
        <is>
          <t>Ленинградское Телевидение</t>
        </is>
      </c>
      <c r="H891" s="2" t="n">
        <v>73</v>
      </c>
      <c r="I891" s="2" t="inlineStr"/>
      <c r="J891" s="2" t="inlineStr">
        <is>
          <t>да</t>
        </is>
      </c>
      <c r="K891" s="3" t="inlineStr">
        <is>
          <t>По рассказам В.Катаева "Дневник горького пьяницы", "Шубка" и "Жемчужина".</t>
        </is>
      </c>
      <c r="L891" s="2" t="inlineStr">
        <is>
          <t>https://www.kino-teatr.ru/teatr/movie/86513/annot/</t>
        </is>
      </c>
      <c r="M891" s="2">
        <f>HYPERLINK("https://ru.wikipedia.org/w/index.php?search=%D0%AE%D0%BC%D0%BE%D1%80%D0%B5%D1%81%D0%BA%D0%B8%20%D0%92%D0%B0%D0%BB%D0%B5%D0%BD%D1%82%D0%B8%D0%BD%D0%B0%20%D0%9A%D0%B0%D1%82%D0%B0%D0%B5%D0%B2%D0%B0%201968%20%D1%84%D0%B8%D0%BB%D1%8C%D0%BC","искать")</f>
        <v/>
      </c>
      <c r="N891" s="3" t="n"/>
      <c r="O891" s="2" t="n"/>
    </row>
    <row r="892">
      <c r="A892" s="2" t="n">
        <v>891</v>
      </c>
      <c r="B892" s="2" t="inlineStr">
        <is>
          <t>не сюжет</t>
        </is>
      </c>
      <c r="C892" s="2" t="n">
        <v>10979</v>
      </c>
      <c r="D892" s="3" t="inlineStr">
        <is>
          <t>В городе, Вински!</t>
        </is>
      </c>
      <c r="E892" s="2" t="n">
        <v>1983</v>
      </c>
      <c r="F892" s="2" t="inlineStr">
        <is>
          <t>фильм-спектакль</t>
        </is>
      </c>
      <c r="G892" s="2" t="inlineStr">
        <is>
          <t>Эстонское телевидение (ETV)</t>
        </is>
      </c>
      <c r="H892" s="2" t="n">
        <v>73</v>
      </c>
      <c r="I892" s="2" t="inlineStr"/>
      <c r="J892" s="2" t="inlineStr">
        <is>
          <t>да</t>
        </is>
      </c>
      <c r="K892" s="3" t="inlineStr">
        <is>
          <t>Поставлен по произведениям финского писателя Симо Пууппонена (1915-1967).</t>
        </is>
      </c>
      <c r="L892" s="2" t="inlineStr">
        <is>
          <t>https://www.kino-teatr.ru/teatr/movie/89017/annot/</t>
        </is>
      </c>
      <c r="M892" s="2">
        <f>HYPERLINK("https://ru.wikipedia.org/w/index.php?search=%D0%92%20%D0%B3%D0%BE%D1%80%D0%BE%D0%B4%D0%B5%2C%20%D0%92%D0%B8%D0%BD%D1%81%D0%BA%D0%B8%21%201983%20%D1%84%D0%B8%D0%BB%D1%8C%D0%BC","искать")</f>
        <v/>
      </c>
      <c r="N892" s="3" t="n"/>
      <c r="O892" s="2" t="n"/>
    </row>
    <row r="893">
      <c r="A893" s="2" t="n">
        <v>892</v>
      </c>
      <c r="B893" s="2" t="inlineStr">
        <is>
          <t>не сюжет</t>
        </is>
      </c>
      <c r="C893" s="2" t="n">
        <v>11061</v>
      </c>
      <c r="D893" s="3" t="inlineStr">
        <is>
          <t>Искупление</t>
        </is>
      </c>
      <c r="E893" s="2" t="n">
        <v>1985</v>
      </c>
      <c r="F893" s="2" t="inlineStr">
        <is>
          <t>фильм-спектакль</t>
        </is>
      </c>
      <c r="G893" s="2" t="inlineStr">
        <is>
          <t>Укртелефильм</t>
        </is>
      </c>
      <c r="H893" s="2" t="n">
        <v>73</v>
      </c>
      <c r="I893" s="2" t="inlineStr"/>
      <c r="J893" s="2" t="inlineStr">
        <is>
          <t>да</t>
        </is>
      </c>
      <c r="K893" s="3" t="inlineStr">
        <is>
          <t>По мотивам оперы М. Вериковского, поэмы и повести Т. Шевченко "Наймичка".</t>
        </is>
      </c>
      <c r="L893" s="2" t="inlineStr">
        <is>
          <t>https://www.kino-teatr.ru/teatr/movie/93232/annot/</t>
        </is>
      </c>
      <c r="M893" s="2">
        <f>HYPERLINK("https://ru.wikipedia.org/w/index.php?search=%D0%98%D1%81%D0%BA%D1%83%D0%BF%D0%BB%D0%B5%D0%BD%D0%B8%D0%B5%201985%20%D1%84%D0%B8%D0%BB%D1%8C%D0%BC","искать")</f>
        <v/>
      </c>
      <c r="N893" s="3" t="n"/>
      <c r="O893" s="2" t="n"/>
    </row>
    <row r="894">
      <c r="A894" s="2" t="n">
        <v>893</v>
      </c>
      <c r="B894" s="2" t="inlineStr">
        <is>
          <t>не сюжет</t>
        </is>
      </c>
      <c r="C894" s="2" t="n">
        <v>11336</v>
      </c>
      <c r="D894" s="3" t="inlineStr">
        <is>
          <t>Грех лицедейства</t>
        </is>
      </c>
      <c r="E894" s="2" t="n">
        <v>1991</v>
      </c>
      <c r="F894" s="2" t="inlineStr">
        <is>
          <t>фильм-спектакль</t>
        </is>
      </c>
      <c r="G894" s="2" t="inlineStr">
        <is>
          <t>ТО "Экран", Беларусьфильм</t>
        </is>
      </c>
      <c r="H894" s="2" t="n">
        <v>73</v>
      </c>
      <c r="I894" s="2" t="inlineStr"/>
      <c r="J894" s="2" t="inlineStr">
        <is>
          <t>да</t>
        </is>
      </c>
      <c r="K894" s="3" t="inlineStr">
        <is>
          <t>По пьесам Ф.Дюренматта и Ж.Ануйя.
Из закулисной жизни театральной богемы.</t>
        </is>
      </c>
      <c r="L894" s="2" t="inlineStr">
        <is>
          <t>https://www.kino-teatr.ru/teatr/movie/9235/annot/</t>
        </is>
      </c>
      <c r="M894" s="2">
        <f>HYPERLINK("https://ru.wikipedia.org/w/index.php?search=%D0%93%D1%80%D0%B5%D1%85%20%D0%BB%D0%B8%D1%86%D0%B5%D0%B4%D0%B5%D0%B9%D1%81%D1%82%D0%B2%D0%B0%201991%20%D1%84%D0%B8%D0%BB%D1%8C%D0%BC","искать")</f>
        <v/>
      </c>
      <c r="N894" s="3" t="n"/>
      <c r="O894" s="2" t="n"/>
    </row>
    <row r="895">
      <c r="A895" s="2" t="n">
        <v>894</v>
      </c>
      <c r="B895" s="2" t="inlineStr">
        <is>
          <t>не сюжет</t>
        </is>
      </c>
      <c r="C895" s="2" t="n">
        <v>7375</v>
      </c>
      <c r="D895" s="3" t="inlineStr">
        <is>
          <t>Воскресный музыкант</t>
        </is>
      </c>
      <c r="E895" s="2" t="n">
        <v>1972</v>
      </c>
      <c r="F895" s="2" t="inlineStr">
        <is>
          <t>телефильм</t>
        </is>
      </c>
      <c r="G895" s="2" t="inlineStr">
        <is>
          <t>ТО «Экран»</t>
        </is>
      </c>
      <c r="H895" s="2" t="n">
        <v>74</v>
      </c>
      <c r="I895" s="2" t="inlineStr"/>
      <c r="J895" s="2" t="inlineStr">
        <is>
          <t>да</t>
        </is>
      </c>
      <c r="K895" s="3" t="inlineStr">
        <is>
          <t>Посвящен жизни и творчеству русского композитора А.П.Бородина (1833-1887).</t>
        </is>
      </c>
      <c r="L895" s="2" t="inlineStr">
        <is>
          <t>Кино_СССР сводный каталог.xlsx: список телефильмов</t>
        </is>
      </c>
      <c r="M895" s="2">
        <f>HYPERLINK("https://ru.wikipedia.org/w/index.php?search=%D0%92%D0%BE%D1%81%D0%BA%D1%80%D0%B5%D1%81%D0%BD%D1%8B%D0%B9%20%D0%BC%D1%83%D0%B7%D1%8B%D0%BA%D0%B0%D0%BD%D1%82%201972%20%D1%84%D0%B8%D0%BB%D1%8C%D0%BC","искать")</f>
        <v/>
      </c>
      <c r="N895" s="3" t="n"/>
      <c r="O895" s="2" t="n"/>
    </row>
    <row r="896">
      <c r="A896" s="2" t="n">
        <v>895</v>
      </c>
      <c r="B896" s="2" t="inlineStr">
        <is>
          <t>не сюжет</t>
        </is>
      </c>
      <c r="C896" s="2" t="n">
        <v>9552</v>
      </c>
      <c r="D896" s="3" t="inlineStr">
        <is>
          <t>Пламенеющий остров</t>
        </is>
      </c>
      <c r="E896" s="2" t="n">
        <v>1926</v>
      </c>
      <c r="F896" s="2" t="inlineStr">
        <is>
          <t>кинофильм</t>
        </is>
      </c>
      <c r="G896" s="2" t="n"/>
      <c r="H896" s="2" t="n">
        <v>74</v>
      </c>
      <c r="I896" s="2" t="inlineStr"/>
      <c r="J896" s="2" t="inlineStr">
        <is>
          <t>да</t>
        </is>
      </c>
      <c r="K896" s="3" t="inlineStr">
        <is>
          <t>Вторая серия фильма "Декабристы" (1926). Фильм не завершен, не сохранился.</t>
        </is>
      </c>
      <c r="L896" s="2" t="inlineStr">
        <is>
          <t>Кино_СССР сводный каталог.xlsx: список фильмов (доп.)</t>
        </is>
      </c>
      <c r="M896" s="2">
        <f>HYPERLINK("https://ru.wikipedia.org/w/index.php?search=%D0%9F%D0%BB%D0%B0%D0%BC%D0%B5%D0%BD%D0%B5%D1%8E%D1%89%D0%B8%D0%B9%20%D0%BE%D1%81%D1%82%D1%80%D0%BE%D0%B2%201926%20%D1%84%D0%B8%D0%BB%D1%8C%D0%BC","искать")</f>
        <v/>
      </c>
      <c r="N896" s="3" t="n"/>
      <c r="O896" s="2" t="n"/>
    </row>
    <row r="897">
      <c r="A897" s="2" t="n">
        <v>896</v>
      </c>
      <c r="B897" s="2" t="inlineStr">
        <is>
          <t>не сюжет</t>
        </is>
      </c>
      <c r="C897" s="2" t="n">
        <v>10120</v>
      </c>
      <c r="D897" s="3" t="inlineStr">
        <is>
          <t>Голубой огонёк 1964</t>
        </is>
      </c>
      <c r="E897" s="2" t="n">
        <v>1964</v>
      </c>
      <c r="F897" s="2" t="inlineStr">
        <is>
          <t>фильм-спектакль</t>
        </is>
      </c>
      <c r="G897" s="2" t="inlineStr">
        <is>
          <t>Центральная студия телевидения</t>
        </is>
      </c>
      <c r="H897" s="2" t="n">
        <v>74</v>
      </c>
      <c r="I897" s="2" t="inlineStr"/>
      <c r="J897" s="2" t="inlineStr">
        <is>
          <t>да</t>
        </is>
      </c>
      <c r="K897" s="3" t="inlineStr">
        <is>
          <t>Праздничный "Голубой огонёк" 1964 года с участием звезд советской эстрады.</t>
        </is>
      </c>
      <c r="L897" s="2" t="inlineStr">
        <is>
          <t>https://www.kino-teatr.ru/teatr/movie/103732/annot/</t>
        </is>
      </c>
      <c r="M897" s="2">
        <f>HYPERLINK("https://ru.wikipedia.org/w/index.php?search=%D0%93%D0%BE%D0%BB%D1%83%D0%B1%D0%BE%D0%B9%20%D0%BE%D0%B3%D0%BE%D0%BD%D1%91%D0%BA%201964%201964%20%D1%84%D0%B8%D0%BB%D1%8C%D0%BC","искать")</f>
        <v/>
      </c>
      <c r="N897" s="3" t="n"/>
      <c r="O897" s="2" t="n"/>
    </row>
    <row r="898">
      <c r="A898" s="2" t="n">
        <v>897</v>
      </c>
      <c r="B898" s="2" t="inlineStr">
        <is>
          <t>не сюжет</t>
        </is>
      </c>
      <c r="C898" s="2" t="n">
        <v>11044</v>
      </c>
      <c r="D898" s="3" t="inlineStr">
        <is>
          <t>Три сестры</t>
        </is>
      </c>
      <c r="E898" s="2" t="n">
        <v>1984</v>
      </c>
      <c r="F898" s="2" t="inlineStr">
        <is>
          <t>фильм-спектакль</t>
        </is>
      </c>
      <c r="G898" s="2" t="inlineStr">
        <is>
          <t>ТО “Экран”</t>
        </is>
      </c>
      <c r="H898" s="2" t="n">
        <v>74</v>
      </c>
      <c r="I898" s="2" t="inlineStr"/>
      <c r="J898" s="2" t="inlineStr">
        <is>
          <t>да</t>
        </is>
      </c>
      <c r="K898" s="3" t="inlineStr">
        <is>
          <t>Постановка Московского художественного академического театра им. Горького.</t>
        </is>
      </c>
      <c r="L898" s="2" t="inlineStr">
        <is>
          <t>https://www.kino-teatr.ru/teatr/movie/16546/annot/</t>
        </is>
      </c>
      <c r="M898" s="2">
        <f>HYPERLINK("https://ru.wikipedia.org/w/index.php?search=%D0%A2%D1%80%D0%B8%20%D1%81%D0%B5%D1%81%D1%82%D1%80%D1%8B%201984%20%D1%84%D0%B8%D0%BB%D1%8C%D0%BC","искать")</f>
        <v/>
      </c>
      <c r="N898" s="3" t="n"/>
      <c r="O898" s="2" t="n"/>
    </row>
    <row r="899">
      <c r="A899" s="2" t="n">
        <v>898</v>
      </c>
      <c r="B899" s="2" t="inlineStr">
        <is>
          <t>не сюжет</t>
        </is>
      </c>
      <c r="C899" s="2" t="n">
        <v>11186</v>
      </c>
      <c r="D899" s="3" t="inlineStr">
        <is>
          <t>Король Лир (1987, 1989)</t>
        </is>
      </c>
      <c r="E899" s="2" t="n">
        <v>1987</v>
      </c>
      <c r="F899" s="2" t="inlineStr">
        <is>
          <t>фильм-спектакль</t>
        </is>
      </c>
      <c r="G899" s="2" t="n"/>
      <c r="H899" s="2" t="n">
        <v>74</v>
      </c>
      <c r="I899" s="2" t="inlineStr"/>
      <c r="J899" s="2" t="inlineStr">
        <is>
          <t>да</t>
        </is>
      </c>
      <c r="K899" s="3" t="inlineStr">
        <is>
          <t>Пьеса Уильяма Шекспира в постановке Тбилисского театра им. Шота Руставели.</t>
        </is>
      </c>
      <c r="L899" s="2" t="inlineStr">
        <is>
          <t>https://www.kino-teatr.ru/teatr/movie/86312/annot/</t>
        </is>
      </c>
      <c r="M899" s="2">
        <f>HYPERLINK("https://ru.wikipedia.org/w/index.php?search=%D0%9A%D0%BE%D1%80%D0%BE%D0%BB%D1%8C%20%D0%9B%D0%B8%D1%80%20%281987%2C%201989%29%201987%20%D1%84%D0%B8%D0%BB%D1%8C%D0%BC","искать")</f>
        <v/>
      </c>
      <c r="N899" s="3" t="n"/>
      <c r="O899" s="2" t="n"/>
    </row>
    <row r="900">
      <c r="A900" s="2" t="n">
        <v>899</v>
      </c>
      <c r="B900" s="2" t="inlineStr">
        <is>
          <t>не сюжет</t>
        </is>
      </c>
      <c r="C900" s="2" t="n">
        <v>7921</v>
      </c>
      <c r="D900" s="3" t="inlineStr">
        <is>
          <t>Мы хотим танцевать</t>
        </is>
      </c>
      <c r="E900" s="2" t="n">
        <v>1973</v>
      </c>
      <c r="F900" s="2" t="inlineStr">
        <is>
          <t>телефильм</t>
        </is>
      </c>
      <c r="G900" s="2" t="n"/>
      <c r="H900" s="2" t="n">
        <v>75</v>
      </c>
      <c r="I900" s="2" t="inlineStr"/>
      <c r="J900" s="2" t="inlineStr">
        <is>
          <t>да</t>
        </is>
      </c>
      <c r="K900" s="3" t="inlineStr">
        <is>
          <t>Фрагменты из оперетт в исполнении актеров Ленинградского театра музкомедии.</t>
        </is>
      </c>
      <c r="L900" s="2" t="inlineStr">
        <is>
          <t>Кино_СССР сводный каталог.xlsx: список телефильмов</t>
        </is>
      </c>
      <c r="M900" s="2">
        <f>HYPERLINK("https://ru.wikipedia.org/w/index.php?search=%D0%9C%D1%8B%20%D1%85%D0%BE%D1%82%D0%B8%D0%BC%20%D1%82%D0%B0%D0%BD%D1%86%D0%B5%D0%B2%D0%B0%D1%82%D1%8C%201973%20%D1%84%D0%B8%D0%BB%D1%8C%D0%BC","искать")</f>
        <v/>
      </c>
      <c r="N900" s="3" t="n"/>
      <c r="O900" s="2" t="n"/>
    </row>
    <row r="901">
      <c r="A901" s="2" t="n">
        <v>900</v>
      </c>
      <c r="B901" s="2" t="inlineStr">
        <is>
          <t>не сюжет</t>
        </is>
      </c>
      <c r="C901" s="2" t="n">
        <v>10079</v>
      </c>
      <c r="D901" s="3" t="inlineStr">
        <is>
          <t>На сон грядущий</t>
        </is>
      </c>
      <c r="E901" s="2" t="n">
        <v>1960</v>
      </c>
      <c r="F901" s="2" t="inlineStr">
        <is>
          <t>фильм-спектакль</t>
        </is>
      </c>
      <c r="G901" s="2" t="inlineStr">
        <is>
          <t>Центральное телевидение</t>
        </is>
      </c>
      <c r="H901" s="2" t="n">
        <v>75</v>
      </c>
      <c r="I901" s="2" t="inlineStr"/>
      <c r="J901" s="2" t="inlineStr">
        <is>
          <t>да</t>
        </is>
      </c>
      <c r="K901" s="3" t="inlineStr">
        <is>
          <t>Театрализованные миниатюры в исполнении Аркадия Райкина и артистов эстрады.</t>
        </is>
      </c>
      <c r="L901" s="2" t="inlineStr">
        <is>
          <t>https://www.kino-teatr.ru/teatr/movie/101266/annot/</t>
        </is>
      </c>
      <c r="M901" s="2">
        <f>HYPERLINK("https://ru.wikipedia.org/w/index.php?search=%D0%9D%D0%B0%20%D1%81%D0%BE%D0%BD%20%D0%B3%D1%80%D1%8F%D0%B4%D1%83%D1%89%D0%B8%D0%B9%201960%20%D1%84%D0%B8%D0%BB%D1%8C%D0%BC","искать")</f>
        <v/>
      </c>
      <c r="N901" s="3" t="n"/>
      <c r="O901" s="2" t="n"/>
    </row>
    <row r="902">
      <c r="A902" s="2" t="n">
        <v>901</v>
      </c>
      <c r="B902" s="2" t="inlineStr">
        <is>
          <t>не сюжет</t>
        </is>
      </c>
      <c r="C902" s="2" t="n">
        <v>10497</v>
      </c>
      <c r="D902" s="3" t="inlineStr">
        <is>
          <t>Дорогой мальчик</t>
        </is>
      </c>
      <c r="E902" s="2" t="n">
        <v>1973</v>
      </c>
      <c r="F902" s="2" t="inlineStr">
        <is>
          <t>фильм-спектакль</t>
        </is>
      </c>
      <c r="G902" s="2" t="inlineStr">
        <is>
          <t>Центральное телевидение</t>
        </is>
      </c>
      <c r="H902" s="2" t="n">
        <v>75</v>
      </c>
      <c r="I902" s="2" t="inlineStr"/>
      <c r="J902" s="2" t="inlineStr">
        <is>
          <t>да</t>
        </is>
      </c>
      <c r="K902" s="3" t="inlineStr">
        <is>
          <t>Телеверсия спектакля Московского театра юного зрителя по пьесе С.Михалкова.</t>
        </is>
      </c>
      <c r="L902" s="2" t="inlineStr">
        <is>
          <t>https://www.kino-teatr.ru/teatr/movie/92520/annot/</t>
        </is>
      </c>
      <c r="M902" s="2">
        <f>HYPERLINK("https://ru.wikipedia.org/w/index.php?search=%D0%94%D0%BE%D1%80%D0%BE%D0%B3%D0%BE%D0%B9%20%D0%BC%D0%B0%D0%BB%D1%8C%D1%87%D0%B8%D0%BA%201973%20%D1%84%D0%B8%D0%BB%D1%8C%D0%BC","искать")</f>
        <v/>
      </c>
      <c r="N902" s="3" t="n"/>
      <c r="O902" s="2" t="n"/>
    </row>
    <row r="903">
      <c r="A903" s="2" t="n">
        <v>902</v>
      </c>
      <c r="B903" s="2" t="inlineStr">
        <is>
          <t>не сюжет</t>
        </is>
      </c>
      <c r="C903" s="2" t="n">
        <v>10693</v>
      </c>
      <c r="D903" s="3" t="inlineStr">
        <is>
          <t>Лишний день в июне</t>
        </is>
      </c>
      <c r="E903" s="2" t="n">
        <v>1977</v>
      </c>
      <c r="F903" s="2" t="inlineStr">
        <is>
          <t>фильм-спектакль</t>
        </is>
      </c>
      <c r="G903" s="2" t="inlineStr">
        <is>
          <t>Ленинградское телевидение</t>
        </is>
      </c>
      <c r="H903" s="2" t="n">
        <v>75</v>
      </c>
      <c r="I903" s="2" t="inlineStr"/>
      <c r="J903" s="2" t="inlineStr">
        <is>
          <t>да</t>
        </is>
      </c>
      <c r="K903" s="3" t="inlineStr">
        <is>
          <t>По повести "31 июня" Д.Б.Пристли.
Видеозапись телеспектакля не сохранилась.</t>
        </is>
      </c>
      <c r="L903" s="2" t="inlineStr">
        <is>
          <t>https://www.kino-teatr.ru/teatr/movie/16631/annot/</t>
        </is>
      </c>
      <c r="M903" s="2">
        <f>HYPERLINK("https://ru.wikipedia.org/w/index.php?search=%D0%9B%D0%B8%D1%88%D0%BD%D0%B8%D0%B9%20%D0%B4%D0%B5%D0%BD%D1%8C%20%D0%B2%20%D0%B8%D1%8E%D0%BD%D0%B5%201977%20%D1%84%D0%B8%D0%BB%D1%8C%D0%BC","искать")</f>
        <v/>
      </c>
      <c r="N903" s="3" t="n"/>
      <c r="O903" s="2" t="n"/>
    </row>
    <row r="904">
      <c r="A904" s="2" t="n">
        <v>903</v>
      </c>
      <c r="B904" s="2" t="inlineStr">
        <is>
          <t>не сюжет</t>
        </is>
      </c>
      <c r="C904" s="2" t="n">
        <v>11000</v>
      </c>
      <c r="D904" s="3" t="inlineStr">
        <is>
          <t>Неуловимое чудо</t>
        </is>
      </c>
      <c r="E904" s="2" t="n">
        <v>1983</v>
      </c>
      <c r="F904" s="2" t="inlineStr">
        <is>
          <t>фильм-спектакль</t>
        </is>
      </c>
      <c r="G904" s="2" t="inlineStr">
        <is>
          <t>Эстонское телевидение</t>
        </is>
      </c>
      <c r="H904" s="2" t="n">
        <v>75</v>
      </c>
      <c r="I904" s="2" t="inlineStr"/>
      <c r="J904" s="2" t="inlineStr">
        <is>
          <t>да</t>
        </is>
      </c>
      <c r="K904" s="3" t="inlineStr">
        <is>
          <t>Экранизация пьесы классика эстонской литературы Эдуарда Вильде (1865-1933).</t>
        </is>
      </c>
      <c r="L904" s="2" t="inlineStr">
        <is>
          <t>https://www.kino-teatr.ru/teatr/movie/87598/annot/</t>
        </is>
      </c>
      <c r="M904" s="2">
        <f>HYPERLINK("https://ru.wikipedia.org/w/index.php?search=%D0%9D%D0%B5%D1%83%D0%BB%D0%BE%D0%B2%D0%B8%D0%BC%D0%BE%D0%B5%20%D1%87%D1%83%D0%B4%D0%BE%201983%20%D1%84%D0%B8%D0%BB%D1%8C%D0%BC","искать")</f>
        <v/>
      </c>
      <c r="N904" s="3" t="n"/>
      <c r="O904" s="2" t="n"/>
    </row>
    <row r="905">
      <c r="A905" s="2" t="n">
        <v>904</v>
      </c>
      <c r="B905" s="2" t="inlineStr">
        <is>
          <t>не сюжет</t>
        </is>
      </c>
      <c r="C905" s="2" t="n">
        <v>11013</v>
      </c>
      <c r="D905" s="3" t="inlineStr">
        <is>
          <t>Тамбовская казначейша</t>
        </is>
      </c>
      <c r="E905" s="2" t="n">
        <v>1983</v>
      </c>
      <c r="F905" s="2" t="inlineStr">
        <is>
          <t>фильм-спектакль</t>
        </is>
      </c>
      <c r="G905" s="2" t="inlineStr">
        <is>
          <t>Творческое объединение "Экран"</t>
        </is>
      </c>
      <c r="H905" s="2" t="n">
        <v>75</v>
      </c>
      <c r="I905" s="2" t="inlineStr"/>
      <c r="J905" s="2" t="inlineStr">
        <is>
          <t>да</t>
        </is>
      </c>
      <c r="K905" s="3" t="inlineStr">
        <is>
          <t>Поэму М.Ю. Лермонтова "Тамбовская казначейша" читает артист Михаил Козаков.</t>
        </is>
      </c>
      <c r="L905" s="2" t="inlineStr">
        <is>
          <t>https://www.kino-teatr.ru/teatr/movie/113552/annot/</t>
        </is>
      </c>
      <c r="M905" s="2">
        <f>HYPERLINK("https://ru.wikipedia.org/w/index.php?search=%D0%A2%D0%B0%D0%BC%D0%B1%D0%BE%D0%B2%D1%81%D0%BA%D0%B0%D1%8F%20%D0%BA%D0%B0%D0%B7%D0%BD%D0%B0%D1%87%D0%B5%D0%B9%D1%88%D0%B0%201983%20%D1%84%D0%B8%D0%BB%D1%8C%D0%BC","искать")</f>
        <v/>
      </c>
      <c r="N905" s="3" t="n"/>
      <c r="O905" s="2" t="n"/>
    </row>
    <row r="906">
      <c r="A906" s="2" t="n">
        <v>905</v>
      </c>
      <c r="B906" s="2" t="inlineStr">
        <is>
          <t>не сюжет</t>
        </is>
      </c>
      <c r="C906" s="2" t="n">
        <v>11016</v>
      </c>
      <c r="D906" s="3" t="inlineStr">
        <is>
          <t>Уходя на пенсию, не гасите свет</t>
        </is>
      </c>
      <c r="E906" s="2" t="n">
        <v>1983</v>
      </c>
      <c r="F906" s="2" t="inlineStr">
        <is>
          <t>фильм-спектакль</t>
        </is>
      </c>
      <c r="G906" s="2" t="inlineStr">
        <is>
          <t>Телевидение Армении</t>
        </is>
      </c>
      <c r="H906" s="2" t="n">
        <v>75</v>
      </c>
      <c r="I906" s="2" t="inlineStr"/>
      <c r="J906" s="2" t="inlineStr">
        <is>
          <t>да</t>
        </is>
      </c>
      <c r="K906" s="3" t="inlineStr">
        <is>
          <t>Թոշակի անցնելիս՝ լույսը մի մարեք
Комедия о перепетиях четверых пенсионеров.</t>
        </is>
      </c>
      <c r="L906" s="2" t="inlineStr">
        <is>
          <t>https://www.kino-teatr.ru/teatr/movie/153099/annot/</t>
        </is>
      </c>
      <c r="M906" s="2">
        <f>HYPERLINK("https://ru.wikipedia.org/w/index.php?search=%D0%A3%D1%85%D0%BE%D0%B4%D1%8F%20%D0%BD%D0%B0%20%D0%BF%D0%B5%D0%BD%D1%81%D0%B8%D1%8E%2C%20%D0%BD%D0%B5%20%D0%B3%D0%B0%D1%81%D0%B8%D1%82%D0%B5%20%D1%81%D0%B2%D0%B5%D1%82%201983%20%D1%84%D0%B8%D0%BB%D1%8C%D0%BC","искать")</f>
        <v/>
      </c>
      <c r="N906" s="3" t="n"/>
      <c r="O906" s="2" t="n"/>
    </row>
    <row r="907">
      <c r="A907" s="2" t="n">
        <v>906</v>
      </c>
      <c r="B907" s="2" t="inlineStr">
        <is>
          <t>не сюжет</t>
        </is>
      </c>
      <c r="C907" s="2" t="n">
        <v>10201</v>
      </c>
      <c r="D907" s="3" t="inlineStr">
        <is>
          <t>Кровавая свадьба</t>
        </is>
      </c>
      <c r="E907" s="2" t="n">
        <v>1967</v>
      </c>
      <c r="F907" s="2" t="inlineStr">
        <is>
          <t>фильм-спектакль</t>
        </is>
      </c>
      <c r="G907" s="2" t="inlineStr">
        <is>
          <t>Ленинградское телевидение</t>
        </is>
      </c>
      <c r="H907" s="2" t="n">
        <v>76</v>
      </c>
      <c r="I907" s="2" t="inlineStr"/>
      <c r="J907" s="2" t="inlineStr">
        <is>
          <t>да</t>
        </is>
      </c>
      <c r="K907" s="3" t="inlineStr">
        <is>
          <t>По одноименной трагедии испанского поэта и драматурга Федерико Гарсиа Лорки.</t>
        </is>
      </c>
      <c r="L907" s="2" t="inlineStr">
        <is>
          <t>https://www.kino-teatr.ru/teatr/movie/17363/annot/</t>
        </is>
      </c>
      <c r="M907" s="2">
        <f>HYPERLINK("https://ru.wikipedia.org/w/index.php?search=%D0%9A%D1%80%D0%BE%D0%B2%D0%B0%D0%B2%D0%B0%D1%8F%20%D1%81%D0%B2%D0%B0%D0%B4%D1%8C%D0%B1%D0%B0%201967%20%D1%84%D0%B8%D0%BB%D1%8C%D0%BC","искать")</f>
        <v/>
      </c>
      <c r="N907" s="3" t="n"/>
      <c r="O907" s="2" t="n"/>
    </row>
    <row r="908">
      <c r="A908" s="2" t="n">
        <v>907</v>
      </c>
      <c r="B908" s="2" t="inlineStr">
        <is>
          <t>не сюжет</t>
        </is>
      </c>
      <c r="C908" s="2" t="n">
        <v>10382</v>
      </c>
      <c r="D908" s="3" t="inlineStr">
        <is>
          <t>Вальпургиева ночь (фильм-балет)</t>
        </is>
      </c>
      <c r="E908" s="2" t="n">
        <v>1971</v>
      </c>
      <c r="F908" s="2" t="inlineStr">
        <is>
          <t>фильм-спектакль</t>
        </is>
      </c>
      <c r="G908" s="2" t="n"/>
      <c r="H908" s="2" t="n">
        <v>76</v>
      </c>
      <c r="I908" s="2" t="inlineStr"/>
      <c r="J908" s="2" t="inlineStr">
        <is>
          <t>да</t>
        </is>
      </c>
      <c r="K908" s="3" t="inlineStr">
        <is>
          <t>Хореографическая картина из оперы Ш.Гуно "Фауст".
Хореография Л.Лавровского.</t>
        </is>
      </c>
      <c r="L908" s="2" t="inlineStr">
        <is>
          <t>https://www.kino-teatr.ru/teatr/movie/80243/annot/</t>
        </is>
      </c>
      <c r="M908" s="2">
        <f>HYPERLINK("https://ru.wikipedia.org/w/index.php?search=%D0%92%D0%B0%D0%BB%D1%8C%D0%BF%D1%83%D1%80%D0%B3%D0%B8%D0%B5%D0%B2%D0%B0%20%D0%BD%D0%BE%D1%87%D1%8C%20%28%D1%84%D0%B8%D0%BB%D1%8C%D0%BC-%D0%B1%D0%B0%D0%BB%D0%B5%D1%82%29%201971%20%D1%84%D0%B8%D0%BB%D1%8C%D0%BC","искать")</f>
        <v/>
      </c>
      <c r="N908" s="3" t="n"/>
      <c r="O908" s="2" t="n"/>
    </row>
    <row r="909">
      <c r="A909" s="2" t="n">
        <v>908</v>
      </c>
      <c r="B909" s="2" t="inlineStr">
        <is>
          <t>не сюжет</t>
        </is>
      </c>
      <c r="C909" s="2" t="n">
        <v>10388</v>
      </c>
      <c r="D909" s="3" t="inlineStr">
        <is>
          <t>Десятая симфония</t>
        </is>
      </c>
      <c r="E909" s="2" t="n">
        <v>1971</v>
      </c>
      <c r="F909" s="2" t="inlineStr">
        <is>
          <t>фильм-спектакль</t>
        </is>
      </c>
      <c r="G909" s="2" t="n"/>
      <c r="H909" s="2" t="n">
        <v>76</v>
      </c>
      <c r="I909" s="2" t="inlineStr"/>
      <c r="J909" s="2" t="inlineStr">
        <is>
          <t>да</t>
        </is>
      </c>
      <c r="K909" s="3" t="inlineStr">
        <is>
          <t>О последних днях жизни великого немецкого композитора Людвига ван Бетховена.</t>
        </is>
      </c>
      <c r="L909" s="2" t="inlineStr">
        <is>
          <t>https://www.kino-teatr.ru/teatr/movie/98884/annot/</t>
        </is>
      </c>
      <c r="M909" s="2">
        <f>HYPERLINK("https://ru.wikipedia.org/w/index.php?search=%D0%94%D0%B5%D1%81%D1%8F%D1%82%D0%B0%D1%8F%20%D1%81%D0%B8%D0%BC%D1%84%D0%BE%D0%BD%D0%B8%D1%8F%201971%20%D1%84%D0%B8%D0%BB%D1%8C%D0%BC","искать")</f>
        <v/>
      </c>
      <c r="N909" s="3" t="n"/>
      <c r="O909" s="2" t="n"/>
    </row>
    <row r="910">
      <c r="A910" s="2" t="n">
        <v>909</v>
      </c>
      <c r="B910" s="2" t="inlineStr">
        <is>
          <t>не сюжет</t>
        </is>
      </c>
      <c r="C910" s="2" t="n">
        <v>10577</v>
      </c>
      <c r="D910" s="3" t="inlineStr">
        <is>
          <t>Осталось пять минут</t>
        </is>
      </c>
      <c r="E910" s="2" t="n">
        <v>1974</v>
      </c>
      <c r="F910" s="2" t="inlineStr">
        <is>
          <t>фильм-спектакль</t>
        </is>
      </c>
      <c r="G910" s="2" t="inlineStr">
        <is>
          <t>Ленинградское ТВ</t>
        </is>
      </c>
      <c r="H910" s="2" t="n">
        <v>76</v>
      </c>
      <c r="I910" s="2" t="inlineStr"/>
      <c r="J910" s="2" t="inlineStr">
        <is>
          <t>да</t>
        </is>
      </c>
      <c r="K910" s="3" t="inlineStr">
        <is>
          <t>Фильм-спектакль для двух актеров по пьесе Генриха Рябкина и Михаила Гиндина.</t>
        </is>
      </c>
      <c r="L910" s="2" t="inlineStr">
        <is>
          <t>https://www.kino-teatr.ru/teatr/movie/98271/annot/</t>
        </is>
      </c>
      <c r="M910" s="2">
        <f>HYPERLINK("https://ru.wikipedia.org/w/index.php?search=%D0%9E%D1%81%D1%82%D0%B0%D0%BB%D0%BE%D1%81%D1%8C%20%D0%BF%D1%8F%D1%82%D1%8C%20%D0%BC%D0%B8%D0%BD%D1%83%D1%82%201974%20%D1%84%D0%B8%D0%BB%D1%8C%D0%BC","искать")</f>
        <v/>
      </c>
      <c r="N910" s="3" t="n"/>
      <c r="O910" s="2" t="n"/>
    </row>
    <row r="911">
      <c r="A911" s="2" t="n">
        <v>910</v>
      </c>
      <c r="B911" s="2" t="inlineStr">
        <is>
          <t>не сюжет</t>
        </is>
      </c>
      <c r="C911" s="2" t="n">
        <v>10640</v>
      </c>
      <c r="D911" s="3" t="inlineStr">
        <is>
          <t>Вишнёвый сад</t>
        </is>
      </c>
      <c r="E911" s="2" t="n">
        <v>1976</v>
      </c>
      <c r="F911" s="2" t="inlineStr">
        <is>
          <t>фильм-спектакль</t>
        </is>
      </c>
      <c r="G911" s="2" t="inlineStr">
        <is>
          <t>Гостелерадио СССР</t>
        </is>
      </c>
      <c r="H911" s="2" t="n">
        <v>76</v>
      </c>
      <c r="I911" s="2" t="inlineStr"/>
      <c r="J911" s="2" t="inlineStr">
        <is>
          <t>да</t>
        </is>
      </c>
      <c r="K911" s="3" t="inlineStr">
        <is>
          <t>Телевизионный спектакль. Запись 1976 года.
По одноименной пьесе А.П. Чехова.</t>
        </is>
      </c>
      <c r="L911" s="2" t="inlineStr">
        <is>
          <t>https://www.kino-teatr.ru/teatr/movie/976/annot/</t>
        </is>
      </c>
      <c r="M911" s="2">
        <f>HYPERLINK("https://ru.wikipedia.org/w/index.php?search=%D0%92%D0%B8%D1%88%D0%BD%D1%91%D0%B2%D1%8B%D0%B9%20%D1%81%D0%B0%D0%B4%201976%20%D1%84%D0%B8%D0%BB%D1%8C%D0%BC","искать")</f>
        <v/>
      </c>
      <c r="N911" s="3" t="n"/>
      <c r="O911" s="2" t="n"/>
    </row>
    <row r="912">
      <c r="A912" s="2" t="n">
        <v>911</v>
      </c>
      <c r="B912" s="2" t="inlineStr">
        <is>
          <t>не сюжет</t>
        </is>
      </c>
      <c r="C912" s="2" t="n">
        <v>10683</v>
      </c>
      <c r="D912" s="3" t="inlineStr">
        <is>
          <t>Гроза</t>
        </is>
      </c>
      <c r="E912" s="2" t="n">
        <v>1977</v>
      </c>
      <c r="F912" s="2" t="inlineStr">
        <is>
          <t>фильм-спектакль</t>
        </is>
      </c>
      <c r="G912" s="2" t="inlineStr">
        <is>
          <t>Творческое объединение "Экран"</t>
        </is>
      </c>
      <c r="H912" s="2" t="n">
        <v>76</v>
      </c>
      <c r="I912" s="2" t="inlineStr"/>
      <c r="J912" s="2" t="inlineStr">
        <is>
          <t>да</t>
        </is>
      </c>
      <c r="K912" s="3" t="inlineStr">
        <is>
          <t>Телеспектакль по пьесе А.Н.Островского.
Телевариант спектакля Малого театра.</t>
        </is>
      </c>
      <c r="L912" s="2" t="inlineStr">
        <is>
          <t>https://www.kino-teatr.ru/teatr/movie/1533/annot/</t>
        </is>
      </c>
      <c r="M912" s="2">
        <f>HYPERLINK("https://ru.wikipedia.org/w/index.php?search=%D0%93%D1%80%D0%BE%D0%B7%D0%B0%201977%20%D1%84%D0%B8%D0%BB%D1%8C%D0%BC","искать")</f>
        <v/>
      </c>
      <c r="N912" s="3" t="n"/>
      <c r="O912" s="2" t="n"/>
    </row>
    <row r="913">
      <c r="A913" s="2" t="n">
        <v>912</v>
      </c>
      <c r="B913" s="2" t="inlineStr">
        <is>
          <t>не сюжет</t>
        </is>
      </c>
      <c r="C913" s="2" t="n">
        <v>11285</v>
      </c>
      <c r="D913" s="3" t="inlineStr">
        <is>
          <t>Тартюф, и нет ему конца</t>
        </is>
      </c>
      <c r="E913" s="2" t="n">
        <v>1989</v>
      </c>
      <c r="F913" s="2" t="inlineStr">
        <is>
          <t>фильм-спектакль</t>
        </is>
      </c>
      <c r="G913" s="2" t="inlineStr">
        <is>
          <t>Ленинградское ТВ</t>
        </is>
      </c>
      <c r="H913" s="2" t="n">
        <v>76</v>
      </c>
      <c r="I913" s="2" t="inlineStr"/>
      <c r="J913" s="2" t="inlineStr">
        <is>
          <t>да</t>
        </is>
      </c>
      <c r="K913" s="3" t="inlineStr">
        <is>
          <t>Телевизионная фантазия по пьесе Жана Батиста Мольера «Тартюф, или Обманщик».</t>
        </is>
      </c>
      <c r="L913" s="2" t="inlineStr">
        <is>
          <t>https://www.kino-teatr.ru/teatr/movie/98602/annot/</t>
        </is>
      </c>
      <c r="M913" s="2">
        <f>HYPERLINK("https://ru.wikipedia.org/w/index.php?search=%D0%A2%D0%B0%D1%80%D1%82%D1%8E%D1%84%2C%20%D0%B8%20%D0%BD%D0%B5%D1%82%20%D0%B5%D0%BC%D1%83%20%D0%BA%D0%BE%D0%BD%D1%86%D0%B0%201989%20%D1%84%D0%B8%D0%BB%D1%8C%D0%BC","искать")</f>
        <v/>
      </c>
      <c r="N913" s="3" t="n"/>
      <c r="O913" s="2" t="n"/>
    </row>
    <row r="914">
      <c r="A914" s="2" t="n">
        <v>913</v>
      </c>
      <c r="B914" s="2" t="inlineStr">
        <is>
          <t>не сюжет</t>
        </is>
      </c>
      <c r="C914" s="2" t="n">
        <v>8658</v>
      </c>
      <c r="D914" s="3" t="inlineStr">
        <is>
          <t>Во бору брусника</t>
        </is>
      </c>
      <c r="E914" s="2" t="n">
        <v>1989</v>
      </c>
      <c r="F914" s="2" t="inlineStr">
        <is>
          <t>кинофильм</t>
        </is>
      </c>
      <c r="G914" s="2" t="n"/>
      <c r="H914" s="2" t="n">
        <v>77</v>
      </c>
      <c r="I914" s="2" t="inlineStr"/>
      <c r="J914" s="2" t="inlineStr">
        <is>
          <t>да</t>
        </is>
      </c>
      <c r="K914" s="3" t="inlineStr">
        <is>
          <t>Фильм снят по мотивам повестей Леонида Фролова "Во бору брусника" и "К сыну".</t>
        </is>
      </c>
      <c r="L914" s="2" t="inlineStr">
        <is>
          <t>Кино_СССР сводный каталог.xlsx: список фильмов (доп.)</t>
        </is>
      </c>
      <c r="M914" s="2">
        <f>HYPERLINK("https://ru.wikipedia.org/w/index.php?search=%D0%92%D0%BE%20%D0%B1%D0%BE%D1%80%D1%83%20%D0%B1%D1%80%D1%83%D1%81%D0%BD%D0%B8%D0%BA%D0%B0%201989%20%D1%84%D0%B8%D0%BB%D1%8C%D0%BC","искать")</f>
        <v/>
      </c>
      <c r="N914" s="3" t="n"/>
      <c r="O914" s="2" t="n"/>
    </row>
    <row r="915">
      <c r="A915" s="2" t="n">
        <v>914</v>
      </c>
      <c r="B915" s="2" t="inlineStr">
        <is>
          <t>не сюжет</t>
        </is>
      </c>
      <c r="C915" s="2" t="n">
        <v>10611</v>
      </c>
      <c r="D915" s="3" t="inlineStr">
        <is>
          <t>Из записок Лопатина</t>
        </is>
      </c>
      <c r="E915" s="2" t="n">
        <v>1975</v>
      </c>
      <c r="F915" s="2" t="inlineStr">
        <is>
          <t>фильм-спектакль</t>
        </is>
      </c>
      <c r="G915" s="2" t="inlineStr">
        <is>
          <t>ТО "Экран"</t>
        </is>
      </c>
      <c r="H915" s="2" t="n">
        <v>77</v>
      </c>
      <c r="I915" s="2" t="inlineStr"/>
      <c r="J915" s="2" t="inlineStr">
        <is>
          <t>да</t>
        </is>
      </c>
      <c r="K915" s="3" t="inlineStr">
        <is>
          <t>По пьесе К. М. Симонова.
Телевизионная запись спектакля театра «Современник».</t>
        </is>
      </c>
      <c r="L915" s="2" t="inlineStr">
        <is>
          <t>https://www.kino-teatr.ru/teatr/movie/2677/annot/</t>
        </is>
      </c>
      <c r="M915" s="2">
        <f>HYPERLINK("https://ru.wikipedia.org/w/index.php?search=%D0%98%D0%B7%20%D0%B7%D0%B0%D0%BF%D0%B8%D1%81%D0%BE%D0%BA%20%D0%9B%D0%BE%D0%BF%D0%B0%D1%82%D0%B8%D0%BD%D0%B0%201975%20%D1%84%D0%B8%D0%BB%D1%8C%D0%BC","искать")</f>
        <v/>
      </c>
      <c r="N915" s="3" t="n"/>
      <c r="O915" s="2" t="n"/>
    </row>
    <row r="916">
      <c r="A916" s="2" t="n">
        <v>915</v>
      </c>
      <c r="B916" s="2" t="inlineStr">
        <is>
          <t>не сюжет</t>
        </is>
      </c>
      <c r="C916" s="2" t="n">
        <v>10675</v>
      </c>
      <c r="D916" s="3" t="inlineStr">
        <is>
          <t>У Синей бухты</t>
        </is>
      </c>
      <c r="E916" s="2" t="n">
        <v>1976</v>
      </c>
      <c r="F916" s="2" t="inlineStr">
        <is>
          <t>фильм-спектакль</t>
        </is>
      </c>
      <c r="G916" s="2" t="inlineStr">
        <is>
          <t>Белорусское телевидение</t>
        </is>
      </c>
      <c r="H916" s="2" t="n">
        <v>77</v>
      </c>
      <c r="I916" s="2" t="inlineStr"/>
      <c r="J916" s="2" t="inlineStr">
        <is>
          <t>да</t>
        </is>
      </c>
      <c r="K916" s="3" t="inlineStr">
        <is>
          <t>Телеспектакль о последних днях жизни поэта Максима Богдановича (1891 — 1917).</t>
        </is>
      </c>
      <c r="L916" s="2" t="inlineStr">
        <is>
          <t>https://www.kino-teatr.ru/teatr/movie/10565/annot/</t>
        </is>
      </c>
      <c r="M916" s="2">
        <f>HYPERLINK("https://ru.wikipedia.org/w/index.php?search=%D0%A3%20%D0%A1%D0%B8%D0%BD%D0%B5%D0%B9%20%D0%B1%D1%83%D1%85%D1%82%D1%8B%201976%20%D1%84%D0%B8%D0%BB%D1%8C%D0%BC","искать")</f>
        <v/>
      </c>
      <c r="N916" s="3" t="n"/>
      <c r="O916" s="2" t="n"/>
    </row>
    <row r="917">
      <c r="A917" s="2" t="n">
        <v>916</v>
      </c>
      <c r="B917" s="2" t="inlineStr">
        <is>
          <t>не сюжет</t>
        </is>
      </c>
      <c r="C917" s="2" t="n">
        <v>11026</v>
      </c>
      <c r="D917" s="3" t="inlineStr">
        <is>
          <t>История о хирургии города N</t>
        </is>
      </c>
      <c r="E917" s="2" t="n">
        <v>1984</v>
      </c>
      <c r="F917" s="2" t="inlineStr">
        <is>
          <t>фильм-спектакль</t>
        </is>
      </c>
      <c r="G917" s="2" t="n"/>
      <c r="H917" s="2" t="n">
        <v>77</v>
      </c>
      <c r="I917" s="2" t="inlineStr"/>
      <c r="J917" s="2" t="inlineStr">
        <is>
          <t>да</t>
        </is>
      </c>
      <c r="K917" s="3" t="inlineStr">
        <is>
          <t>Поставлен по одноименнной пьесе чешского драматуга Данека Олдрича(1927-2000).</t>
        </is>
      </c>
      <c r="L917" s="2" t="inlineStr">
        <is>
          <t>https://www.kino-teatr.ru/teatr/movie/88988/annot/</t>
        </is>
      </c>
      <c r="M917" s="2">
        <f>HYPERLINK("https://ru.wikipedia.org/w/index.php?search=%D0%98%D1%81%D1%82%D0%BE%D1%80%D0%B8%D1%8F%20%D0%BE%20%D1%85%D0%B8%D1%80%D1%83%D1%80%D0%B3%D0%B8%D0%B8%20%D0%B3%D0%BE%D1%80%D0%BE%D0%B4%D0%B0%20N%201984%20%D1%84%D0%B8%D0%BB%D1%8C%D0%BC","искать")</f>
        <v/>
      </c>
      <c r="N917" s="3" t="n"/>
      <c r="O917" s="2" t="n"/>
    </row>
    <row r="918">
      <c r="A918" s="2" t="n">
        <v>917</v>
      </c>
      <c r="B918" s="2" t="inlineStr">
        <is>
          <t>не сюжет</t>
        </is>
      </c>
      <c r="C918" s="2" t="n">
        <v>7397</v>
      </c>
      <c r="D918" s="3" t="inlineStr">
        <is>
          <t>Все возрасты покорны (киноальманах)</t>
        </is>
      </c>
      <c r="E918" s="2" t="n">
        <v>1980</v>
      </c>
      <c r="F918" s="2" t="inlineStr">
        <is>
          <t>телефильм</t>
        </is>
      </c>
      <c r="G918" s="2" t="n"/>
      <c r="H918" s="2" t="n">
        <v>78</v>
      </c>
      <c r="I918" s="2" t="inlineStr"/>
      <c r="J918" s="2" t="inlineStr">
        <is>
          <t>да</t>
        </is>
      </c>
      <c r="K918" s="3" t="inlineStr">
        <is>
          <t>Телефильм в составе: Такой долгожданный день, Звезды нашего двора, Дом матери.</t>
        </is>
      </c>
      <c r="L918" s="2" t="inlineStr">
        <is>
          <t>Кино_СССР сводный каталог.xlsx: список телефильмов</t>
        </is>
      </c>
      <c r="M918" s="2">
        <f>HYPERLINK("https://ru.wikipedia.org/w/index.php?search=%D0%92%D1%81%D0%B5%20%D0%B2%D0%BE%D0%B7%D1%80%D0%B0%D1%81%D1%82%D1%8B%20%D0%BF%D0%BE%D0%BA%D0%BE%D1%80%D0%BD%D1%8B%20%28%D0%BA%D0%B8%D0%BD%D0%BE%D0%B0%D0%BB%D1%8C%D0%BC%D0%B0%D0%BD%D0%B0%D1%85%29%201980%20%D1%84%D0%B8%D0%BB%D1%8C%D0%BC","искать")</f>
        <v/>
      </c>
      <c r="N918" s="3" t="n"/>
      <c r="O918" s="2" t="n"/>
    </row>
    <row r="919">
      <c r="A919" s="2" t="n">
        <v>918</v>
      </c>
      <c r="B919" s="2" t="inlineStr">
        <is>
          <t>не сюжет</t>
        </is>
      </c>
      <c r="C919" s="2" t="n">
        <v>8003</v>
      </c>
      <c r="D919" s="3" t="inlineStr">
        <is>
          <t>Новогодний календарь</t>
        </is>
      </c>
      <c r="E919" s="2" t="n">
        <v>1965</v>
      </c>
      <c r="F919" s="2" t="inlineStr">
        <is>
          <t>телефильм</t>
        </is>
      </c>
      <c r="G919" s="2" t="inlineStr">
        <is>
          <t>Мосфильм</t>
        </is>
      </c>
      <c r="H919" s="2" t="n">
        <v>78</v>
      </c>
      <c r="I919" s="2" t="inlineStr"/>
      <c r="J919" s="2" t="inlineStr">
        <is>
          <t>да</t>
        </is>
      </c>
      <c r="K919" s="3" t="inlineStr">
        <is>
          <t>Новогоднее телевизионное представление с участием популярных артистов эстрады.</t>
        </is>
      </c>
      <c r="L919" s="2" t="inlineStr">
        <is>
          <t>Кино_СССР сводный каталог.xlsx: список телефильмов</t>
        </is>
      </c>
      <c r="M919" s="2">
        <f>HYPERLINK("https://ru.wikipedia.org/w/index.php?search=%D0%9D%D0%BE%D0%B2%D0%BE%D0%B3%D0%BE%D0%B4%D0%BD%D0%B8%D0%B9%20%D0%BA%D0%B0%D0%BB%D0%B5%D0%BD%D0%B4%D0%B0%D1%80%D1%8C%201965%20%D1%84%D0%B8%D0%BB%D1%8C%D0%BC","искать")</f>
        <v/>
      </c>
      <c r="N919" s="3" t="n"/>
      <c r="O919" s="2" t="n"/>
    </row>
    <row r="920">
      <c r="A920" s="2" t="n">
        <v>919</v>
      </c>
      <c r="B920" s="2" t="inlineStr">
        <is>
          <t>не сюжет</t>
        </is>
      </c>
      <c r="C920" s="2" t="n">
        <v>8835</v>
      </c>
      <c r="D920" s="3" t="inlineStr">
        <is>
          <t>Микстура без рецепта (киноальманах)</t>
        </is>
      </c>
      <c r="E920" s="2" t="n">
        <v>1990</v>
      </c>
      <c r="F920" s="2" t="inlineStr">
        <is>
          <t>кинофильм</t>
        </is>
      </c>
      <c r="G920" s="2" t="n"/>
      <c r="H920" s="2" t="n">
        <v>78</v>
      </c>
      <c r="I920" s="2" t="inlineStr"/>
      <c r="J920" s="2" t="inlineStr">
        <is>
          <t>да</t>
        </is>
      </c>
      <c r="K920" s="3" t="inlineStr">
        <is>
          <t>Фильмы в составе: 30 см над уровнем моря, Им, кого оставили отцы, Собачий нюх.</t>
        </is>
      </c>
      <c r="L920" s="2" t="inlineStr">
        <is>
          <t>Кино_СССР сводный каталог.xlsx: список фильмов (доп.)</t>
        </is>
      </c>
      <c r="M920" s="2">
        <f>HYPERLINK("https://ru.wikipedia.org/w/index.php?search=%D0%9C%D0%B8%D0%BA%D1%81%D1%82%D1%83%D1%80%D0%B0%20%D0%B1%D0%B5%D0%B7%20%D1%80%D0%B5%D1%86%D0%B5%D0%BF%D1%82%D0%B0%20%28%D0%BA%D0%B8%D0%BD%D0%BE%D0%B0%D0%BB%D1%8C%D0%BC%D0%B0%D0%BD%D0%B0%D1%85%29%201990%20%D1%84%D0%B8%D0%BB%D1%8C%D0%BC","искать")</f>
        <v/>
      </c>
      <c r="N920" s="3" t="n"/>
      <c r="O920" s="2" t="n"/>
    </row>
    <row r="921">
      <c r="A921" s="2" t="n">
        <v>920</v>
      </c>
      <c r="B921" s="2" t="inlineStr">
        <is>
          <t>не сюжет</t>
        </is>
      </c>
      <c r="C921" s="2" t="n">
        <v>8848</v>
      </c>
      <c r="D921" s="3" t="inlineStr">
        <is>
          <t>Моя хата с краю</t>
        </is>
      </c>
      <c r="E921" s="2" t="n">
        <v>1986</v>
      </c>
      <c r="F921" s="2" t="inlineStr">
        <is>
          <t>кинофильм</t>
        </is>
      </c>
      <c r="G921" s="2" t="n"/>
      <c r="H921" s="2" t="n">
        <v>78</v>
      </c>
      <c r="I921" s="2" t="inlineStr"/>
      <c r="J921" s="2" t="inlineStr">
        <is>
          <t>да</t>
        </is>
      </c>
      <c r="K921" s="3" t="inlineStr">
        <is>
          <t>Последний фильм с участием знаменитого эстрадного дуэта Тарапуньки и Штепселя.</t>
        </is>
      </c>
      <c r="L921" s="2" t="inlineStr">
        <is>
          <t>Кино_СССР сводный каталог.xlsx: список фильмов (доп.)</t>
        </is>
      </c>
      <c r="M921" s="2">
        <f>HYPERLINK("https://ru.wikipedia.org/w/index.php?search=%D0%9C%D0%BE%D1%8F%20%D1%85%D0%B0%D1%82%D0%B0%20%D1%81%20%D0%BA%D1%80%D0%B0%D1%8E%201986%20%D1%84%D0%B8%D0%BB%D1%8C%D0%BC","искать")</f>
        <v/>
      </c>
      <c r="N921" s="3" t="n"/>
      <c r="O921" s="2" t="n"/>
    </row>
    <row r="922">
      <c r="A922" s="2" t="n">
        <v>921</v>
      </c>
      <c r="B922" s="2" t="inlineStr">
        <is>
          <t>не сюжет</t>
        </is>
      </c>
      <c r="C922" s="2" t="n">
        <v>9560</v>
      </c>
      <c r="D922" s="3" t="inlineStr">
        <is>
          <t>Под небом голубым...</t>
        </is>
      </c>
      <c r="E922" s="2" t="n">
        <v>1989</v>
      </c>
      <c r="F922" s="2" t="inlineStr">
        <is>
          <t>кинофильм</t>
        </is>
      </c>
      <c r="G922" s="2" t="n"/>
      <c r="H922" s="2" t="n">
        <v>78</v>
      </c>
      <c r="I922" s="2" t="inlineStr"/>
      <c r="J922" s="2" t="inlineStr">
        <is>
          <t>да</t>
        </is>
      </c>
      <c r="K922" s="3" t="inlineStr">
        <is>
          <t>Далеко не романтическая история любви юноши и девушки, страдающих наркоманией.</t>
        </is>
      </c>
      <c r="L922" s="2" t="inlineStr">
        <is>
          <t>Кино_СССР сводный каталог.xlsx: список фильмов (доп.)</t>
        </is>
      </c>
      <c r="M922" s="2">
        <f>HYPERLINK("https://ru.wikipedia.org/w/index.php?search=%D0%9F%D0%BE%D0%B4%20%D0%BD%D0%B5%D0%B1%D0%BE%D0%BC%20%D0%B3%D0%BE%D0%BB%D1%83%D0%B1%D1%8B%D0%BC...%201989%20%D1%84%D0%B8%D0%BB%D1%8C%D0%BC","искать")</f>
        <v/>
      </c>
      <c r="N922" s="3" t="n"/>
      <c r="O922" s="2" t="n"/>
    </row>
    <row r="923">
      <c r="A923" s="2" t="n">
        <v>922</v>
      </c>
      <c r="B923" s="2" t="inlineStr">
        <is>
          <t>не сюжет</t>
        </is>
      </c>
      <c r="C923" s="2" t="n">
        <v>10359</v>
      </c>
      <c r="D923" s="3" t="inlineStr">
        <is>
          <t>Зимняя баллада</t>
        </is>
      </c>
      <c r="E923" s="2" t="n">
        <v>1970</v>
      </c>
      <c r="F923" s="2" t="inlineStr">
        <is>
          <t>фильм-спектакль</t>
        </is>
      </c>
      <c r="G923" s="2" t="n"/>
      <c r="H923" s="2" t="n">
        <v>78</v>
      </c>
      <c r="I923" s="2" t="inlineStr"/>
      <c r="J923" s="2" t="inlineStr">
        <is>
          <t>да</t>
        </is>
      </c>
      <c r="K923" s="3" t="inlineStr">
        <is>
          <t>Спектакль Московского театра им. Маяковского по пьесе А.Вейцлера и А.Мишарина.</t>
        </is>
      </c>
      <c r="L923" s="2" t="inlineStr">
        <is>
          <t>https://www.kino-teatr.ru/teatr/movie/97614/annot/</t>
        </is>
      </c>
      <c r="M923" s="2">
        <f>HYPERLINK("https://ru.wikipedia.org/w/index.php?search=%D0%97%D0%B8%D0%BC%D0%BD%D1%8F%D1%8F%20%D0%B1%D0%B0%D0%BB%D0%BB%D0%B0%D0%B4%D0%B0%201970%20%D1%84%D0%B8%D0%BB%D1%8C%D0%BC","искать")</f>
        <v/>
      </c>
      <c r="N923" s="3" t="n"/>
      <c r="O923" s="2" t="n"/>
    </row>
    <row r="924">
      <c r="A924" s="2" t="n">
        <v>923</v>
      </c>
      <c r="B924" s="2" t="inlineStr">
        <is>
          <t>не сюжет</t>
        </is>
      </c>
      <c r="C924" s="2" t="n">
        <v>10895</v>
      </c>
      <c r="D924" s="3" t="inlineStr">
        <is>
          <t>Объявлен розыск...</t>
        </is>
      </c>
      <c r="E924" s="2" t="n">
        <v>1981</v>
      </c>
      <c r="F924" s="2" t="inlineStr">
        <is>
          <t>фильм-спектакль</t>
        </is>
      </c>
      <c r="G924" s="2" t="inlineStr">
        <is>
          <t>Ленинградское ТВ</t>
        </is>
      </c>
      <c r="H924" s="2" t="n">
        <v>78</v>
      </c>
      <c r="I924" s="2" t="inlineStr"/>
      <c r="J924" s="2" t="inlineStr">
        <is>
          <t>да</t>
        </is>
      </c>
      <c r="K924" s="3" t="inlineStr">
        <is>
          <t>Телеспектакль, детектив по повести Николая Леонова «Инюрколлегия разыскивает».</t>
        </is>
      </c>
      <c r="L924" s="2" t="inlineStr">
        <is>
          <t>https://www.kino-teatr.ru/teatr/movie/4631/annot/</t>
        </is>
      </c>
      <c r="M924" s="2">
        <f>HYPERLINK("https://ru.wikipedia.org/w/index.php?search=%D0%9E%D0%B1%D1%8A%D1%8F%D0%B2%D0%BB%D0%B5%D0%BD%20%D1%80%D0%BE%D0%B7%D1%8B%D1%81%D0%BA...%201981%20%D1%84%D0%B8%D0%BB%D1%8C%D0%BC","искать")</f>
        <v/>
      </c>
      <c r="N924" s="3" t="n"/>
      <c r="O924" s="2" t="n"/>
    </row>
    <row r="925">
      <c r="A925" s="2" t="n">
        <v>924</v>
      </c>
      <c r="B925" s="2" t="inlineStr">
        <is>
          <t>не сюжет</t>
        </is>
      </c>
      <c r="C925" s="2" t="n">
        <v>10916</v>
      </c>
      <c r="D925" s="3" t="inlineStr">
        <is>
          <t>Страницы кондуита</t>
        </is>
      </c>
      <c r="E925" s="2" t="n">
        <v>1981</v>
      </c>
      <c r="F925" s="2" t="inlineStr">
        <is>
          <t>фильм-спектакль</t>
        </is>
      </c>
      <c r="G925" s="2" t="inlineStr">
        <is>
          <t>Ленинградское телевидение</t>
        </is>
      </c>
      <c r="H925" s="2" t="n">
        <v>78</v>
      </c>
      <c r="I925" s="2" t="inlineStr"/>
      <c r="J925" s="2" t="inlineStr">
        <is>
          <t>да</t>
        </is>
      </c>
      <c r="K925" s="3" t="inlineStr">
        <is>
          <t>Детский телеспектакль. По мотивам повести Льва Кассиля «Кондуит и Швамбрания».</t>
        </is>
      </c>
      <c r="L925" s="2" t="inlineStr">
        <is>
          <t>https://www.kino-teatr.ru/teatr/movie/10328/annot/</t>
        </is>
      </c>
      <c r="M925" s="2">
        <f>HYPERLINK("https://ru.wikipedia.org/w/index.php?search=%D0%A1%D1%82%D1%80%D0%B0%D0%BD%D0%B8%D1%86%D1%8B%20%D0%BA%D0%BE%D0%BD%D0%B4%D1%83%D0%B8%D1%82%D0%B0%201981%20%D1%84%D0%B8%D0%BB%D1%8C%D0%BC","искать")</f>
        <v/>
      </c>
      <c r="N925" s="3" t="n"/>
      <c r="O925" s="2" t="n"/>
    </row>
    <row r="926">
      <c r="A926" s="2" t="n">
        <v>925</v>
      </c>
      <c r="B926" s="2" t="inlineStr">
        <is>
          <t>не сюжет</t>
        </is>
      </c>
      <c r="C926" s="2" t="n">
        <v>7591</v>
      </c>
      <c r="D926" s="3" t="inlineStr">
        <is>
          <t>Жених напрокат</t>
        </is>
      </c>
      <c r="E926" s="2" t="n">
        <v>1979</v>
      </c>
      <c r="F926" s="2" t="inlineStr">
        <is>
          <t>телефильм</t>
        </is>
      </c>
      <c r="G926" s="2" t="n"/>
      <c r="H926" s="2" t="n">
        <v>79</v>
      </c>
      <c r="I926" s="2" t="inlineStr"/>
      <c r="J926" s="2" t="inlineStr">
        <is>
          <t>да</t>
        </is>
      </c>
      <c r="K926" s="3" t="inlineStr">
        <is>
          <t>Сериал снят по повести "Ичкуёв" узбекского писателя Тургуна Полата (1928-1974).</t>
        </is>
      </c>
      <c r="L926" s="2" t="inlineStr">
        <is>
          <t>Кино_СССР сводный каталог.xlsx: список телефильмов</t>
        </is>
      </c>
      <c r="M926" s="2">
        <f>HYPERLINK("https://ru.wikipedia.org/w/index.php?search=%D0%96%D0%B5%D0%BD%D0%B8%D1%85%20%D0%BD%D0%B0%D0%BF%D1%80%D0%BE%D0%BA%D0%B0%D1%82%201979%20%D1%84%D0%B8%D0%BB%D1%8C%D0%BC","искать")</f>
        <v/>
      </c>
      <c r="N926" s="3" t="n"/>
      <c r="O926" s="2" t="n"/>
    </row>
    <row r="927">
      <c r="A927" s="2" t="n">
        <v>926</v>
      </c>
      <c r="B927" s="2" t="inlineStr">
        <is>
          <t>не сюжет</t>
        </is>
      </c>
      <c r="C927" s="2" t="n">
        <v>8004</v>
      </c>
      <c r="D927" s="3" t="inlineStr">
        <is>
          <t>Новоселье в будний день</t>
        </is>
      </c>
      <c r="E927" s="2" t="n">
        <v>1973</v>
      </c>
      <c r="F927" s="2" t="inlineStr">
        <is>
          <t>телефильм</t>
        </is>
      </c>
      <c r="G927" s="2" t="n"/>
      <c r="H927" s="2" t="n">
        <v>79</v>
      </c>
      <c r="I927" s="2" t="inlineStr"/>
      <c r="J927" s="2" t="inlineStr">
        <is>
          <t>да</t>
        </is>
      </c>
      <c r="K927" s="3" t="inlineStr">
        <is>
          <t>О шахтерах Садонского свинцово-цинкового комбината. О трех поколениях горняков.</t>
        </is>
      </c>
      <c r="L927" s="2" t="inlineStr">
        <is>
          <t>Кино_СССР сводный каталог.xlsx: список телефильмов</t>
        </is>
      </c>
      <c r="M927" s="2">
        <f>HYPERLINK("https://ru.wikipedia.org/w/index.php?search=%D0%9D%D0%BE%D0%B2%D0%BE%D1%81%D0%B5%D0%BB%D1%8C%D0%B5%20%D0%B2%20%D0%B1%D1%83%D0%B4%D0%BD%D0%B8%D0%B9%20%D0%B4%D0%B5%D0%BD%D1%8C%201973%20%D1%84%D0%B8%D0%BB%D1%8C%D0%BC","искать")</f>
        <v/>
      </c>
      <c r="N927" s="3" t="n"/>
      <c r="O927" s="2" t="n"/>
    </row>
    <row r="928">
      <c r="A928" s="2" t="n">
        <v>927</v>
      </c>
      <c r="B928" s="2" t="inlineStr">
        <is>
          <t>не сюжет</t>
        </is>
      </c>
      <c r="C928" s="2" t="n">
        <v>8205</v>
      </c>
      <c r="D928" s="3" t="inlineStr">
        <is>
          <t>Приключения Лазаре</t>
        </is>
      </c>
      <c r="E928" s="2" t="n">
        <v>1973</v>
      </c>
      <c r="F928" s="2" t="inlineStr">
        <is>
          <t>телефильм</t>
        </is>
      </c>
      <c r="G928" s="2" t="n"/>
      <c r="H928" s="2" t="n">
        <v>79</v>
      </c>
      <c r="I928" s="2" t="inlineStr"/>
      <c r="J928" s="2" t="inlineStr">
        <is>
          <t>да</t>
        </is>
      </c>
      <c r="K928" s="3" t="inlineStr">
        <is>
          <t>Фильм снят по мотивам "Жизни Лазарэ Тормосели" и произведений Георгия Леонидзе.</t>
        </is>
      </c>
      <c r="L928" s="2" t="inlineStr">
        <is>
          <t>Кино_СССР сводный каталог.xlsx: список телефильмов</t>
        </is>
      </c>
      <c r="M928" s="2">
        <f>HYPERLINK("https://ru.wikipedia.org/w/index.php?search=%D0%9F%D1%80%D0%B8%D0%BA%D0%BB%D1%8E%D1%87%D0%B5%D0%BD%D0%B8%D1%8F%20%D0%9B%D0%B0%D0%B7%D0%B0%D1%80%D0%B5%201973%20%D1%84%D0%B8%D0%BB%D1%8C%D0%BC","искать")</f>
        <v/>
      </c>
      <c r="N928" s="3" t="n"/>
      <c r="O928" s="2" t="n"/>
    </row>
    <row r="929">
      <c r="A929" s="2" t="n">
        <v>928</v>
      </c>
      <c r="B929" s="2" t="inlineStr">
        <is>
          <t>не сюжет</t>
        </is>
      </c>
      <c r="C929" s="2" t="n">
        <v>8907</v>
      </c>
      <c r="D929" s="3" t="inlineStr">
        <is>
          <t>Отец</t>
        </is>
      </c>
      <c r="E929" s="2" t="n">
        <v>1990</v>
      </c>
      <c r="F929" s="2" t="inlineStr">
        <is>
          <t>кинофильм</t>
        </is>
      </c>
      <c r="G929" s="2" t="n"/>
      <c r="H929" s="2" t="n">
        <v>79</v>
      </c>
      <c r="I929" s="2" t="inlineStr"/>
      <c r="J929" s="2" t="inlineStr">
        <is>
          <t>да</t>
        </is>
      </c>
      <c r="K929" s="3" t="inlineStr">
        <is>
          <t>Фильм поставлен по мотивам произведения шведского писателя Августа Стриндберга.</t>
        </is>
      </c>
      <c r="L929" s="2" t="inlineStr">
        <is>
          <t>Кино_СССР сводный каталог.xlsx: список фильмов (доп.)</t>
        </is>
      </c>
      <c r="M929" s="2">
        <f>HYPERLINK("https://ru.wikipedia.org/w/index.php?search=%D0%9E%D1%82%D0%B5%D1%86%201990%20%D1%84%D0%B8%D0%BB%D1%8C%D0%BC","искать")</f>
        <v/>
      </c>
      <c r="N929" s="3" t="n"/>
      <c r="O929" s="2" t="n"/>
    </row>
    <row r="930">
      <c r="A930" s="2" t="n">
        <v>929</v>
      </c>
      <c r="B930" s="2" t="inlineStr">
        <is>
          <t>не сюжет</t>
        </is>
      </c>
      <c r="C930" s="2" t="n">
        <v>9058</v>
      </c>
      <c r="D930" s="3" t="inlineStr">
        <is>
          <t>Сокровище в могиле</t>
        </is>
      </c>
      <c r="E930" s="2" t="n">
        <v>1985</v>
      </c>
      <c r="F930" s="2" t="inlineStr">
        <is>
          <t>кинофильм</t>
        </is>
      </c>
      <c r="G930" s="2" t="n"/>
      <c r="H930" s="2" t="n">
        <v>79</v>
      </c>
      <c r="I930" s="2" t="inlineStr"/>
      <c r="J930" s="2" t="inlineStr">
        <is>
          <t>да</t>
        </is>
      </c>
      <c r="K930" s="3" t="inlineStr">
        <is>
          <t>Фильм снят по остросюжетному произведению узбекского писателя Исраила Тухтаева.</t>
        </is>
      </c>
      <c r="L930" s="2" t="inlineStr">
        <is>
          <t>Кино_СССР сводный каталог.xlsx: список фильмов (доп.)</t>
        </is>
      </c>
      <c r="M930" s="2">
        <f>HYPERLINK("https://ru.wikipedia.org/w/index.php?search=%D0%A1%D0%BE%D0%BA%D1%80%D0%BE%D0%B2%D0%B8%D1%89%D0%B5%20%D0%B2%20%D0%BC%D0%BE%D0%B3%D0%B8%D0%BB%D0%B5%201985%20%D1%84%D0%B8%D0%BB%D1%8C%D0%BC","искать")</f>
        <v/>
      </c>
      <c r="N930" s="3" t="n"/>
      <c r="O930" s="2" t="n"/>
    </row>
    <row r="931">
      <c r="A931" s="2" t="n">
        <v>930</v>
      </c>
      <c r="B931" s="2" t="inlineStr">
        <is>
          <t>не сюжет</t>
        </is>
      </c>
      <c r="C931" s="2" t="n">
        <v>10524</v>
      </c>
      <c r="D931" s="3" t="inlineStr">
        <is>
          <t>Страница дневника</t>
        </is>
      </c>
      <c r="E931" s="2" t="n">
        <v>1973</v>
      </c>
      <c r="F931" s="2" t="inlineStr">
        <is>
          <t>фильм-спектакль</t>
        </is>
      </c>
      <c r="G931" s="2" t="inlineStr">
        <is>
          <t>Укртелефильм</t>
        </is>
      </c>
      <c r="H931" s="2" t="n">
        <v>79</v>
      </c>
      <c r="I931" s="2" t="inlineStr"/>
      <c r="J931" s="2" t="inlineStr">
        <is>
          <t>да</t>
        </is>
      </c>
      <c r="K931" s="3" t="inlineStr">
        <is>
          <t>По одноименной пьесе А.Корнейчука в постановке Киевского театра имени И.Франко.</t>
        </is>
      </c>
      <c r="L931" s="2" t="inlineStr">
        <is>
          <t>https://www.kino-teatr.ru/teatr/movie/86976/annot/</t>
        </is>
      </c>
      <c r="M931" s="2">
        <f>HYPERLINK("https://ru.wikipedia.org/w/index.php?search=%D0%A1%D1%82%D1%80%D0%B0%D0%BD%D0%B8%D1%86%D0%B0%20%D0%B4%D0%BD%D0%B5%D0%B2%D0%BD%D0%B8%D0%BA%D0%B0%201973%20%D1%84%D0%B8%D0%BB%D1%8C%D0%BC","искать")</f>
        <v/>
      </c>
      <c r="N931" s="3" t="n"/>
      <c r="O931" s="2" t="n"/>
    </row>
    <row r="932">
      <c r="A932" s="2" t="n">
        <v>931</v>
      </c>
      <c r="B932" s="2" t="inlineStr">
        <is>
          <t>не сюжет</t>
        </is>
      </c>
      <c r="C932" s="2" t="n">
        <v>10718</v>
      </c>
      <c r="D932" s="3" t="inlineStr">
        <is>
          <t>Трубка коммунара</t>
        </is>
      </c>
      <c r="E932" s="2" t="n">
        <v>1977</v>
      </c>
      <c r="F932" s="2" t="inlineStr">
        <is>
          <t>фильм-спектакль</t>
        </is>
      </c>
      <c r="G932" s="2" t="n"/>
      <c r="H932" s="2" t="n">
        <v>79</v>
      </c>
      <c r="I932" s="2" t="inlineStr"/>
      <c r="J932" s="2" t="inlineStr">
        <is>
          <t>да</t>
        </is>
      </c>
      <c r="K932" s="3" t="inlineStr">
        <is>
          <t>По произведениям Ильи Эренбурга.
Моноспектакль. Из цикла "Литературные чтения".</t>
        </is>
      </c>
      <c r="L932" s="2" t="inlineStr">
        <is>
          <t>https://www.kino-teatr.ru/teatr/movie/82710/annot/</t>
        </is>
      </c>
      <c r="M932" s="2">
        <f>HYPERLINK("https://ru.wikipedia.org/w/index.php?search=%D0%A2%D1%80%D1%83%D0%B1%D0%BA%D0%B0%20%D0%BA%D0%BE%D0%BC%D0%BC%D1%83%D0%BD%D0%B0%D1%80%D0%B0%201977%20%D1%84%D0%B8%D0%BB%D1%8C%D0%BC","искать")</f>
        <v/>
      </c>
      <c r="N932" s="3" t="n"/>
      <c r="O932" s="2" t="n"/>
    </row>
    <row r="933">
      <c r="A933" s="2" t="n">
        <v>932</v>
      </c>
      <c r="B933" s="2" t="inlineStr">
        <is>
          <t>не сюжет</t>
        </is>
      </c>
      <c r="C933" s="2" t="n">
        <v>10962</v>
      </c>
      <c r="D933" s="3" t="inlineStr">
        <is>
          <t>Ревизор</t>
        </is>
      </c>
      <c r="E933" s="2" t="n">
        <v>1982</v>
      </c>
      <c r="F933" s="2" t="inlineStr">
        <is>
          <t>фильм-спектакль</t>
        </is>
      </c>
      <c r="G933" s="2" t="inlineStr">
        <is>
          <t>Главная редакция литературно-драматических программ Гостелерадио СССР</t>
        </is>
      </c>
      <c r="H933" s="2" t="n">
        <v>79</v>
      </c>
      <c r="I933" s="2" t="inlineStr"/>
      <c r="J933" s="2" t="inlineStr">
        <is>
          <t>да</t>
        </is>
      </c>
      <c r="K933" s="3" t="inlineStr">
        <is>
          <t>Телеверсия спектакля Московского театра Сатиры по одноименной пьесе Н.В.Гоголя.</t>
        </is>
      </c>
      <c r="L933" s="2" t="inlineStr">
        <is>
          <t>https://www.kino-teatr.ru/teatr/movie/5983/annot/</t>
        </is>
      </c>
      <c r="M933" s="2">
        <f>HYPERLINK("https://ru.wikipedia.org/w/index.php?search=%D0%A0%D0%B5%D0%B2%D0%B8%D0%B7%D0%BE%D1%80%201982%20%D1%84%D0%B8%D0%BB%D1%8C%D0%BC","искать")</f>
        <v/>
      </c>
      <c r="N933" s="3" t="n"/>
      <c r="O933" s="2" t="n"/>
    </row>
    <row r="934">
      <c r="A934" s="2" t="n">
        <v>933</v>
      </c>
      <c r="B934" s="2" t="inlineStr">
        <is>
          <t>не сюжет</t>
        </is>
      </c>
      <c r="C934" s="2" t="n">
        <v>11020</v>
      </c>
      <c r="D934" s="3" t="inlineStr">
        <is>
          <t>Человек из страны Грин</t>
        </is>
      </c>
      <c r="E934" s="2" t="n">
        <v>1983</v>
      </c>
      <c r="F934" s="2" t="inlineStr">
        <is>
          <t>фильм-спектакль</t>
        </is>
      </c>
      <c r="G934" s="2" t="inlineStr">
        <is>
          <t>Главная редакция программ для детей и юношества ЦТ</t>
        </is>
      </c>
      <c r="H934" s="2" t="n">
        <v>79</v>
      </c>
      <c r="I934" s="2" t="inlineStr"/>
      <c r="J934" s="2" t="inlineStr">
        <is>
          <t>да</t>
        </is>
      </c>
      <c r="K934" s="3" t="inlineStr">
        <is>
          <t>Телефильм по мотивам романа А. Грина «Дорога никуда» и других его произведений.</t>
        </is>
      </c>
      <c r="L934" s="2" t="inlineStr">
        <is>
          <t>https://www.kino-teatr.ru/teatr/movie/16545/annot/</t>
        </is>
      </c>
      <c r="M934" s="2">
        <f>HYPERLINK("https://ru.wikipedia.org/w/index.php?search=%D0%A7%D0%B5%D0%BB%D0%BE%D0%B2%D0%B5%D0%BA%20%D0%B8%D0%B7%20%D1%81%D1%82%D1%80%D0%B0%D0%BD%D1%8B%20%D0%93%D1%80%D0%B8%D0%BD%201983%20%D1%84%D0%B8%D0%BB%D1%8C%D0%BC","искать")</f>
        <v/>
      </c>
      <c r="N934" s="3" t="n"/>
      <c r="O934" s="2" t="n"/>
    </row>
    <row r="935">
      <c r="A935" s="2" t="n">
        <v>934</v>
      </c>
      <c r="B935" s="2" t="inlineStr">
        <is>
          <t>не сюжет</t>
        </is>
      </c>
      <c r="C935" s="2" t="n">
        <v>8081</v>
      </c>
      <c r="D935" s="3" t="inlineStr">
        <is>
          <t>Парни нашей улицы</t>
        </is>
      </c>
      <c r="E935" s="2" t="n">
        <v>1973</v>
      </c>
      <c r="F935" s="2" t="inlineStr">
        <is>
          <t>телефильм</t>
        </is>
      </c>
      <c r="G935" s="2" t="n"/>
      <c r="H935" s="2" t="n">
        <v>80</v>
      </c>
      <c r="I935" s="2" t="inlineStr"/>
      <c r="J935" s="2" t="inlineStr">
        <is>
          <t>да</t>
        </is>
      </c>
      <c r="K935" s="3" t="inlineStr">
        <is>
          <t>Телефильм о детях выросших на одной улице и о нахождении ими своих мест в жизни.</t>
        </is>
      </c>
      <c r="L935" s="2" t="inlineStr">
        <is>
          <t>Кино_СССР сводный каталог.xlsx: список телефильмов</t>
        </is>
      </c>
      <c r="M935" s="2">
        <f>HYPERLINK("https://ru.wikipedia.org/w/index.php?search=%D0%9F%D0%B0%D1%80%D0%BD%D0%B8%20%D0%BD%D0%B0%D1%88%D0%B5%D0%B9%20%D1%83%D0%BB%D0%B8%D1%86%D1%8B%201973%20%D1%84%D0%B8%D0%BB%D1%8C%D0%BC","искать")</f>
        <v/>
      </c>
      <c r="N935" s="3" t="n"/>
      <c r="O935" s="2" t="n"/>
    </row>
    <row r="936">
      <c r="A936" s="2" t="n">
        <v>935</v>
      </c>
      <c r="B936" s="2" t="inlineStr">
        <is>
          <t>не сюжет</t>
        </is>
      </c>
      <c r="C936" s="2" t="n">
        <v>8523</v>
      </c>
      <c r="D936" s="3" t="inlineStr">
        <is>
          <t>Хозяин воды</t>
        </is>
      </c>
      <c r="E936" s="2" t="n">
        <v>1982</v>
      </c>
      <c r="F936" s="2" t="inlineStr">
        <is>
          <t>телефильм</t>
        </is>
      </c>
      <c r="G936" s="2" t="n"/>
      <c r="H936" s="2" t="n">
        <v>80</v>
      </c>
      <c r="I936" s="2" t="inlineStr"/>
      <c r="J936" s="2" t="inlineStr">
        <is>
          <t>да</t>
        </is>
      </c>
      <c r="K936" s="3" t="inlineStr">
        <is>
          <t>О том, как борьба с засухой сплотила людей и выявила лучшие черты их характеров.</t>
        </is>
      </c>
      <c r="L936" s="2" t="inlineStr">
        <is>
          <t>Кино_СССР сводный каталог.xlsx: список телефильмов</t>
        </is>
      </c>
      <c r="M936" s="2">
        <f>HYPERLINK("https://ru.wikipedia.org/w/index.php?search=%D0%A5%D0%BE%D0%B7%D1%8F%D0%B8%D0%BD%20%D0%B2%D0%BE%D0%B4%D1%8B%201982%20%D1%84%D0%B8%D0%BB%D1%8C%D0%BC","искать")</f>
        <v/>
      </c>
      <c r="N936" s="3" t="n"/>
      <c r="O936" s="2" t="n"/>
    </row>
    <row r="937">
      <c r="A937" s="2" t="n">
        <v>936</v>
      </c>
      <c r="B937" s="2" t="inlineStr">
        <is>
          <t>не сюжет</t>
        </is>
      </c>
      <c r="C937" s="2" t="n">
        <v>8642</v>
      </c>
      <c r="D937" s="3" t="inlineStr">
        <is>
          <t>В поисках выхода (киноальманах)</t>
        </is>
      </c>
      <c r="E937" s="2" t="n">
        <v>1985</v>
      </c>
      <c r="F937" s="2" t="inlineStr">
        <is>
          <t>кинофильм</t>
        </is>
      </c>
      <c r="G937" s="2" t="n"/>
      <c r="H937" s="2" t="n">
        <v>80</v>
      </c>
      <c r="I937" s="2" t="inlineStr"/>
      <c r="J937" s="2" t="inlineStr">
        <is>
          <t>да</t>
        </is>
      </c>
      <c r="K937" s="3" t="inlineStr">
        <is>
          <t>Новеллы «В поисках выхода», "Реквием по филею" ("Незаменимый"), "Родимое пятно".</t>
        </is>
      </c>
      <c r="L937" s="2" t="inlineStr">
        <is>
          <t>Кино_СССР сводный каталог.xlsx: список фильмов (доп.)</t>
        </is>
      </c>
      <c r="M937" s="2">
        <f>HYPERLINK("https://ru.wikipedia.org/w/index.php?search=%D0%92%20%D0%BF%D0%BE%D0%B8%D1%81%D0%BA%D0%B0%D1%85%20%D0%B2%D1%8B%D1%85%D0%BE%D0%B4%D0%B0%20%28%D0%BA%D0%B8%D0%BD%D0%BE%D0%B0%D0%BB%D1%8C%D0%BC%D0%B0%D0%BD%D0%B0%D1%85%29%201985%20%D1%84%D0%B8%D0%BB%D1%8C%D0%BC","искать")</f>
        <v/>
      </c>
      <c r="N937" s="3" t="n"/>
      <c r="O937" s="2" t="n"/>
    </row>
    <row r="938">
      <c r="A938" s="2" t="n">
        <v>937</v>
      </c>
      <c r="B938" s="2" t="inlineStr">
        <is>
          <t>не сюжет</t>
        </is>
      </c>
      <c r="C938" s="2" t="n">
        <v>8979</v>
      </c>
      <c r="D938" s="3" t="inlineStr">
        <is>
          <t>Приморский климат</t>
        </is>
      </c>
      <c r="E938" s="2" t="n">
        <v>1974</v>
      </c>
      <c r="F938" s="2" t="inlineStr">
        <is>
          <t>кинофильм</t>
        </is>
      </c>
      <c r="G938" s="2" t="n"/>
      <c r="H938" s="2" t="n">
        <v>80</v>
      </c>
      <c r="I938" s="2" t="inlineStr"/>
      <c r="J938" s="2" t="inlineStr">
        <is>
          <t>да</t>
        </is>
      </c>
      <c r="K938" s="3" t="inlineStr">
        <is>
          <t>О том как отдыхают три друга, работники газовой конторы - Эрик, Харийс и Гунтис.</t>
        </is>
      </c>
      <c r="L938" s="2" t="inlineStr">
        <is>
          <t>Кино_СССР сводный каталог.xlsx: список фильмов (доп.)</t>
        </is>
      </c>
      <c r="M938" s="2">
        <f>HYPERLINK("https://ru.wikipedia.org/w/index.php?search=%D0%9F%D1%80%D0%B8%D0%BC%D0%BE%D1%80%D1%81%D0%BA%D0%B8%D0%B9%20%D0%BA%D0%BB%D0%B8%D0%BC%D0%B0%D1%82%201974%20%D1%84%D0%B8%D0%BB%D1%8C%D0%BC","искать")</f>
        <v/>
      </c>
      <c r="N938" s="3" t="n"/>
      <c r="O938" s="2" t="n"/>
    </row>
    <row r="939">
      <c r="A939" s="2" t="n">
        <v>938</v>
      </c>
      <c r="B939" s="2" t="inlineStr">
        <is>
          <t>не сюжет</t>
        </is>
      </c>
      <c r="C939" s="2" t="n">
        <v>10221</v>
      </c>
      <c r="D939" s="3" t="inlineStr">
        <is>
          <t>Смерть Пушкина</t>
        </is>
      </c>
      <c r="E939" s="2" t="n">
        <v>1967</v>
      </c>
      <c r="F939" s="2" t="inlineStr">
        <is>
          <t>фильм-спектакль</t>
        </is>
      </c>
      <c r="G939" s="2" t="inlineStr">
        <is>
          <t>Центральное ТВ</t>
        </is>
      </c>
      <c r="H939" s="2" t="n">
        <v>80</v>
      </c>
      <c r="I939" s="2" t="inlineStr"/>
      <c r="J939" s="2" t="inlineStr">
        <is>
          <t>да</t>
        </is>
      </c>
      <c r="K939" s="3" t="inlineStr">
        <is>
          <t>Телекомпозиция по документам, письмам и воспоминаниям современников А.С.Пушкина.</t>
        </is>
      </c>
      <c r="L939" s="2" t="inlineStr">
        <is>
          <t>https://www.kino-teatr.ru/teatr/movie/92829/annot/</t>
        </is>
      </c>
      <c r="M939" s="2">
        <f>HYPERLINK("https://ru.wikipedia.org/w/index.php?search=%D0%A1%D0%BC%D0%B5%D1%80%D1%82%D1%8C%20%D0%9F%D1%83%D1%88%D0%BA%D0%B8%D0%BD%D0%B0%201967%20%D1%84%D0%B8%D0%BB%D1%8C%D0%BC","искать")</f>
        <v/>
      </c>
      <c r="N939" s="3" t="n"/>
      <c r="O939" s="2" t="n"/>
    </row>
    <row r="940">
      <c r="A940" s="2" t="n">
        <v>939</v>
      </c>
      <c r="B940" s="2" t="inlineStr">
        <is>
          <t>не сюжет</t>
        </is>
      </c>
      <c r="C940" s="2" t="n">
        <v>10268</v>
      </c>
      <c r="D940" s="3" t="inlineStr">
        <is>
          <t>Последние дни</t>
        </is>
      </c>
      <c r="E940" s="2" t="n">
        <v>1968</v>
      </c>
      <c r="F940" s="2" t="inlineStr">
        <is>
          <t>фильм-спектакль</t>
        </is>
      </c>
      <c r="G940" s="2" t="inlineStr">
        <is>
          <t>Ленинградское ТВ</t>
        </is>
      </c>
      <c r="H940" s="2" t="n">
        <v>80</v>
      </c>
      <c r="I940" s="2" t="inlineStr"/>
      <c r="J940" s="2" t="inlineStr">
        <is>
          <t>да</t>
        </is>
      </c>
      <c r="K940" s="3" t="inlineStr">
        <is>
          <t>По пьесе Михаила Булгакова о последних днях жизни Александра Сергеевича Пушкина.</t>
        </is>
      </c>
      <c r="L940" s="2" t="inlineStr">
        <is>
          <t>https://www.kino-teatr.ru/teatr/movie/92891/annot/</t>
        </is>
      </c>
      <c r="M940" s="2">
        <f>HYPERLINK("https://ru.wikipedia.org/w/index.php?search=%D0%9F%D0%BE%D1%81%D0%BB%D0%B5%D0%B4%D0%BD%D0%B8%D0%B5%20%D0%B4%D0%BD%D0%B8%201968%20%D1%84%D0%B8%D0%BB%D1%8C%D0%BC","искать")</f>
        <v/>
      </c>
      <c r="N940" s="3" t="n"/>
      <c r="O940" s="2" t="n"/>
    </row>
    <row r="941">
      <c r="A941" s="2" t="n">
        <v>940</v>
      </c>
      <c r="B941" s="2" t="inlineStr">
        <is>
          <t>не сюжет</t>
        </is>
      </c>
      <c r="C941" s="2" t="n">
        <v>10548</v>
      </c>
      <c r="D941" s="3" t="inlineStr">
        <is>
          <t>Веер леди Уиндермер</t>
        </is>
      </c>
      <c r="E941" s="2" t="n">
        <v>1974</v>
      </c>
      <c r="F941" s="2" t="inlineStr">
        <is>
          <t>фильм-спектакль</t>
        </is>
      </c>
      <c r="G941" s="2" t="n"/>
      <c r="H941" s="2" t="n">
        <v>80</v>
      </c>
      <c r="I941" s="2" t="inlineStr"/>
      <c r="J941" s="2" t="inlineStr">
        <is>
          <t>да</t>
        </is>
      </c>
      <c r="K941" s="3" t="inlineStr">
        <is>
          <t>Поставлен по одноименной пьесе английского драматурга и писателя Оскара Уайльда.</t>
        </is>
      </c>
      <c r="L941" s="2" t="inlineStr">
        <is>
          <t>https://www.kino-teatr.ru/teatr/movie/88991/annot/</t>
        </is>
      </c>
      <c r="M941" s="2">
        <f>HYPERLINK("https://ru.wikipedia.org/w/index.php?search=%D0%92%D0%B5%D0%B5%D1%80%20%D0%BB%D0%B5%D0%B4%D0%B8%20%D0%A3%D0%B8%D0%BD%D0%B4%D0%B5%D1%80%D0%BC%D0%B5%D1%80%201974%20%D1%84%D0%B8%D0%BB%D1%8C%D0%BC","искать")</f>
        <v/>
      </c>
      <c r="N941" s="3" t="n"/>
      <c r="O941" s="2" t="n"/>
    </row>
    <row r="942">
      <c r="A942" s="2" t="n">
        <v>941</v>
      </c>
      <c r="B942" s="2" t="inlineStr">
        <is>
          <t>не сюжет</t>
        </is>
      </c>
      <c r="C942" s="2" t="n">
        <v>8707</v>
      </c>
      <c r="D942" s="3" t="inlineStr">
        <is>
          <t>Дом</t>
        </is>
      </c>
      <c r="E942" s="2" t="n">
        <v>1991</v>
      </c>
      <c r="F942" s="2" t="inlineStr">
        <is>
          <t>кинофильм</t>
        </is>
      </c>
      <c r="G942" s="2" t="n"/>
      <c r="H942" s="2" t="n">
        <v>81</v>
      </c>
      <c r="I942" s="2" t="inlineStr"/>
      <c r="J942" s="2" t="inlineStr">
        <is>
          <t>да</t>
        </is>
      </c>
      <c r="K942" s="3" t="inlineStr">
        <is>
          <t>История молодой девушки, живущей в атмосфере смуты и апатии перестроечных времен.</t>
        </is>
      </c>
      <c r="L942" s="2" t="inlineStr">
        <is>
          <t>Кино_СССР сводный каталог.xlsx: список фильмов (доп.)</t>
        </is>
      </c>
      <c r="M942" s="2">
        <f>HYPERLINK("https://ru.wikipedia.org/w/index.php?search=%D0%94%D0%BE%D0%BC%201991%20%D1%84%D0%B8%D0%BB%D1%8C%D0%BC","искать")</f>
        <v/>
      </c>
      <c r="N942" s="3" t="n"/>
      <c r="O942" s="2" t="n"/>
    </row>
    <row r="943">
      <c r="A943" s="2" t="n">
        <v>942</v>
      </c>
      <c r="B943" s="2" t="inlineStr">
        <is>
          <t>не сюжет</t>
        </is>
      </c>
      <c r="C943" s="2" t="n">
        <v>8961</v>
      </c>
      <c r="D943" s="3" t="inlineStr">
        <is>
          <t>Последний день матриархата</t>
        </is>
      </c>
      <c r="E943" s="2" t="n">
        <v>1987</v>
      </c>
      <c r="F943" s="2" t="inlineStr">
        <is>
          <t>кинофильм</t>
        </is>
      </c>
      <c r="G943" s="2" t="n"/>
      <c r="H943" s="2" t="n">
        <v>81</v>
      </c>
      <c r="I943" s="2" t="inlineStr"/>
      <c r="J943" s="2" t="inlineStr">
        <is>
          <t>да</t>
        </is>
      </c>
      <c r="K943" s="3" t="inlineStr">
        <is>
          <t>Экранизация одноименной повести белорусского детского писателя Владимира Машкова.</t>
        </is>
      </c>
      <c r="L943" s="2" t="inlineStr">
        <is>
          <t>Кино_СССР сводный каталог.xlsx: список фильмов (доп.)</t>
        </is>
      </c>
      <c r="M943" s="2">
        <f>HYPERLINK("https://ru.wikipedia.org/w/index.php?search=%D0%9F%D0%BE%D1%81%D0%BB%D0%B5%D0%B4%D0%BD%D0%B8%D0%B9%20%D0%B4%D0%B5%D0%BD%D1%8C%20%D0%BC%D0%B0%D1%82%D1%80%D0%B8%D0%B0%D1%80%D1%85%D0%B0%D1%82%D0%B0%201987%20%D1%84%D0%B8%D0%BB%D1%8C%D0%BC","искать")</f>
        <v/>
      </c>
      <c r="N943" s="3" t="n"/>
      <c r="O943" s="2" t="n"/>
    </row>
    <row r="944">
      <c r="A944" s="2" t="n">
        <v>943</v>
      </c>
      <c r="B944" s="2" t="inlineStr">
        <is>
          <t>не сюжет</t>
        </is>
      </c>
      <c r="C944" s="2" t="n">
        <v>9171</v>
      </c>
      <c r="D944" s="3" t="inlineStr">
        <is>
          <t>Шерали и Ойбарчин</t>
        </is>
      </c>
      <c r="E944" s="2" t="n">
        <v>1989</v>
      </c>
      <c r="F944" s="2" t="inlineStr">
        <is>
          <t>кинофильм</t>
        </is>
      </c>
      <c r="G944" s="2" t="n"/>
      <c r="H944" s="2" t="n">
        <v>81</v>
      </c>
      <c r="I944" s="2" t="inlineStr"/>
      <c r="J944" s="2" t="inlineStr">
        <is>
          <t>да</t>
        </is>
      </c>
      <c r="K944" s="3" t="inlineStr">
        <is>
          <t>Музыкальный фильм, повествует о жизни и любви узбекского певца жившего в XV веке.</t>
        </is>
      </c>
      <c r="L944" s="2" t="inlineStr">
        <is>
          <t>Кино_СССР сводный каталог.xlsx: список фильмов (доп.)</t>
        </is>
      </c>
      <c r="M944" s="2">
        <f>HYPERLINK("https://ru.wikipedia.org/w/index.php?search=%D0%A8%D0%B5%D1%80%D0%B0%D0%BB%D0%B8%20%D0%B8%20%D0%9E%D0%B9%D0%B1%D0%B0%D1%80%D1%87%D0%B8%D0%BD%201989%20%D1%84%D0%B8%D0%BB%D1%8C%D0%BC","искать")</f>
        <v/>
      </c>
      <c r="N944" s="3" t="n"/>
      <c r="O944" s="2" t="n"/>
    </row>
    <row r="945">
      <c r="A945" s="2" t="n">
        <v>944</v>
      </c>
      <c r="B945" s="2" t="inlineStr">
        <is>
          <t>не сюжет</t>
        </is>
      </c>
      <c r="C945" s="2" t="n">
        <v>10397</v>
      </c>
      <c r="D945" s="3" t="inlineStr">
        <is>
          <t>Каменный хозяин</t>
        </is>
      </c>
      <c r="E945" s="2" t="n">
        <v>1971</v>
      </c>
      <c r="F945" s="2" t="inlineStr">
        <is>
          <t>фильм-спектакль</t>
        </is>
      </c>
      <c r="G945" s="2" t="inlineStr">
        <is>
          <t>Укртелефильм</t>
        </is>
      </c>
      <c r="H945" s="2" t="n">
        <v>81</v>
      </c>
      <c r="I945" s="2" t="inlineStr"/>
      <c r="J945" s="2" t="inlineStr">
        <is>
          <t>да</t>
        </is>
      </c>
      <c r="K945" s="3" t="inlineStr">
        <is>
          <t>По одноименному произведению Леси Украинки на тему старинной легенды о Дон-Жуане.</t>
        </is>
      </c>
      <c r="L945" s="2" t="inlineStr">
        <is>
          <t>https://www.kino-teatr.ru/teatr/movie/13630/annot/</t>
        </is>
      </c>
      <c r="M945" s="2">
        <f>HYPERLINK("https://ru.wikipedia.org/w/index.php?search=%D0%9A%D0%B0%D0%BC%D0%B5%D0%BD%D0%BD%D1%8B%D0%B9%20%D1%85%D0%BE%D0%B7%D1%8F%D0%B8%D0%BD%201971%20%D1%84%D0%B8%D0%BB%D1%8C%D0%BC","искать")</f>
        <v/>
      </c>
      <c r="N945" s="3" t="n"/>
      <c r="O945" s="2" t="n"/>
    </row>
    <row r="946">
      <c r="A946" s="2" t="n">
        <v>945</v>
      </c>
      <c r="B946" s="2" t="inlineStr">
        <is>
          <t>не сюжет</t>
        </is>
      </c>
      <c r="C946" s="2" t="n">
        <v>8895</v>
      </c>
      <c r="D946" s="3" t="inlineStr">
        <is>
          <t>Окно</t>
        </is>
      </c>
      <c r="E946" s="2" t="n">
        <v>1991</v>
      </c>
      <c r="F946" s="2" t="inlineStr">
        <is>
          <t>кинофильм</t>
        </is>
      </c>
      <c r="G946" s="2" t="n"/>
      <c r="H946" s="2" t="n">
        <v>82</v>
      </c>
      <c r="I946" s="2" t="inlineStr"/>
      <c r="J946" s="2" t="inlineStr">
        <is>
          <t>да</t>
        </is>
      </c>
      <c r="K946" s="3" t="inlineStr">
        <is>
          <t>Повествует о судьбе детей в детском доме-интернате, где правит двуличие и насилие.</t>
        </is>
      </c>
      <c r="L946" s="2" t="inlineStr">
        <is>
          <t>Кино_СССР сводный каталог.xlsx: список фильмов (доп.)</t>
        </is>
      </c>
      <c r="M946" s="2">
        <f>HYPERLINK("https://ru.wikipedia.org/w/index.php?search=%D0%9E%D0%BA%D0%BD%D0%BE%201991%20%D1%84%D0%B8%D0%BB%D1%8C%D0%BC","искать")</f>
        <v/>
      </c>
      <c r="N946" s="3" t="n"/>
      <c r="O946" s="2" t="n"/>
    </row>
    <row r="947">
      <c r="A947" s="2" t="n">
        <v>946</v>
      </c>
      <c r="B947" s="2" t="inlineStr">
        <is>
          <t>не сюжет</t>
        </is>
      </c>
      <c r="C947" s="2" t="n">
        <v>9450</v>
      </c>
      <c r="D947" s="3" t="inlineStr">
        <is>
          <t>Легенда древних гор</t>
        </is>
      </c>
      <c r="E947" s="2" t="n">
        <v>1988</v>
      </c>
      <c r="F947" s="2" t="inlineStr">
        <is>
          <t>кинофильм</t>
        </is>
      </c>
      <c r="G947" s="2" t="n"/>
      <c r="H947" s="2" t="n">
        <v>82</v>
      </c>
      <c r="I947" s="2" t="inlineStr"/>
      <c r="J947" s="2" t="inlineStr">
        <is>
          <t>да</t>
        </is>
      </c>
      <c r="K947" s="3" t="inlineStr">
        <is>
          <t>Охотничья драма, мелодрама. По мотивам повести Худайберды Дурдыева «Сильнее скал».</t>
        </is>
      </c>
      <c r="L947" s="2" t="inlineStr">
        <is>
          <t>Кино_СССР сводный каталог.xlsx: список фильмов (доп.)</t>
        </is>
      </c>
      <c r="M947" s="2">
        <f>HYPERLINK("https://ru.wikipedia.org/w/index.php?search=%D0%9B%D0%B5%D0%B3%D0%B5%D0%BD%D0%B4%D0%B0%20%D0%B4%D1%80%D0%B5%D0%B2%D0%BD%D0%B8%D1%85%20%D0%B3%D0%BE%D1%80%201988%20%D1%84%D0%B8%D0%BB%D1%8C%D0%BC","искать")</f>
        <v/>
      </c>
      <c r="N947" s="3" t="n"/>
      <c r="O947" s="2" t="n"/>
    </row>
    <row r="948">
      <c r="A948" s="2" t="n">
        <v>947</v>
      </c>
      <c r="B948" s="2" t="inlineStr">
        <is>
          <t>не сюжет</t>
        </is>
      </c>
      <c r="C948" s="2" t="n">
        <v>10925</v>
      </c>
      <c r="D948" s="3" t="inlineStr">
        <is>
          <t>Электре подобает траур</t>
        </is>
      </c>
      <c r="E948" s="2" t="n">
        <v>1981</v>
      </c>
      <c r="F948" s="2" t="inlineStr">
        <is>
          <t>фильм-спектакль</t>
        </is>
      </c>
      <c r="G948" s="2" t="n"/>
      <c r="H948" s="2" t="n">
        <v>82</v>
      </c>
      <c r="I948" s="2" t="inlineStr"/>
      <c r="J948" s="2" t="inlineStr">
        <is>
          <t>да</t>
        </is>
      </c>
      <c r="K948" s="3" t="inlineStr">
        <is>
          <t>Поставлен по одноименной пьесе американского драматурга Юджина О'Нила (1888-1953).</t>
        </is>
      </c>
      <c r="L948" s="2" t="inlineStr">
        <is>
          <t>https://www.kino-teatr.ru/teatr/movie/90095/annot/</t>
        </is>
      </c>
      <c r="M948" s="2">
        <f>HYPERLINK("https://ru.wikipedia.org/w/index.php?search=%D0%AD%D0%BB%D0%B5%D0%BA%D1%82%D1%80%D0%B5%20%D0%BF%D0%BE%D0%B4%D0%BE%D0%B1%D0%B0%D0%B5%D1%82%20%D1%82%D1%80%D0%B0%D1%83%D1%80%201981%20%D1%84%D0%B8%D0%BB%D1%8C%D0%BC","искать")</f>
        <v/>
      </c>
      <c r="N948" s="3" t="n"/>
      <c r="O948" s="2" t="n"/>
    </row>
    <row r="949">
      <c r="A949" s="2" t="n">
        <v>948</v>
      </c>
      <c r="B949" s="2" t="inlineStr">
        <is>
          <t>не сюжет</t>
        </is>
      </c>
      <c r="C949" s="2" t="n">
        <v>8599</v>
      </c>
      <c r="D949" s="3" t="inlineStr">
        <is>
          <t>Это в сердце было моём</t>
        </is>
      </c>
      <c r="E949" s="2" t="n">
        <v>1978</v>
      </c>
      <c r="F949" s="2" t="inlineStr">
        <is>
          <t>телефильм</t>
        </is>
      </c>
      <c r="G949" s="2" t="n"/>
      <c r="H949" s="2" t="n">
        <v>83</v>
      </c>
      <c r="I949" s="2" t="inlineStr"/>
      <c r="J949" s="2" t="inlineStr">
        <is>
          <t>да</t>
        </is>
      </c>
      <c r="K949" s="3" t="inlineStr">
        <is>
          <t>Фильм-монография. О жизни и творчестве писателя и драматурга Всеволода Вишневского.</t>
        </is>
      </c>
      <c r="L949" s="2" t="inlineStr">
        <is>
          <t>Кино_СССР сводный каталог.xlsx: список телефильмов</t>
        </is>
      </c>
      <c r="M949" s="2">
        <f>HYPERLINK("https://ru.wikipedia.org/w/index.php?search=%D0%AD%D1%82%D0%BE%20%D0%B2%20%D1%81%D0%B5%D1%80%D0%B4%D1%86%D0%B5%20%D0%B1%D1%8B%D0%BB%D0%BE%20%D0%BC%D0%BE%D1%91%D0%BC%201978%20%D1%84%D0%B8%D0%BB%D1%8C%D0%BC","искать")</f>
        <v/>
      </c>
      <c r="N949" s="3" t="n"/>
      <c r="O949" s="2" t="n"/>
    </row>
    <row r="950">
      <c r="A950" s="2" t="n">
        <v>949</v>
      </c>
      <c r="B950" s="2" t="inlineStr">
        <is>
          <t>не сюжет</t>
        </is>
      </c>
      <c r="C950" s="2" t="n">
        <v>8738</v>
      </c>
      <c r="D950" s="3" t="inlineStr">
        <is>
          <t>Зов родственного томления</t>
        </is>
      </c>
      <c r="E950" s="2" t="n">
        <v>1988</v>
      </c>
      <c r="F950" s="2" t="inlineStr">
        <is>
          <t>кинофильм</t>
        </is>
      </c>
      <c r="G950" s="2" t="n"/>
      <c r="H950" s="2" t="n">
        <v>83</v>
      </c>
      <c r="I950" s="2" t="inlineStr"/>
      <c r="J950" s="2" t="inlineStr">
        <is>
          <t>да</t>
        </is>
      </c>
      <c r="K950" s="3" t="inlineStr">
        <is>
          <t>По мотивам произведений Андрея Платонова; об истории отношений взрослого и ребенка.</t>
        </is>
      </c>
      <c r="L950" s="2" t="inlineStr">
        <is>
          <t>Кино_СССР сводный каталог.xlsx: список фильмов (доп.)</t>
        </is>
      </c>
      <c r="M950" s="2">
        <f>HYPERLINK("https://ru.wikipedia.org/w/index.php?search=%D0%97%D0%BE%D0%B2%20%D1%80%D0%BE%D0%B4%D1%81%D1%82%D0%B2%D0%B5%D0%BD%D0%BD%D0%BE%D0%B3%D0%BE%20%D1%82%D0%BE%D0%BC%D0%BB%D0%B5%D0%BD%D0%B8%D1%8F%201988%20%D1%84%D0%B8%D0%BB%D1%8C%D0%BC","искать")</f>
        <v/>
      </c>
      <c r="N950" s="3" t="n"/>
      <c r="O950" s="2" t="n"/>
    </row>
    <row r="951">
      <c r="A951" s="2" t="n">
        <v>950</v>
      </c>
      <c r="B951" s="2" t="inlineStr">
        <is>
          <t>не сюжет</t>
        </is>
      </c>
      <c r="C951" s="2" t="n">
        <v>8782</v>
      </c>
      <c r="D951" s="3" t="inlineStr">
        <is>
          <t>Крутизна</t>
        </is>
      </c>
      <c r="E951" s="2" t="n">
        <v>1983</v>
      </c>
      <c r="F951" s="2" t="inlineStr">
        <is>
          <t>кинофильм</t>
        </is>
      </c>
      <c r="G951" s="2" t="n"/>
      <c r="H951" s="2" t="n">
        <v>83</v>
      </c>
      <c r="I951" s="2" t="inlineStr"/>
      <c r="J951" s="2" t="inlineStr">
        <is>
          <t>да</t>
        </is>
      </c>
      <c r="K951" s="3" t="inlineStr">
        <is>
          <t>О молодом председателе колхоза Казбеке - стороннике возрождения горного земледелия.</t>
        </is>
      </c>
      <c r="L951" s="2" t="inlineStr">
        <is>
          <t>Кино_СССР сводный каталог.xlsx: список фильмов (доп.)</t>
        </is>
      </c>
      <c r="M951" s="2">
        <f>HYPERLINK("https://ru.wikipedia.org/w/index.php?search=%D0%9A%D1%80%D1%83%D1%82%D0%B8%D0%B7%D0%BD%D0%B0%201983%20%D1%84%D0%B8%D0%BB%D1%8C%D0%BC","искать")</f>
        <v/>
      </c>
      <c r="N951" s="3" t="n"/>
      <c r="O951" s="2" t="n"/>
    </row>
    <row r="952">
      <c r="A952" s="2" t="n">
        <v>951</v>
      </c>
      <c r="B952" s="2" t="inlineStr">
        <is>
          <t>не сюжет</t>
        </is>
      </c>
      <c r="C952" s="2" t="n">
        <v>9565</v>
      </c>
      <c r="D952" s="3" t="inlineStr">
        <is>
          <t>Поезда без улыбок</t>
        </is>
      </c>
      <c r="E952" s="2" t="n">
        <v>1989</v>
      </c>
      <c r="F952" s="2" t="inlineStr">
        <is>
          <t>кинофильм</t>
        </is>
      </c>
      <c r="G952" s="2" t="n"/>
      <c r="H952" s="2" t="n">
        <v>83</v>
      </c>
      <c r="I952" s="2" t="inlineStr"/>
      <c r="J952" s="2" t="inlineStr">
        <is>
          <t>да</t>
        </is>
      </c>
      <c r="K952" s="3" t="inlineStr">
        <is>
          <t>Премьерный показ состоялся в Доме Кино в Киеве, но на широкий экран фильм не вышел.</t>
        </is>
      </c>
      <c r="L952" s="2" t="inlineStr">
        <is>
          <t>Кино_СССР сводный каталог.xlsx: список фильмов (доп.)</t>
        </is>
      </c>
      <c r="M952" s="2">
        <f>HYPERLINK("https://ru.wikipedia.org/w/index.php?search=%D0%9F%D0%BE%D0%B5%D0%B7%D0%B4%D0%B0%20%D0%B1%D0%B5%D0%B7%20%D1%83%D0%BB%D1%8B%D0%B1%D0%BE%D0%BA%201989%20%D1%84%D0%B8%D0%BB%D1%8C%D0%BC","искать")</f>
        <v/>
      </c>
      <c r="N952" s="3" t="n"/>
      <c r="O952" s="2" t="n"/>
    </row>
    <row r="953">
      <c r="A953" s="2" t="n">
        <v>952</v>
      </c>
      <c r="B953" s="2" t="inlineStr">
        <is>
          <t>не сюжет</t>
        </is>
      </c>
      <c r="C953" s="2" t="n">
        <v>9824</v>
      </c>
      <c r="D953" s="3" t="inlineStr">
        <is>
          <t>Огонь</t>
        </is>
      </c>
      <c r="E953" s="2" t="n">
        <v>1963</v>
      </c>
      <c r="F953" s="2" t="inlineStr">
        <is>
          <t>кинофильм</t>
        </is>
      </c>
      <c r="G953" s="2" t="inlineStr">
        <is>
          <t>Арменфильм</t>
        </is>
      </c>
      <c r="H953" s="2" t="n">
        <v>83</v>
      </c>
      <c r="I953" s="2" t="inlineStr"/>
      <c r="J953" s="2" t="inlineStr">
        <is>
          <t>да</t>
        </is>
      </c>
      <c r="K953" s="3" t="inlineStr">
        <is>
          <t>Կրակ
Заказной фильм о необходимости соблюдения правил противопожарной безопасности.</t>
        </is>
      </c>
      <c r="L953" s="2" t="inlineStr">
        <is>
          <t>https://www.kino-teatr.ru/short/movie/sov/16626/annot/</t>
        </is>
      </c>
      <c r="M953" s="2">
        <f>HYPERLINK("https://ru.wikipedia.org/w/index.php?search=%D0%9E%D0%B3%D0%BE%D0%BD%D1%8C%201963%20%D1%84%D0%B8%D0%BB%D1%8C%D0%BC","искать")</f>
        <v/>
      </c>
      <c r="N953" s="3" t="n"/>
      <c r="O953" s="2" t="n"/>
    </row>
    <row r="954">
      <c r="A954" s="2" t="n">
        <v>953</v>
      </c>
      <c r="B954" s="2" t="inlineStr">
        <is>
          <t>не сюжет</t>
        </is>
      </c>
      <c r="C954" s="2" t="n">
        <v>10616</v>
      </c>
      <c r="D954" s="3" t="inlineStr">
        <is>
          <t>Н.А. Некрасов. Русские женщины</t>
        </is>
      </c>
      <c r="E954" s="2" t="n">
        <v>1975</v>
      </c>
      <c r="F954" s="2" t="inlineStr">
        <is>
          <t>фильм-спектакль</t>
        </is>
      </c>
      <c r="G954" s="2" t="inlineStr">
        <is>
          <t>Центральное телевидение</t>
        </is>
      </c>
      <c r="H954" s="2" t="n">
        <v>83</v>
      </c>
      <c r="I954" s="2" t="inlineStr"/>
      <c r="J954" s="2" t="inlineStr">
        <is>
          <t>да</t>
        </is>
      </c>
      <c r="K954" s="3" t="inlineStr">
        <is>
          <t>Из цикла "Литературные чтения".
Исполняется поэма Н.А. Некрасова "Русские женщины".</t>
        </is>
      </c>
      <c r="L954" s="2" t="inlineStr">
        <is>
          <t>https://www.kino-teatr.ru/teatr/movie/104750/annot/</t>
        </is>
      </c>
      <c r="M954" s="2">
        <f>HYPERLINK("https://ru.wikipedia.org/w/index.php?search=%D0%9D.%D0%90.%20%D0%9D%D0%B5%D0%BA%D1%80%D0%B0%D1%81%D0%BE%D0%B2.%20%D0%A0%D1%83%D1%81%D1%81%D0%BA%D0%B8%D0%B5%20%D0%B6%D0%B5%D0%BD%D1%89%D0%B8%D0%BD%D1%8B%201975%20%D1%84%D0%B8%D0%BB%D1%8C%D0%BC","искать")</f>
        <v/>
      </c>
      <c r="N954" s="3" t="n"/>
      <c r="O954" s="2" t="n"/>
    </row>
    <row r="955">
      <c r="A955" s="2" t="n">
        <v>954</v>
      </c>
      <c r="B955" s="2" t="inlineStr">
        <is>
          <t>не сюжет</t>
        </is>
      </c>
      <c r="C955" s="2" t="n">
        <v>10625</v>
      </c>
      <c r="D955" s="3" t="inlineStr">
        <is>
          <t>Светлые ожидания</t>
        </is>
      </c>
      <c r="E955" s="2" t="n">
        <v>1975</v>
      </c>
      <c r="F955" s="2" t="inlineStr">
        <is>
          <t>фильм-спектакль</t>
        </is>
      </c>
      <c r="G955" s="2" t="inlineStr">
        <is>
          <t>Главная редакция литературно-драматических программ ЦТ</t>
        </is>
      </c>
      <c r="H955" s="2" t="n">
        <v>83</v>
      </c>
      <c r="I955" s="2" t="inlineStr"/>
      <c r="J955" s="2" t="inlineStr">
        <is>
          <t>да</t>
        </is>
      </c>
      <c r="K955" s="3" t="inlineStr">
        <is>
          <t>По мотивам рассказов А.И.Куприна «Телеграфист», «Черная молния», «Путешественники».</t>
        </is>
      </c>
      <c r="L955" s="2" t="inlineStr">
        <is>
          <t>https://www.kino-teatr.ru/teatr/movie/91658/annot/</t>
        </is>
      </c>
      <c r="M955" s="2">
        <f>HYPERLINK("https://ru.wikipedia.org/w/index.php?search=%D0%A1%D0%B2%D0%B5%D1%82%D0%BB%D1%8B%D0%B5%20%D0%BE%D0%B6%D0%B8%D0%B4%D0%B0%D0%BD%D0%B8%D1%8F%201975%20%D1%84%D0%B8%D0%BB%D1%8C%D0%BC","искать")</f>
        <v/>
      </c>
      <c r="N955" s="3" t="n"/>
      <c r="O955" s="2" t="n"/>
    </row>
    <row r="956">
      <c r="A956" s="2" t="n">
        <v>955</v>
      </c>
      <c r="B956" s="2" t="inlineStr">
        <is>
          <t>не сюжет</t>
        </is>
      </c>
      <c r="C956" s="2" t="n">
        <v>10901</v>
      </c>
      <c r="D956" s="3" t="inlineStr">
        <is>
          <t>Последний шанс</t>
        </is>
      </c>
      <c r="E956" s="2" t="n">
        <v>1981</v>
      </c>
      <c r="F956" s="2" t="inlineStr">
        <is>
          <t>фильм-спектакль</t>
        </is>
      </c>
      <c r="G956" s="2" t="inlineStr">
        <is>
          <t>Белорусское телевидение, Подборки фильмов, экранизации Василя Быкова</t>
        </is>
      </c>
      <c r="H956" s="2" t="n">
        <v>83</v>
      </c>
      <c r="I956" s="2" t="inlineStr"/>
      <c r="J956" s="2" t="inlineStr">
        <is>
          <t>да</t>
        </is>
      </c>
      <c r="K956" s="3" t="inlineStr">
        <is>
          <t>Фильм-спектакль Белорусского театра им.Я.Купалы по пьесе В.Быкова "Последний шанс".</t>
        </is>
      </c>
      <c r="L956" s="2" t="inlineStr">
        <is>
          <t>https://www.kino-teatr.ru/teatr/movie/93616/annot/</t>
        </is>
      </c>
      <c r="M956" s="2">
        <f>HYPERLINK("https://ru.wikipedia.org/w/index.php?search=%D0%9F%D0%BE%D1%81%D0%BB%D0%B5%D0%B4%D0%BD%D0%B8%D0%B9%20%D1%88%D0%B0%D0%BD%D1%81%201981%20%D1%84%D0%B8%D0%BB%D1%8C%D0%BC","искать")</f>
        <v/>
      </c>
      <c r="N956" s="3" t="n"/>
      <c r="O956" s="2" t="n"/>
    </row>
    <row r="957">
      <c r="A957" s="2" t="n">
        <v>956</v>
      </c>
      <c r="B957" s="2" t="inlineStr">
        <is>
          <t>не сюжет</t>
        </is>
      </c>
      <c r="C957" s="2" t="n">
        <v>11093</v>
      </c>
      <c r="D957" s="3" t="inlineStr">
        <is>
          <t>Алло, Вы ошиблись номером</t>
        </is>
      </c>
      <c r="E957" s="2" t="n">
        <v>1986</v>
      </c>
      <c r="F957" s="2" t="inlineStr">
        <is>
          <t>фильм-спектакль</t>
        </is>
      </c>
      <c r="G957" s="2" t="inlineStr">
        <is>
          <t>Ленинградское ТВ</t>
        </is>
      </c>
      <c r="H957" s="2" t="n">
        <v>83</v>
      </c>
      <c r="I957" s="2" t="inlineStr"/>
      <c r="J957" s="2" t="inlineStr">
        <is>
          <t>да</t>
        </is>
      </c>
      <c r="K957" s="3" t="inlineStr">
        <is>
          <t>Остросюжетный спектакль-детектив создан по мотивам повести Л. Флетчер и А. Ульмана.</t>
        </is>
      </c>
      <c r="L957" s="2" t="inlineStr">
        <is>
          <t>https://www.kino-teatr.ru/teatr/movie/98252/annot/</t>
        </is>
      </c>
      <c r="M957" s="2">
        <f>HYPERLINK("https://ru.wikipedia.org/w/index.php?search=%D0%90%D0%BB%D0%BB%D0%BE%2C%20%D0%92%D1%8B%20%D0%BE%D1%88%D0%B8%D0%B1%D0%BB%D0%B8%D1%81%D1%8C%20%D0%BD%D0%BE%D0%BC%D0%B5%D1%80%D0%BE%D0%BC%201986%20%D1%84%D0%B8%D0%BB%D1%8C%D0%BC","искать")</f>
        <v/>
      </c>
      <c r="N957" s="3" t="n"/>
      <c r="O957" s="2" t="n"/>
    </row>
    <row r="958">
      <c r="A958" s="2" t="n">
        <v>957</v>
      </c>
      <c r="B958" s="2" t="inlineStr">
        <is>
          <t>не сюжет</t>
        </is>
      </c>
      <c r="C958" s="2" t="n">
        <v>11371</v>
      </c>
      <c r="D958" s="3" t="inlineStr">
        <is>
          <t>Дон Жуан</t>
        </is>
      </c>
      <c r="E958" s="2" t="n">
        <v>1987</v>
      </c>
      <c r="F958" s="2" t="inlineStr">
        <is>
          <t>фильм-опера/балет</t>
        </is>
      </c>
      <c r="G958" s="2" t="n"/>
      <c r="H958" s="2" t="n">
        <v>83</v>
      </c>
      <c r="I958" s="2" t="inlineStr"/>
      <c r="J958" s="2" t="inlineStr">
        <is>
          <t>да</t>
        </is>
      </c>
      <c r="K958" s="3" t="inlineStr">
        <is>
          <t>По мотивам одноименной оперы Вольфганга-Амадея Моцарта. Дирижер - Саулюс Сондецкис.</t>
        </is>
      </c>
      <c r="L958" s="2" t="inlineStr">
        <is>
          <t>Кино_СССР телефильмы и пропуски включить в базу.xlsx</t>
        </is>
      </c>
      <c r="M958" s="2">
        <f>HYPERLINK("https://ru.wikipedia.org/w/index.php?search=%D0%94%D0%BE%D0%BD%20%D0%96%D1%83%D0%B0%D0%BD%201987%20%D1%84%D0%B8%D0%BB%D1%8C%D0%BC","искать")</f>
        <v/>
      </c>
      <c r="N958" s="3" t="n"/>
      <c r="O958" s="2" t="n"/>
    </row>
    <row r="959">
      <c r="A959" s="2" t="n">
        <v>958</v>
      </c>
      <c r="B959" s="2" t="inlineStr">
        <is>
          <t>не сюжет</t>
        </is>
      </c>
      <c r="C959" s="2" t="n">
        <v>7190</v>
      </c>
      <c r="D959" s="3" t="inlineStr">
        <is>
          <t>Автограф</t>
        </is>
      </c>
      <c r="E959" s="2" t="n">
        <v>1984</v>
      </c>
      <c r="F959" s="2" t="inlineStr">
        <is>
          <t>телефильм</t>
        </is>
      </c>
      <c r="G959" s="2" t="inlineStr">
        <is>
          <t>ТО «Экран»</t>
        </is>
      </c>
      <c r="H959" s="2" t="n">
        <v>84</v>
      </c>
      <c r="I959" s="2" t="inlineStr"/>
      <c r="J959" s="2" t="inlineStr">
        <is>
          <t>да</t>
        </is>
      </c>
      <c r="K959" s="3" t="inlineStr">
        <is>
          <t>Музыкальный телевизионный фильм-концерт известной итальянской певицы Лореданы Берте.</t>
        </is>
      </c>
      <c r="L959" s="2" t="inlineStr">
        <is>
          <t>Кино_СССР сводный каталог.xlsx: список телефильмов</t>
        </is>
      </c>
      <c r="M959" s="2">
        <f>HYPERLINK("https://ru.wikipedia.org/w/index.php?search=%D0%90%D0%B2%D1%82%D0%BE%D0%B3%D1%80%D0%B0%D1%84%201984%20%D1%84%D0%B8%D0%BB%D1%8C%D0%BC","искать")</f>
        <v/>
      </c>
      <c r="N959" s="3" t="n"/>
      <c r="O959" s="2" t="n"/>
    </row>
    <row r="960">
      <c r="A960" s="2" t="n">
        <v>959</v>
      </c>
      <c r="B960" s="2" t="inlineStr">
        <is>
          <t>не сюжет</t>
        </is>
      </c>
      <c r="C960" s="2" t="n">
        <v>7621</v>
      </c>
      <c r="D960" s="3" t="inlineStr">
        <is>
          <t>Завтра начинается сегодня</t>
        </is>
      </c>
      <c r="E960" s="2" t="n">
        <v>1984</v>
      </c>
      <c r="F960" s="2" t="inlineStr">
        <is>
          <t>телефильм</t>
        </is>
      </c>
      <c r="G960" s="2" t="inlineStr">
        <is>
          <t>Укртелефильм</t>
        </is>
      </c>
      <c r="H960" s="2" t="n">
        <v>84</v>
      </c>
      <c r="I960" s="2" t="inlineStr"/>
      <c r="J960" s="2" t="inlineStr">
        <is>
          <t>да</t>
        </is>
      </c>
      <c r="K960" s="3" t="inlineStr">
        <is>
          <t>Телевизионный фильм о производственном конфликте на одной из донецких угольных шахт.</t>
        </is>
      </c>
      <c r="L960" s="2" t="inlineStr">
        <is>
          <t>Кино_СССР сводный каталог.xlsx: список телефильмов</t>
        </is>
      </c>
      <c r="M960" s="2">
        <f>HYPERLINK("https://ru.wikipedia.org/w/index.php?search=%D0%97%D0%B0%D0%B2%D1%82%D1%80%D0%B0%20%D0%BD%D0%B0%D1%87%D0%B8%D0%BD%D0%B0%D0%B5%D1%82%D1%81%D1%8F%20%D1%81%D0%B5%D0%B3%D0%BE%D0%B4%D0%BD%D1%8F%201984%20%D1%84%D0%B8%D0%BB%D1%8C%D0%BC","искать")</f>
        <v/>
      </c>
      <c r="N960" s="3" t="n"/>
      <c r="O960" s="2" t="n"/>
    </row>
    <row r="961">
      <c r="A961" s="2" t="n">
        <v>960</v>
      </c>
      <c r="B961" s="2" t="inlineStr">
        <is>
          <t>не сюжет</t>
        </is>
      </c>
      <c r="C961" s="2" t="n">
        <v>8678</v>
      </c>
      <c r="D961" s="3" t="inlineStr">
        <is>
          <t>Глазами сатаны</t>
        </is>
      </c>
      <c r="E961" s="2" t="n">
        <v>1991</v>
      </c>
      <c r="F961" s="2" t="inlineStr">
        <is>
          <t>телефильм</t>
        </is>
      </c>
      <c r="G961" s="2" t="inlineStr">
        <is>
          <t>"Укртелефильм"</t>
        </is>
      </c>
      <c r="H961" s="2" t="n">
        <v>84</v>
      </c>
      <c r="I961" s="2" t="inlineStr"/>
      <c r="J961" s="2" t="inlineStr">
        <is>
          <t>да</t>
        </is>
      </c>
      <c r="K961" s="3" t="inlineStr">
        <is>
          <t>Экранизация пьесы французского писателя  Ж.П. Сартра "За дверью". О природе женщины.</t>
        </is>
      </c>
      <c r="L961" s="2" t="inlineStr">
        <is>
          <t>Кино_СССР сводный каталог.xlsx: список фильмов (доп.)</t>
        </is>
      </c>
      <c r="M961" s="2">
        <f>HYPERLINK("https://ru.wikipedia.org/w/index.php?search=%D0%93%D0%BB%D0%B0%D0%B7%D0%B0%D0%BC%D0%B8%20%D1%81%D0%B0%D1%82%D0%B0%D0%BD%D1%8B%201991%20%D1%84%D0%B8%D0%BB%D1%8C%D0%BC","искать")</f>
        <v/>
      </c>
      <c r="N961" s="3" t="n"/>
      <c r="O961" s="2" t="n"/>
    </row>
    <row r="962">
      <c r="A962" s="2" t="n">
        <v>961</v>
      </c>
      <c r="B962" s="2" t="inlineStr">
        <is>
          <t>не сюжет</t>
        </is>
      </c>
      <c r="C962" s="2" t="n">
        <v>9849</v>
      </c>
      <c r="D962" s="3" t="inlineStr">
        <is>
          <t>Кряжёнок</t>
        </is>
      </c>
      <c r="E962" s="2" t="n">
        <v>1968</v>
      </c>
      <c r="F962" s="2" t="inlineStr">
        <is>
          <t>телефильм</t>
        </is>
      </c>
      <c r="G962" s="2" t="inlineStr">
        <is>
          <t>Минсктелефильм</t>
        </is>
      </c>
      <c r="H962" s="2" t="n">
        <v>84</v>
      </c>
      <c r="I962" s="2" t="inlineStr"/>
      <c r="J962" s="2" t="inlineStr">
        <is>
          <t>да</t>
        </is>
      </c>
      <c r="K962" s="3" t="inlineStr">
        <is>
          <t>По одноименному рассказу Н.Богданова.
О лесосплавщиках - Кряже и его внуке Кряжонке.</t>
        </is>
      </c>
      <c r="L962" s="2" t="inlineStr">
        <is>
          <t>https://www.kino-teatr.ru/short/movie/sov/86351/annot/</t>
        </is>
      </c>
      <c r="M962" s="2">
        <f>HYPERLINK("https://ru.wikipedia.org/w/index.php?search=%D0%9A%D1%80%D1%8F%D0%B6%D1%91%D0%BD%D0%BE%D0%BA%201968%20%D1%84%D0%B8%D0%BB%D1%8C%D0%BC","искать")</f>
        <v/>
      </c>
      <c r="N962" s="3" t="n"/>
      <c r="O962" s="2" t="n"/>
    </row>
    <row r="963">
      <c r="A963" s="2" t="n">
        <v>962</v>
      </c>
      <c r="B963" s="2" t="inlineStr">
        <is>
          <t>не сюжет</t>
        </is>
      </c>
      <c r="C963" s="2" t="n">
        <v>11175</v>
      </c>
      <c r="D963" s="3" t="inlineStr">
        <is>
          <t>О, Мельпомена!</t>
        </is>
      </c>
      <c r="E963" s="2" t="n">
        <v>1987</v>
      </c>
      <c r="F963" s="2" t="inlineStr">
        <is>
          <t>фильм-спектакль</t>
        </is>
      </c>
      <c r="G963" s="2" t="inlineStr">
        <is>
          <t>Главная редакция художественного вещания ленинградского телевидения</t>
        </is>
      </c>
      <c r="H963" s="2" t="n">
        <v>84</v>
      </c>
      <c r="I963" s="2" t="inlineStr"/>
      <c r="J963" s="2" t="inlineStr">
        <is>
          <t>да</t>
        </is>
      </c>
      <c r="K963" s="3" t="inlineStr">
        <is>
          <t>Телеспектакль по мотивам рассказов А.П. Чехова "Трагик", "Барон", "Критик", "Комик".</t>
        </is>
      </c>
      <c r="L963" s="2" t="inlineStr">
        <is>
          <t>https://www.kino-teatr.ru/teatr/movie/115182/annot/</t>
        </is>
      </c>
      <c r="M963" s="2">
        <f>HYPERLINK("https://ru.wikipedia.org/w/index.php?search=%D0%9E%2C%20%D0%9C%D0%B5%D0%BB%D1%8C%D0%BF%D0%BE%D0%BC%D0%B5%D0%BD%D0%B0%21%201987%20%D1%84%D0%B8%D0%BB%D1%8C%D0%BC","искать")</f>
        <v/>
      </c>
      <c r="N963" s="3" t="n"/>
      <c r="O963" s="2" t="n"/>
    </row>
    <row r="964">
      <c r="A964" s="2" t="n">
        <v>963</v>
      </c>
      <c r="B964" s="2" t="inlineStr">
        <is>
          <t>не сюжет</t>
        </is>
      </c>
      <c r="C964" s="2" t="n">
        <v>7589</v>
      </c>
      <c r="D964" s="3" t="inlineStr">
        <is>
          <t>Жена моя, дети мои (киноальманах)</t>
        </is>
      </c>
      <c r="E964" s="2" t="n">
        <v>1978</v>
      </c>
      <c r="F964" s="2" t="inlineStr">
        <is>
          <t>телефильм</t>
        </is>
      </c>
      <c r="G964" s="2" t="n"/>
      <c r="H964" s="2" t="n">
        <v>85</v>
      </c>
      <c r="I964" s="2" t="inlineStr"/>
      <c r="J964" s="2" t="inlineStr">
        <is>
          <t>да</t>
        </is>
      </c>
      <c r="K964" s="3" t="inlineStr">
        <is>
          <t>Киноальманах из трёх новелл: "Свадьба", "Удобное место в саду", "Жена моя, дети мои".</t>
        </is>
      </c>
      <c r="L964" s="2" t="inlineStr">
        <is>
          <t>Кино_СССР сводный каталог.xlsx: список телефильмов</t>
        </is>
      </c>
      <c r="M964" s="2">
        <f>HYPERLINK("https://ru.wikipedia.org/w/index.php?search=%D0%96%D0%B5%D0%BD%D0%B0%20%D0%BC%D0%BE%D1%8F%2C%20%D0%B4%D0%B5%D1%82%D0%B8%20%D0%BC%D0%BE%D0%B8%20%28%D0%BA%D0%B8%D0%BD%D0%BE%D0%B0%D0%BB%D1%8C%D0%BC%D0%B0%D0%BD%D0%B0%D1%85%29%201978%20%D1%84%D0%B8%D0%BB%D1%8C%D0%BC","искать")</f>
        <v/>
      </c>
      <c r="N964" s="3" t="n"/>
      <c r="O964" s="2" t="n"/>
    </row>
    <row r="965">
      <c r="A965" s="2" t="n">
        <v>964</v>
      </c>
      <c r="B965" s="2" t="inlineStr">
        <is>
          <t>не сюжет</t>
        </is>
      </c>
      <c r="C965" s="2" t="n">
        <v>8257</v>
      </c>
      <c r="D965" s="3" t="inlineStr">
        <is>
          <t>Раннее, раннее утро...</t>
        </is>
      </c>
      <c r="E965" s="2" t="n">
        <v>1983</v>
      </c>
      <c r="F965" s="2" t="inlineStr">
        <is>
          <t>телефильм</t>
        </is>
      </c>
      <c r="G965" s="2" t="n"/>
      <c r="H965" s="2" t="n">
        <v>85</v>
      </c>
      <c r="I965" s="2" t="inlineStr"/>
      <c r="J965" s="2" t="inlineStr">
        <is>
          <t>да</t>
        </is>
      </c>
      <c r="K965" s="3" t="inlineStr">
        <is>
          <t>По мотивам повести Валентины Осеевой "Динка". Действие фильма происходит в 1910 году.</t>
        </is>
      </c>
      <c r="L965" s="2" t="inlineStr">
        <is>
          <t>Кино_СССР сводный каталог.xlsx: список телефильмов</t>
        </is>
      </c>
      <c r="M965" s="2">
        <f>HYPERLINK("https://ru.wikipedia.org/w/index.php?search=%D0%A0%D0%B0%D0%BD%D0%BD%D0%B5%D0%B5%2C%20%D1%80%D0%B0%D0%BD%D0%BD%D0%B5%D0%B5%20%D1%83%D1%82%D1%80%D0%BE...%201983%20%D1%84%D0%B8%D0%BB%D1%8C%D0%BC","искать")</f>
        <v/>
      </c>
      <c r="N965" s="3" t="n"/>
      <c r="O965" s="2" t="n"/>
    </row>
    <row r="966">
      <c r="A966" s="2" t="n">
        <v>965</v>
      </c>
      <c r="B966" s="2" t="inlineStr">
        <is>
          <t>не сюжет</t>
        </is>
      </c>
      <c r="C966" s="2" t="n">
        <v>9978</v>
      </c>
      <c r="D966" s="3" t="inlineStr">
        <is>
          <t>Фортуна</t>
        </is>
      </c>
      <c r="E966" s="2" t="n">
        <v>1981</v>
      </c>
      <c r="F966" s="2" t="inlineStr">
        <is>
          <t>кинофильм</t>
        </is>
      </c>
      <c r="G966" s="2" t="inlineStr">
        <is>
          <t>Мосфильм</t>
        </is>
      </c>
      <c r="H966" s="2" t="n">
        <v>85</v>
      </c>
      <c r="I966" s="2" t="inlineStr"/>
      <c r="J966" s="2" t="inlineStr">
        <is>
          <t>да</t>
        </is>
      </c>
      <c r="K966" s="3" t="inlineStr">
        <is>
          <t>По мотивам рассказа Григория Горина «Лотерейный билет».
Шутка о превратностях судьбы.</t>
        </is>
      </c>
      <c r="L966" s="2" t="inlineStr">
        <is>
          <t>https://www.kino-teatr.ru/short/movie/sov/8723/annot/</t>
        </is>
      </c>
      <c r="M966" s="2">
        <f>HYPERLINK("https://ru.wikipedia.org/w/index.php?search=%D0%A4%D0%BE%D1%80%D1%82%D1%83%D0%BD%D0%B0%201981%20%D1%84%D0%B8%D0%BB%D1%8C%D0%BC","искать")</f>
        <v/>
      </c>
      <c r="N966" s="3" t="n"/>
      <c r="O966" s="2" t="n"/>
    </row>
    <row r="967">
      <c r="A967" s="2" t="n">
        <v>966</v>
      </c>
      <c r="B967" s="2" t="inlineStr">
        <is>
          <t>не сюжет</t>
        </is>
      </c>
      <c r="C967" s="2" t="n">
        <v>10075</v>
      </c>
      <c r="D967" s="3" t="inlineStr">
        <is>
          <t>Демон (фильм-опера)</t>
        </is>
      </c>
      <c r="E967" s="2" t="n">
        <v>1960</v>
      </c>
      <c r="F967" s="2" t="inlineStr">
        <is>
          <t>фильм-спектакль</t>
        </is>
      </c>
      <c r="G967" s="2" t="inlineStr">
        <is>
          <t>Центральная студия телевидения СССР на Шаболовке, Подборки фильмов, фильмы на основе оперы</t>
        </is>
      </c>
      <c r="H967" s="2" t="n">
        <v>85</v>
      </c>
      <c r="I967" s="2" t="inlineStr"/>
      <c r="J967" s="2" t="inlineStr">
        <is>
          <t>да</t>
        </is>
      </c>
      <c r="K967" s="3" t="inlineStr">
        <is>
          <t>Телевизионная версия оперы А. Рубинштейна "Демон" по одноименной поэме М. Лермонтова.</t>
        </is>
      </c>
      <c r="L967" s="2" t="inlineStr">
        <is>
          <t>https://www.kino-teatr.ru/teatr/movie/97811/annot/</t>
        </is>
      </c>
      <c r="M967" s="2">
        <f>HYPERLINK("https://ru.wikipedia.org/w/index.php?search=%D0%94%D0%B5%D0%BC%D0%BE%D0%BD%20%28%D1%84%D0%B8%D0%BB%D1%8C%D0%BC-%D0%BE%D0%BF%D0%B5%D1%80%D0%B0%29%201960%20%D1%84%D0%B8%D0%BB%D1%8C%D0%BC","искать")</f>
        <v/>
      </c>
      <c r="N967" s="3" t="n"/>
      <c r="O967" s="2" t="n"/>
    </row>
    <row r="968">
      <c r="A968" s="2" t="n">
        <v>967</v>
      </c>
      <c r="B968" s="2" t="inlineStr">
        <is>
          <t>не сюжет</t>
        </is>
      </c>
      <c r="C968" s="2" t="n">
        <v>10784</v>
      </c>
      <c r="D968" s="3" t="inlineStr">
        <is>
          <t>Хозяйка гостиницы</t>
        </is>
      </c>
      <c r="E968" s="2" t="n">
        <v>1978</v>
      </c>
      <c r="F968" s="2" t="inlineStr">
        <is>
          <t>фильм-спектакль</t>
        </is>
      </c>
      <c r="G968" s="2" t="inlineStr">
        <is>
          <t>Азербайджанское телевидение</t>
        </is>
      </c>
      <c r="H968" s="2" t="n">
        <v>85</v>
      </c>
      <c r="I968" s="2" t="inlineStr"/>
      <c r="J968" s="2" t="inlineStr">
        <is>
          <t>да</t>
        </is>
      </c>
      <c r="K968" s="3" t="inlineStr">
        <is>
          <t>Телевизионная экранизация одноименной комедии итальянского драматурга Карло Гольдони.</t>
        </is>
      </c>
      <c r="L968" s="2" t="inlineStr">
        <is>
          <t>https://www.kino-teatr.ru/teatr/movie/97518/annot/</t>
        </is>
      </c>
      <c r="M968" s="2">
        <f>HYPERLINK("https://ru.wikipedia.org/w/index.php?search=%D0%A5%D0%BE%D0%B7%D1%8F%D0%B9%D0%BA%D0%B0%20%D0%B3%D0%BE%D1%81%D1%82%D0%B8%D0%BD%D0%B8%D1%86%D1%8B%201978%20%D1%84%D0%B8%D0%BB%D1%8C%D0%BC","искать")</f>
        <v/>
      </c>
      <c r="N968" s="3" t="n"/>
      <c r="O968" s="2" t="n"/>
    </row>
    <row r="969">
      <c r="A969" s="2" t="n">
        <v>968</v>
      </c>
      <c r="B969" s="2" t="inlineStr">
        <is>
          <t>не сюжет</t>
        </is>
      </c>
      <c r="C969" s="2" t="n">
        <v>10885</v>
      </c>
      <c r="D969" s="3" t="inlineStr">
        <is>
          <t>Индрек и Карин</t>
        </is>
      </c>
      <c r="E969" s="2" t="n">
        <v>1981</v>
      </c>
      <c r="F969" s="2" t="inlineStr">
        <is>
          <t>фильм-спектакль</t>
        </is>
      </c>
      <c r="G969" s="2" t="inlineStr">
        <is>
          <t>Центральное телевидение</t>
        </is>
      </c>
      <c r="H969" s="2" t="n">
        <v>85</v>
      </c>
      <c r="I969" s="2" t="inlineStr"/>
      <c r="J969" s="2" t="inlineStr">
        <is>
          <t>да</t>
        </is>
      </c>
      <c r="K969" s="3" t="inlineStr">
        <is>
          <t>Спектакль Эстонского русского театра по роману А.Таммсааре "Правда и справедливость".</t>
        </is>
      </c>
      <c r="L969" s="2" t="inlineStr">
        <is>
          <t>https://www.kino-teatr.ru/teatr/movie/137982/annot/</t>
        </is>
      </c>
      <c r="M969" s="2">
        <f>HYPERLINK("https://ru.wikipedia.org/w/index.php?search=%D0%98%D0%BD%D0%B4%D1%80%D0%B5%D0%BA%20%D0%B8%20%D0%9A%D0%B0%D1%80%D0%B8%D0%BD%201981%20%D1%84%D0%B8%D0%BB%D1%8C%D0%BC","искать")</f>
        <v/>
      </c>
      <c r="N969" s="3" t="n"/>
      <c r="O969" s="2" t="n"/>
    </row>
    <row r="970">
      <c r="A970" s="2" t="n">
        <v>969</v>
      </c>
      <c r="B970" s="2" t="inlineStr">
        <is>
          <t>не сюжет</t>
        </is>
      </c>
      <c r="C970" s="2" t="n">
        <v>7597</v>
      </c>
      <c r="D970" s="3" t="inlineStr">
        <is>
          <t>Жизнь Бетховена</t>
        </is>
      </c>
      <c r="E970" s="2" t="n">
        <v>1978</v>
      </c>
      <c r="F970" s="2" t="inlineStr">
        <is>
          <t>телефильм</t>
        </is>
      </c>
      <c r="G970" s="2" t="n"/>
      <c r="H970" s="2" t="n">
        <v>86</v>
      </c>
      <c r="I970" s="2" t="inlineStr"/>
      <c r="J970" s="2" t="inlineStr">
        <is>
          <t>да</t>
        </is>
      </c>
      <c r="K970" s="3" t="inlineStr">
        <is>
          <t>Биографический фильм о жизни и творчестве немецкого композитора Людвига ван Бетховена.</t>
        </is>
      </c>
      <c r="L970" s="2" t="inlineStr">
        <is>
          <t>Кино_СССР сводный каталог.xlsx: список телефильмов</t>
        </is>
      </c>
      <c r="M970" s="2">
        <f>HYPERLINK("https://ru.wikipedia.org/w/index.php?search=%D0%96%D0%B8%D0%B7%D0%BD%D1%8C%20%D0%91%D0%B5%D1%82%D1%85%D0%BE%D0%B2%D0%B5%D0%BD%D0%B0%201978%20%D1%84%D0%B8%D0%BB%D1%8C%D0%BC","искать")</f>
        <v/>
      </c>
      <c r="N970" s="3" t="n"/>
      <c r="O970" s="2" t="n"/>
    </row>
    <row r="971">
      <c r="A971" s="2" t="n">
        <v>970</v>
      </c>
      <c r="B971" s="2" t="inlineStr">
        <is>
          <t>не сюжет</t>
        </is>
      </c>
      <c r="C971" s="2" t="n">
        <v>10336</v>
      </c>
      <c r="D971" s="3" t="inlineStr">
        <is>
          <t>Тихий Дон</t>
        </is>
      </c>
      <c r="E971" s="2" t="n">
        <v>1969</v>
      </c>
      <c r="F971" s="2" t="inlineStr">
        <is>
          <t>фильм-спектакль</t>
        </is>
      </c>
      <c r="G971" s="2" t="n"/>
      <c r="H971" s="2" t="n">
        <v>86</v>
      </c>
      <c r="I971" s="2" t="inlineStr"/>
      <c r="J971" s="2" t="inlineStr">
        <is>
          <t>да</t>
        </is>
      </c>
      <c r="K971" s="3" t="inlineStr">
        <is>
          <t>Телеспектакль по произведению Михаила Шолохова и опере Ивана Дзержинского "Тихий Дон".</t>
        </is>
      </c>
      <c r="L971" s="2" t="inlineStr">
        <is>
          <t>https://www.kino-teatr.ru/teatr/movie/110978/annot/</t>
        </is>
      </c>
      <c r="M971" s="2">
        <f>HYPERLINK("https://ru.wikipedia.org/w/index.php?search=%D0%A2%D0%B8%D1%85%D0%B8%D0%B9%20%D0%94%D0%BE%D0%BD%201969%20%D1%84%D0%B8%D0%BB%D1%8C%D0%BC","искать")</f>
        <v/>
      </c>
      <c r="N971" s="3" t="n"/>
      <c r="O971" s="2" t="n"/>
    </row>
    <row r="972">
      <c r="A972" s="2" t="n">
        <v>971</v>
      </c>
      <c r="B972" s="2" t="inlineStr">
        <is>
          <t>не сюжет</t>
        </is>
      </c>
      <c r="C972" s="2" t="n">
        <v>10456</v>
      </c>
      <c r="D972" s="3" t="inlineStr">
        <is>
          <t>Не в свои сани не садись</t>
        </is>
      </c>
      <c r="E972" s="2" t="n">
        <v>1972</v>
      </c>
      <c r="F972" s="2" t="inlineStr">
        <is>
          <t>фильм-спектакль</t>
        </is>
      </c>
      <c r="G972" s="2" t="inlineStr">
        <is>
          <t>Главная редакция литературно-драматических программ ЦТ, Подборки фильмов, экранизации Островского</t>
        </is>
      </c>
      <c r="H972" s="2" t="n">
        <v>86</v>
      </c>
      <c r="I972" s="2" t="inlineStr"/>
      <c r="J972" s="2" t="inlineStr">
        <is>
          <t>да</t>
        </is>
      </c>
      <c r="K972" s="3" t="inlineStr">
        <is>
          <t>Телеспектакль московского театра имени Ермоловой по одноименной пьесе А.Н.Островского.</t>
        </is>
      </c>
      <c r="L972" s="2" t="inlineStr">
        <is>
          <t>https://www.kino-teatr.ru/teatr/movie/79226/annot/</t>
        </is>
      </c>
      <c r="M972" s="2">
        <f>HYPERLINK("https://ru.wikipedia.org/w/index.php?search=%D0%9D%D0%B5%20%D0%B2%20%D1%81%D0%B2%D0%BE%D0%B8%20%D1%81%D0%B0%D0%BD%D0%B8%20%D0%BD%D0%B5%20%D1%81%D0%B0%D0%B4%D0%B8%D1%81%D1%8C%201972%20%D1%84%D0%B8%D0%BB%D1%8C%D0%BC","искать")</f>
        <v/>
      </c>
      <c r="N972" s="3" t="n"/>
      <c r="O972" s="2" t="n"/>
    </row>
    <row r="973">
      <c r="A973" s="2" t="n">
        <v>972</v>
      </c>
      <c r="B973" s="2" t="inlineStr">
        <is>
          <t>не сюжет</t>
        </is>
      </c>
      <c r="C973" s="2" t="n">
        <v>10618</v>
      </c>
      <c r="D973" s="3" t="inlineStr">
        <is>
          <t>Наша Чукоккала</t>
        </is>
      </c>
      <c r="E973" s="2" t="n">
        <v>1975</v>
      </c>
      <c r="F973" s="2" t="inlineStr">
        <is>
          <t>фильм-спектакль</t>
        </is>
      </c>
      <c r="G973" s="2" t="inlineStr">
        <is>
          <t>Экран</t>
        </is>
      </c>
      <c r="H973" s="2" t="n">
        <v>86</v>
      </c>
      <c r="I973" s="2" t="inlineStr"/>
      <c r="J973" s="2" t="inlineStr">
        <is>
          <t>да</t>
        </is>
      </c>
      <c r="K973" s="3" t="inlineStr">
        <is>
          <t>По сказкам Корнея Ивановича Чуковского
«Телефон»,«Тараканище», «Мойдодыр», «Бармалей».</t>
        </is>
      </c>
      <c r="L973" s="2" t="inlineStr">
        <is>
          <t>https://www.kino-teatr.ru/teatr/movie/104051/annot/</t>
        </is>
      </c>
      <c r="M973" s="2">
        <f>HYPERLINK("https://ru.wikipedia.org/w/index.php?search=%D0%9D%D0%B0%D1%88%D0%B0%20%D0%A7%D1%83%D0%BA%D0%BE%D0%BA%D0%BA%D0%B0%D0%BB%D0%B0%201975%20%D1%84%D0%B8%D0%BB%D1%8C%D0%BC","искать")</f>
        <v/>
      </c>
      <c r="N973" s="3" t="n"/>
      <c r="O973" s="2" t="n"/>
    </row>
    <row r="974">
      <c r="A974" s="2" t="n">
        <v>973</v>
      </c>
      <c r="B974" s="2" t="inlineStr">
        <is>
          <t>не сюжет</t>
        </is>
      </c>
      <c r="C974" s="2" t="n">
        <v>11253</v>
      </c>
      <c r="D974" s="3" t="inlineStr">
        <is>
          <t>Возвращение со звёзд</t>
        </is>
      </c>
      <c r="E974" s="2" t="n">
        <v>1989</v>
      </c>
      <c r="F974" s="2" t="inlineStr">
        <is>
          <t>фильм-спектакль</t>
        </is>
      </c>
      <c r="G974" s="2" t="inlineStr">
        <is>
          <t>Ленинградское ТВ</t>
        </is>
      </c>
      <c r="H974" s="2" t="n">
        <v>86</v>
      </c>
      <c r="I974" s="2" t="inlineStr"/>
      <c r="J974" s="2" t="inlineStr">
        <is>
          <t>да</t>
        </is>
      </c>
      <c r="K974" s="3" t="inlineStr">
        <is>
          <t>Телеспектакль по мотивам научно-фантастического романа С. Лема "Возвращение со звезд".</t>
        </is>
      </c>
      <c r="L974" s="2" t="inlineStr">
        <is>
          <t>https://www.kino-teatr.ru/teatr/movie/119438/annot/</t>
        </is>
      </c>
      <c r="M974" s="2">
        <f>HYPERLINK("https://ru.wikipedia.org/w/index.php?search=%D0%92%D0%BE%D0%B7%D0%B2%D1%80%D0%B0%D1%89%D0%B5%D0%BD%D0%B8%D0%B5%20%D1%81%D0%BE%20%D0%B7%D0%B2%D1%91%D0%B7%D0%B4%201989%20%D1%84%D0%B8%D0%BB%D1%8C%D0%BC","искать")</f>
        <v/>
      </c>
      <c r="N974" s="3" t="n"/>
      <c r="O974" s="2" t="n"/>
    </row>
    <row r="975">
      <c r="A975" s="2" t="n">
        <v>974</v>
      </c>
      <c r="B975" s="2" t="inlineStr">
        <is>
          <t>не сюжет</t>
        </is>
      </c>
      <c r="C975" s="2" t="n">
        <v>11385</v>
      </c>
      <c r="D975" s="3" t="inlineStr">
        <is>
          <t>Чаплиниана</t>
        </is>
      </c>
      <c r="E975" s="2" t="n">
        <v>1987</v>
      </c>
      <c r="F975" s="2" t="inlineStr">
        <is>
          <t>фильм-опера/балет</t>
        </is>
      </c>
      <c r="G975" s="2" t="n"/>
      <c r="H975" s="2" t="n">
        <v>86</v>
      </c>
      <c r="I975" s="2" t="inlineStr"/>
      <c r="J975" s="2" t="inlineStr">
        <is>
          <t>да</t>
        </is>
      </c>
      <c r="K975" s="3" t="inlineStr">
        <is>
          <t>Фильм-балет, созданный по мотивам сюжетов фильмов и на музыку Чарлза Спенсера Чаплина.</t>
        </is>
      </c>
      <c r="L975" s="2" t="inlineStr">
        <is>
          <t>Кино_СССР телефильмы и пропуски включить в базу.xlsx</t>
        </is>
      </c>
      <c r="M975" s="2">
        <f>HYPERLINK("https://ru.wikipedia.org/w/index.php?search=%D0%A7%D0%B0%D0%BF%D0%BB%D0%B8%D0%BD%D0%B8%D0%B0%D0%BD%D0%B0%201987%20%D1%84%D0%B8%D0%BB%D1%8C%D0%BC","искать")</f>
        <v/>
      </c>
      <c r="N975" s="3" t="n"/>
      <c r="O975" s="2" t="n"/>
    </row>
    <row r="976">
      <c r="A976" s="2" t="n">
        <v>975</v>
      </c>
      <c r="B976" s="2" t="inlineStr">
        <is>
          <t>не сюжет</t>
        </is>
      </c>
      <c r="C976" s="2" t="n">
        <v>7855</v>
      </c>
      <c r="D976" s="3" t="inlineStr">
        <is>
          <t>Масштабные ребята</t>
        </is>
      </c>
      <c r="E976" s="2" t="n">
        <v>1972</v>
      </c>
      <c r="F976" s="2" t="inlineStr">
        <is>
          <t>телефильм</t>
        </is>
      </c>
      <c r="G976" s="2" t="n"/>
      <c r="H976" s="2" t="n">
        <v>87</v>
      </c>
      <c r="I976" s="2" t="inlineStr"/>
      <c r="J976" s="2" t="inlineStr">
        <is>
          <t>да</t>
        </is>
      </c>
      <c r="K976" s="3" t="inlineStr">
        <is>
          <t>Музыкальный телефильм о пионерах-энтузиастах по одноименной повести Николая Печерского.</t>
        </is>
      </c>
      <c r="L976" s="2" t="inlineStr">
        <is>
          <t>Кино_СССР сводный каталог.xlsx: список телефильмов</t>
        </is>
      </c>
      <c r="M976" s="2">
        <f>HYPERLINK("https://ru.wikipedia.org/w/index.php?search=%D0%9C%D0%B0%D1%81%D1%88%D1%82%D0%B0%D0%B1%D0%BD%D1%8B%D0%B5%20%D1%80%D0%B5%D0%B1%D1%8F%D1%82%D0%B0%201972%20%D1%84%D0%B8%D0%BB%D1%8C%D0%BC","искать")</f>
        <v/>
      </c>
      <c r="N976" s="3" t="n"/>
      <c r="O976" s="2" t="n"/>
    </row>
    <row r="977">
      <c r="A977" s="2" t="n">
        <v>976</v>
      </c>
      <c r="B977" s="2" t="inlineStr">
        <is>
          <t>не сюжет</t>
        </is>
      </c>
      <c r="C977" s="2" t="n">
        <v>8020</v>
      </c>
      <c r="D977" s="3" t="inlineStr">
        <is>
          <t>Обида старого охотника</t>
        </is>
      </c>
      <c r="E977" s="2" t="n">
        <v>1985</v>
      </c>
      <c r="F977" s="2" t="inlineStr">
        <is>
          <t>телефильм</t>
        </is>
      </c>
      <c r="G977" s="2" t="n"/>
      <c r="H977" s="2" t="n">
        <v>87</v>
      </c>
      <c r="I977" s="2" t="inlineStr"/>
      <c r="J977" s="2" t="inlineStr">
        <is>
          <t>да</t>
        </is>
      </c>
      <c r="K977" s="3" t="inlineStr">
        <is>
          <t>Фильм рассказывает о любви человека к природе,  о важности сохранения окружающей среды.</t>
        </is>
      </c>
      <c r="L977" s="2" t="inlineStr">
        <is>
          <t>Кино_СССР сводный каталог.xlsx: список телефильмов</t>
        </is>
      </c>
      <c r="M977" s="2">
        <f>HYPERLINK("https://ru.wikipedia.org/w/index.php?search=%D0%9E%D0%B1%D0%B8%D0%B4%D0%B0%20%D1%81%D1%82%D0%B0%D1%80%D0%BE%D0%B3%D0%BE%20%D0%BE%D1%85%D0%BE%D1%82%D0%BD%D0%B8%D0%BA%D0%B0%201985%20%D1%84%D0%B8%D0%BB%D1%8C%D0%BC","искать")</f>
        <v/>
      </c>
      <c r="N977" s="3" t="n"/>
      <c r="O977" s="2" t="n"/>
    </row>
    <row r="978">
      <c r="A978" s="2" t="n">
        <v>977</v>
      </c>
      <c r="B978" s="2" t="inlineStr">
        <is>
          <t>не сюжет</t>
        </is>
      </c>
      <c r="C978" s="2" t="n">
        <v>10003</v>
      </c>
      <c r="D978" s="3" t="inlineStr">
        <is>
          <t>Тропинка в небо</t>
        </is>
      </c>
      <c r="E978" s="2" t="n">
        <v>1984</v>
      </c>
      <c r="F978" s="2" t="inlineStr">
        <is>
          <t>кинофильм</t>
        </is>
      </c>
      <c r="G978" s="2" t="inlineStr">
        <is>
          <t>Арменфильм</t>
        </is>
      </c>
      <c r="H978" s="2" t="n">
        <v>87</v>
      </c>
      <c r="I978" s="2" t="inlineStr"/>
      <c r="J978" s="2" t="inlineStr">
        <is>
          <t>да</t>
        </is>
      </c>
      <c r="K978" s="3" t="inlineStr">
        <is>
          <t>Фильм о добре, дружбе, которая способна превратить мечту маленького героя в реальность.</t>
        </is>
      </c>
      <c r="L978" s="2" t="inlineStr">
        <is>
          <t>https://www.kino-teatr.ru/short/movie/sov/14430/annot/</t>
        </is>
      </c>
      <c r="M978" s="2">
        <f>HYPERLINK("https://ru.wikipedia.org/w/index.php?search=%D0%A2%D1%80%D0%BE%D0%BF%D0%B8%D0%BD%D0%BA%D0%B0%20%D0%B2%20%D0%BD%D0%B5%D0%B1%D0%BE%201984%20%D1%84%D0%B8%D0%BB%D1%8C%D0%BC","искать")</f>
        <v/>
      </c>
      <c r="N978" s="3" t="n"/>
      <c r="O978" s="2" t="n"/>
    </row>
    <row r="979">
      <c r="A979" s="2" t="n">
        <v>978</v>
      </c>
      <c r="B979" s="2" t="inlineStr">
        <is>
          <t>не сюжет</t>
        </is>
      </c>
      <c r="C979" s="2" t="n">
        <v>10064</v>
      </c>
      <c r="D979" s="3" t="inlineStr">
        <is>
          <t>Пушкин</t>
        </is>
      </c>
      <c r="E979" s="2" t="n">
        <v>1957</v>
      </c>
      <c r="F979" s="2" t="inlineStr">
        <is>
          <t>фильм-спектакль</t>
        </is>
      </c>
      <c r="G979" s="2" t="inlineStr">
        <is>
          <t>Центральное телевидение</t>
        </is>
      </c>
      <c r="H979" s="2" t="n">
        <v>87</v>
      </c>
      <c r="I979" s="2" t="inlineStr"/>
      <c r="J979" s="2" t="inlineStr">
        <is>
          <t>да</t>
        </is>
      </c>
      <c r="K979" s="3" t="inlineStr">
        <is>
          <t>Сцены из спектакля Московского театра имени М.Н.Ермоловой по одноименной пьесе А.Глобы.</t>
        </is>
      </c>
      <c r="L979" s="2" t="inlineStr">
        <is>
          <t>https://www.kino-teatr.ru/teatr/movie/93896/annot/</t>
        </is>
      </c>
      <c r="M979" s="2">
        <f>HYPERLINK("https://ru.wikipedia.org/w/index.php?search=%D0%9F%D1%83%D1%88%D0%BA%D0%B8%D0%BD%201957%20%D1%84%D0%B8%D0%BB%D1%8C%D0%BC","искать")</f>
        <v/>
      </c>
      <c r="N979" s="3" t="n"/>
      <c r="O979" s="2" t="n"/>
    </row>
    <row r="980">
      <c r="A980" s="2" t="n">
        <v>979</v>
      </c>
      <c r="B980" s="2" t="inlineStr">
        <is>
          <t>не сюжет</t>
        </is>
      </c>
      <c r="C980" s="2" t="n">
        <v>10085</v>
      </c>
      <c r="D980" s="3" t="inlineStr">
        <is>
          <t>Журавлиные перья</t>
        </is>
      </c>
      <c r="E980" s="2" t="n">
        <v>1961</v>
      </c>
      <c r="F980" s="2" t="inlineStr">
        <is>
          <t>фильм-спектакль</t>
        </is>
      </c>
      <c r="G980" s="2" t="inlineStr">
        <is>
          <t>Ленинградское ТВ</t>
        </is>
      </c>
      <c r="H980" s="2" t="n">
        <v>87</v>
      </c>
      <c r="I980" s="2" t="inlineStr"/>
      <c r="J980" s="2" t="inlineStr">
        <is>
          <t>да</t>
        </is>
      </c>
      <c r="K980" s="3" t="inlineStr">
        <is>
          <t>Телеспектакль по мотивам сказки японского писателя Дзюндзи Киносита "Журавлиные перья".</t>
        </is>
      </c>
      <c r="L980" s="2" t="inlineStr">
        <is>
          <t>https://www.kino-teatr.ru/teatr/movie/80323/annot/</t>
        </is>
      </c>
      <c r="M980" s="2">
        <f>HYPERLINK("https://ru.wikipedia.org/w/index.php?search=%D0%96%D1%83%D1%80%D0%B0%D0%B2%D0%BB%D0%B8%D0%BD%D1%8B%D0%B5%20%D0%BF%D0%B5%D1%80%D1%8C%D1%8F%201961%20%D1%84%D0%B8%D0%BB%D1%8C%D0%BC","искать")</f>
        <v/>
      </c>
      <c r="N980" s="3" t="n"/>
      <c r="O980" s="2" t="n"/>
    </row>
    <row r="981">
      <c r="A981" s="2" t="n">
        <v>980</v>
      </c>
      <c r="B981" s="2" t="inlineStr">
        <is>
          <t>не сюжет</t>
        </is>
      </c>
      <c r="C981" s="2" t="n">
        <v>10222</v>
      </c>
      <c r="D981" s="3" t="inlineStr">
        <is>
          <t>Физики</t>
        </is>
      </c>
      <c r="E981" s="2" t="n">
        <v>1967</v>
      </c>
      <c r="F981" s="2" t="inlineStr">
        <is>
          <t>фильм-спектакль</t>
        </is>
      </c>
      <c r="G981" s="2" t="n"/>
      <c r="H981" s="2" t="n">
        <v>87</v>
      </c>
      <c r="I981" s="2" t="inlineStr"/>
      <c r="J981" s="2" t="inlineStr">
        <is>
          <t>да</t>
        </is>
      </c>
      <c r="K981" s="3" t="inlineStr">
        <is>
          <t>Поставлен по одноименной пьесе швейцарского драматурга и писателя Фридриха Дюрренматта.</t>
        </is>
      </c>
      <c r="L981" s="2" t="inlineStr">
        <is>
          <t>https://www.kino-teatr.ru/teatr/movie/88943/annot/</t>
        </is>
      </c>
      <c r="M981" s="2">
        <f>HYPERLINK("https://ru.wikipedia.org/w/index.php?search=%D0%A4%D0%B8%D0%B7%D0%B8%D0%BA%D0%B8%201967%20%D1%84%D0%B8%D0%BB%D1%8C%D0%BC","искать")</f>
        <v/>
      </c>
      <c r="N981" s="3" t="n"/>
      <c r="O981" s="2" t="n"/>
    </row>
    <row r="982">
      <c r="A982" s="2" t="n">
        <v>981</v>
      </c>
      <c r="B982" s="2" t="inlineStr">
        <is>
          <t>не сюжет</t>
        </is>
      </c>
      <c r="C982" s="2" t="n">
        <v>10620</v>
      </c>
      <c r="D982" s="3" t="inlineStr">
        <is>
          <t>Персональное дело</t>
        </is>
      </c>
      <c r="E982" s="2" t="n">
        <v>1975</v>
      </c>
      <c r="F982" s="2" t="inlineStr">
        <is>
          <t>фильм-спектакль</t>
        </is>
      </c>
      <c r="G982" s="2" t="inlineStr">
        <is>
          <t>Центральное телевидение</t>
        </is>
      </c>
      <c r="H982" s="2" t="n">
        <v>87</v>
      </c>
      <c r="I982" s="2" t="inlineStr"/>
      <c r="J982" s="2" t="inlineStr">
        <is>
          <t>да</t>
        </is>
      </c>
      <c r="K982" s="3" t="inlineStr">
        <is>
          <t>Телеспектакль по пьесе Виктора Суглобова о трудовых буднях сельского райкома комсомола.</t>
        </is>
      </c>
      <c r="L982" s="2" t="inlineStr">
        <is>
          <t>https://www.kino-teatr.ru/teatr/movie/30916/annot/</t>
        </is>
      </c>
      <c r="M982" s="2">
        <f>HYPERLINK("https://ru.wikipedia.org/w/index.php?search=%D0%9F%D0%B5%D1%80%D1%81%D0%BE%D0%BD%D0%B0%D0%BB%D1%8C%D0%BD%D0%BE%D0%B5%20%D0%B4%D0%B5%D0%BB%D0%BE%201975%20%D1%84%D0%B8%D0%BB%D1%8C%D0%BC","искать")</f>
        <v/>
      </c>
      <c r="N982" s="3" t="n"/>
      <c r="O982" s="2" t="n"/>
    </row>
    <row r="983">
      <c r="A983" s="2" t="n">
        <v>982</v>
      </c>
      <c r="B983" s="2" t="inlineStr">
        <is>
          <t>не сюжет</t>
        </is>
      </c>
      <c r="C983" s="2" t="n">
        <v>11002</v>
      </c>
      <c r="D983" s="3" t="inlineStr">
        <is>
          <t>Огнем и кровью</t>
        </is>
      </c>
      <c r="E983" s="2" t="n">
        <v>1983</v>
      </c>
      <c r="F983" s="2" t="inlineStr">
        <is>
          <t>фильм-спектакль</t>
        </is>
      </c>
      <c r="G983" s="2" t="inlineStr">
        <is>
          <t>Ленинградское телевидение</t>
        </is>
      </c>
      <c r="H983" s="2" t="n">
        <v>87</v>
      </c>
      <c r="I983" s="2" t="inlineStr"/>
      <c r="J983" s="2" t="inlineStr">
        <is>
          <t>да</t>
        </is>
      </c>
      <c r="K983" s="3" t="inlineStr">
        <is>
          <t>Спектакль ленинградского театра им. Ленинского Комсомола по роману Ф.Гладкова "Цемент".</t>
        </is>
      </c>
      <c r="L983" s="2" t="inlineStr">
        <is>
          <t>https://www.kino-teatr.ru/teatr/movie/137729/annot/</t>
        </is>
      </c>
      <c r="M983" s="2">
        <f>HYPERLINK("https://ru.wikipedia.org/w/index.php?search=%D0%9E%D0%B3%D0%BD%D0%B5%D0%BC%20%D0%B8%20%D0%BA%D1%80%D0%BE%D0%B2%D1%8C%D1%8E%201983%20%D1%84%D0%B8%D0%BB%D1%8C%D0%BC","искать")</f>
        <v/>
      </c>
      <c r="N983" s="3" t="n"/>
      <c r="O983" s="2" t="n"/>
    </row>
    <row r="984">
      <c r="A984" s="2" t="n">
        <v>983</v>
      </c>
      <c r="B984" s="2" t="inlineStr">
        <is>
          <t>не сюжет</t>
        </is>
      </c>
      <c r="C984" s="2" t="n">
        <v>7441</v>
      </c>
      <c r="D984" s="3" t="inlineStr">
        <is>
          <t>Год активного солнца</t>
        </is>
      </c>
      <c r="E984" s="2" t="n">
        <v>1982</v>
      </c>
      <c r="F984" s="2" t="inlineStr">
        <is>
          <t>телефильм</t>
        </is>
      </c>
      <c r="G984" s="2" t="n"/>
      <c r="H984" s="2" t="n">
        <v>88</v>
      </c>
      <c r="I984" s="2" t="inlineStr"/>
      <c r="J984" s="2" t="inlineStr">
        <is>
          <t>да</t>
        </is>
      </c>
      <c r="K984" s="3" t="inlineStr">
        <is>
          <t>В основе сюжета - судьба заместителя председателя горисполкома Веры Сергеевны Колосовой.</t>
        </is>
      </c>
      <c r="L984" s="2" t="inlineStr">
        <is>
          <t>Кино_СССР сводный каталог.xlsx: список телефильмов</t>
        </is>
      </c>
      <c r="M984" s="2">
        <f>HYPERLINK("https://ru.wikipedia.org/w/index.php?search=%D0%93%D0%BE%D0%B4%20%D0%B0%D0%BA%D1%82%D0%B8%D0%B2%D0%BD%D0%BE%D0%B3%D0%BE%20%D1%81%D0%BE%D0%BB%D0%BD%D1%86%D0%B0%201982%20%D1%84%D0%B8%D0%BB%D1%8C%D0%BC","искать")</f>
        <v/>
      </c>
      <c r="N984" s="3" t="n"/>
      <c r="O984" s="2" t="n"/>
    </row>
    <row r="985">
      <c r="A985" s="2" t="n">
        <v>984</v>
      </c>
      <c r="B985" s="2" t="inlineStr">
        <is>
          <t>не сюжет</t>
        </is>
      </c>
      <c r="C985" s="2" t="n">
        <v>7617</v>
      </c>
      <c r="D985" s="3" t="inlineStr">
        <is>
          <t>Заботы Йонаса</t>
        </is>
      </c>
      <c r="E985" s="2" t="n">
        <v>1980</v>
      </c>
      <c r="F985" s="2" t="inlineStr">
        <is>
          <t>телефильм</t>
        </is>
      </c>
      <c r="G985" s="2" t="n"/>
      <c r="H985" s="2" t="n">
        <v>88</v>
      </c>
      <c r="I985" s="2" t="inlineStr"/>
      <c r="J985" s="2" t="inlineStr">
        <is>
          <t>да</t>
        </is>
      </c>
      <c r="K985" s="3" t="inlineStr">
        <is>
          <t>Телефильм снят по роману классика литовской литературы Антанаса Венуолиса "Поджюнкимес".</t>
        </is>
      </c>
      <c r="L985" s="2" t="inlineStr">
        <is>
          <t>Кино_СССР сводный каталог.xlsx: список телефильмов</t>
        </is>
      </c>
      <c r="M985" s="2">
        <f>HYPERLINK("https://ru.wikipedia.org/w/index.php?search=%D0%97%D0%B0%D0%B1%D0%BE%D1%82%D1%8B%20%D0%99%D0%BE%D0%BD%D0%B0%D1%81%D0%B0%201980%20%D1%84%D0%B8%D0%BB%D1%8C%D0%BC","искать")</f>
        <v/>
      </c>
      <c r="N985" s="3" t="n"/>
      <c r="O985" s="2" t="n"/>
    </row>
    <row r="986">
      <c r="A986" s="2" t="n">
        <v>985</v>
      </c>
      <c r="B986" s="2" t="inlineStr">
        <is>
          <t>не сюжет</t>
        </is>
      </c>
      <c r="C986" s="2" t="n">
        <v>7664</v>
      </c>
      <c r="D986" s="3" t="inlineStr">
        <is>
          <t>И с вами снова я...</t>
        </is>
      </c>
      <c r="E986" s="2" t="n">
        <v>1981</v>
      </c>
      <c r="F986" s="2" t="inlineStr">
        <is>
          <t>телефильм</t>
        </is>
      </c>
      <c r="G986" s="2" t="n"/>
      <c r="H986" s="2" t="n">
        <v>88</v>
      </c>
      <c r="I986" s="2" t="inlineStr"/>
      <c r="J986" s="2" t="inlineStr">
        <is>
          <t>да</t>
        </is>
      </c>
      <c r="K986" s="3" t="inlineStr">
        <is>
          <t>Эпизоды из жизни Александра Сергеевича Пушкина в письмах и свидетельствах современников.</t>
        </is>
      </c>
      <c r="L986" s="2" t="inlineStr">
        <is>
          <t>Кино_СССР сводный каталог.xlsx: список телефильмов</t>
        </is>
      </c>
      <c r="M986" s="2">
        <f>HYPERLINK("https://ru.wikipedia.org/w/index.php?search=%D0%98%20%D1%81%20%D0%B2%D0%B0%D0%BC%D0%B8%20%D1%81%D0%BD%D0%BE%D0%B2%D0%B0%20%D1%8F...%201981%20%D1%84%D0%B8%D0%BB%D1%8C%D0%BC","искать")</f>
        <v/>
      </c>
      <c r="N986" s="3" t="n"/>
      <c r="O986" s="2" t="n"/>
    </row>
    <row r="987">
      <c r="A987" s="2" t="n">
        <v>986</v>
      </c>
      <c r="B987" s="2" t="inlineStr">
        <is>
          <t>не сюжет</t>
        </is>
      </c>
      <c r="C987" s="2" t="n">
        <v>10363</v>
      </c>
      <c r="D987" s="3" t="inlineStr">
        <is>
          <t>Нахлебник</t>
        </is>
      </c>
      <c r="E987" s="2" t="n">
        <v>1970</v>
      </c>
      <c r="F987" s="2" t="inlineStr">
        <is>
          <t>фильм-спектакль</t>
        </is>
      </c>
      <c r="G987" s="2" t="inlineStr">
        <is>
          <t>Ленинградское ТВ</t>
        </is>
      </c>
      <c r="H987" s="2" t="n">
        <v>88</v>
      </c>
      <c r="I987" s="2" t="inlineStr"/>
      <c r="J987" s="2" t="inlineStr">
        <is>
          <t>да</t>
        </is>
      </c>
      <c r="K987" s="3" t="inlineStr">
        <is>
          <t>Спектакль Ленинградского академического театра им. А.С.Пушкина по комедии И.С.Тургенева.</t>
        </is>
      </c>
      <c r="L987" s="2" t="inlineStr">
        <is>
          <t>https://www.kino-teatr.ru/teatr/movie/121594/annot/</t>
        </is>
      </c>
      <c r="M987" s="2">
        <f>HYPERLINK("https://ru.wikipedia.org/w/index.php?search=%D0%9D%D0%B0%D1%85%D0%BB%D0%B5%D0%B1%D0%BD%D0%B8%D0%BA%201970%20%D1%84%D0%B8%D0%BB%D1%8C%D0%BC","искать")</f>
        <v/>
      </c>
      <c r="N987" s="3" t="n"/>
      <c r="O987" s="2" t="n"/>
    </row>
    <row r="988">
      <c r="A988" s="2" t="n">
        <v>987</v>
      </c>
      <c r="B988" s="2" t="inlineStr">
        <is>
          <t>не сюжет</t>
        </is>
      </c>
      <c r="C988" s="2" t="n">
        <v>10419</v>
      </c>
      <c r="D988" s="3" t="inlineStr">
        <is>
          <t>Старосветские помещики</t>
        </is>
      </c>
      <c r="E988" s="2" t="n">
        <v>1971</v>
      </c>
      <c r="F988" s="2" t="inlineStr">
        <is>
          <t>фильм-спектакль</t>
        </is>
      </c>
      <c r="G988" s="2" t="inlineStr">
        <is>
          <t>Творческое объединение "Экран", Подборки фильмов, экранизации Гоголя</t>
        </is>
      </c>
      <c r="H988" s="2" t="n">
        <v>88</v>
      </c>
      <c r="I988" s="2" t="inlineStr"/>
      <c r="J988" s="2" t="inlineStr">
        <is>
          <t>да</t>
        </is>
      </c>
      <c r="K988" s="3" t="inlineStr">
        <is>
          <t>Народный артист СССР Игорь Ильинский читает повесть Н.В.Гоголя «Старосветские помещики».</t>
        </is>
      </c>
      <c r="L988" s="2" t="inlineStr">
        <is>
          <t>https://www.kino-teatr.ru/teatr/movie/151506/annot/</t>
        </is>
      </c>
      <c r="M988" s="2">
        <f>HYPERLINK("https://ru.wikipedia.org/w/index.php?search=%D0%A1%D1%82%D0%B0%D1%80%D0%BE%D1%81%D0%B2%D0%B5%D1%82%D1%81%D0%BA%D0%B8%D0%B5%20%D0%BF%D0%BE%D0%BC%D0%B5%D1%89%D0%B8%D0%BA%D0%B8%201971%20%D1%84%D0%B8%D0%BB%D1%8C%D0%BC","искать")</f>
        <v/>
      </c>
      <c r="N988" s="3" t="n"/>
      <c r="O988" s="2" t="n"/>
    </row>
    <row r="989">
      <c r="A989" s="2" t="n">
        <v>988</v>
      </c>
      <c r="B989" s="2" t="inlineStr">
        <is>
          <t>не сюжет</t>
        </is>
      </c>
      <c r="C989" s="2" t="n">
        <v>11050</v>
      </c>
      <c r="D989" s="3" t="inlineStr">
        <is>
          <t>Безумная вечеринка святой Катерины</t>
        </is>
      </c>
      <c r="E989" s="2" t="n">
        <v>1985</v>
      </c>
      <c r="F989" s="2" t="inlineStr">
        <is>
          <t>фильм-спектакль</t>
        </is>
      </c>
      <c r="G989" s="2" t="n"/>
      <c r="H989" s="2" t="n">
        <v>88</v>
      </c>
      <c r="I989" s="2" t="inlineStr"/>
      <c r="J989" s="2" t="inlineStr">
        <is>
          <t>да</t>
        </is>
      </c>
      <c r="K989" s="3" t="inlineStr">
        <is>
          <t>Фильм-спектакль снят рассказу чешского драматурга и писателя Ярослава Дитла (1929-1985).</t>
        </is>
      </c>
      <c r="L989" s="2" t="inlineStr">
        <is>
          <t>https://www.kino-teatr.ru/teatr/movie/100159/annot/</t>
        </is>
      </c>
      <c r="M989" s="2">
        <f>HYPERLINK("https://ru.wikipedia.org/w/index.php?search=%D0%91%D0%B5%D0%B7%D1%83%D0%BC%D0%BD%D0%B0%D1%8F%20%D0%B2%D0%B5%D1%87%D0%B5%D1%80%D0%B8%D0%BD%D0%BA%D0%B0%20%D1%81%D0%B2%D1%8F%D1%82%D0%BE%D0%B9%20%D0%9A%D0%B0%D1%82%D0%B5%D1%80%D0%B8%D0%BD%D1%8B%201985%20%D1%84%D0%B8%D0%BB%D1%8C%D0%BC","искать")</f>
        <v/>
      </c>
      <c r="N989" s="3" t="n"/>
      <c r="O989" s="2" t="n"/>
    </row>
    <row r="990">
      <c r="A990" s="2" t="n">
        <v>989</v>
      </c>
      <c r="B990" s="2" t="inlineStr">
        <is>
          <t>не сюжет</t>
        </is>
      </c>
      <c r="C990" s="2" t="n">
        <v>7464</v>
      </c>
      <c r="D990" s="3" t="inlineStr">
        <is>
          <t>Гранитные острова</t>
        </is>
      </c>
      <c r="E990" s="2" t="n">
        <v>1976</v>
      </c>
      <c r="F990" s="2" t="inlineStr">
        <is>
          <t>телефильм</t>
        </is>
      </c>
      <c r="G990" s="2" t="n"/>
      <c r="H990" s="2" t="n">
        <v>89</v>
      </c>
      <c r="I990" s="2" t="inlineStr"/>
      <c r="J990" s="2" t="inlineStr">
        <is>
          <t>да</t>
        </is>
      </c>
      <c r="K990" s="3" t="inlineStr">
        <is>
          <t>Телефильм по мотивам повести Е.Воеводина «Пуд соли». Киноповесть о молодых пограничниках.</t>
        </is>
      </c>
      <c r="L990" s="2" t="inlineStr">
        <is>
          <t>Кино_СССР сводный каталог.xlsx: список телефильмов</t>
        </is>
      </c>
      <c r="M990" s="2">
        <f>HYPERLINK("https://ru.wikipedia.org/w/index.php?search=%D0%93%D1%80%D0%B0%D0%BD%D0%B8%D1%82%D0%BD%D1%8B%D0%B5%20%D0%BE%D1%81%D1%82%D1%80%D0%BE%D0%B2%D0%B0%201976%20%D1%84%D0%B8%D0%BB%D1%8C%D0%BC","искать")</f>
        <v/>
      </c>
      <c r="N990" s="3" t="n"/>
      <c r="O990" s="2" t="n"/>
    </row>
    <row r="991">
      <c r="A991" s="2" t="n">
        <v>990</v>
      </c>
      <c r="B991" s="2" t="inlineStr">
        <is>
          <t>не сюжет</t>
        </is>
      </c>
      <c r="C991" s="2" t="n">
        <v>7532</v>
      </c>
      <c r="D991" s="3" t="inlineStr">
        <is>
          <t>Долгие дни, короткие недели...</t>
        </is>
      </c>
      <c r="E991" s="2" t="n">
        <v>1980</v>
      </c>
      <c r="F991" s="2" t="inlineStr">
        <is>
          <t>телефильм</t>
        </is>
      </c>
      <c r="G991" s="2" t="inlineStr">
        <is>
          <t>к/с им. Довженко</t>
        </is>
      </c>
      <c r="H991" s="2" t="n">
        <v>89</v>
      </c>
      <c r="I991" s="2" t="inlineStr"/>
      <c r="J991" s="2" t="inlineStr">
        <is>
          <t>да</t>
        </is>
      </c>
      <c r="K991" s="3" t="inlineStr">
        <is>
          <t>Телефильм рассказывает о молодежи конца 70-х годов и о выборе ими своего жизненного пути.</t>
        </is>
      </c>
      <c r="L991" s="2" t="inlineStr">
        <is>
          <t>Кино_СССР сводный каталог.xlsx: список телефильмов</t>
        </is>
      </c>
      <c r="M991" s="2">
        <f>HYPERLINK("https://ru.wikipedia.org/w/index.php?search=%D0%94%D0%BE%D0%BB%D0%B3%D0%B8%D0%B5%20%D0%B4%D0%BD%D0%B8%2C%20%D0%BA%D0%BE%D1%80%D0%BE%D1%82%D0%BA%D0%B8%D0%B5%20%D0%BD%D0%B5%D0%B4%D0%B5%D0%BB%D0%B8...%201980%20%D1%84%D0%B8%D0%BB%D1%8C%D0%BC","искать")</f>
        <v/>
      </c>
      <c r="N991" s="3" t="n"/>
      <c r="O991" s="2" t="n"/>
    </row>
    <row r="992">
      <c r="A992" s="2" t="n">
        <v>991</v>
      </c>
      <c r="B992" s="2" t="inlineStr">
        <is>
          <t>не сюжет</t>
        </is>
      </c>
      <c r="C992" s="2" t="n">
        <v>7722</v>
      </c>
      <c r="D992" s="3" t="inlineStr">
        <is>
          <t>Карьера Дичюса</t>
        </is>
      </c>
      <c r="E992" s="2" t="n">
        <v>1980</v>
      </c>
      <c r="F992" s="2" t="inlineStr">
        <is>
          <t>телефильм</t>
        </is>
      </c>
      <c r="G992" s="2" t="n"/>
      <c r="H992" s="2" t="n">
        <v>89</v>
      </c>
      <c r="I992" s="2" t="inlineStr"/>
      <c r="J992" s="2" t="inlineStr">
        <is>
          <t>да</t>
        </is>
      </c>
      <c r="K992" s="3" t="inlineStr">
        <is>
          <t>Телевизионный музыкальный фильм  создан по мотивам рассказа Теофилиса Тильвитиса "Дичюс".</t>
        </is>
      </c>
      <c r="L992" s="2" t="inlineStr">
        <is>
          <t>Кино_СССР сводный каталог.xlsx: список телефильмов</t>
        </is>
      </c>
      <c r="M992" s="2">
        <f>HYPERLINK("https://ru.wikipedia.org/w/index.php?search=%D0%9A%D0%B0%D1%80%D1%8C%D0%B5%D1%80%D0%B0%20%D0%94%D0%B8%D1%87%D1%8E%D1%81%D0%B0%201980%20%D1%84%D0%B8%D0%BB%D1%8C%D0%BC","искать")</f>
        <v/>
      </c>
      <c r="N992" s="3" t="n"/>
      <c r="O992" s="2" t="n"/>
    </row>
    <row r="993">
      <c r="A993" s="2" t="n">
        <v>992</v>
      </c>
      <c r="B993" s="2" t="inlineStr">
        <is>
          <t>не сюжет</t>
        </is>
      </c>
      <c r="C993" s="2" t="n">
        <v>10996</v>
      </c>
      <c r="D993" s="3" t="inlineStr">
        <is>
          <t>Месяц в деревне</t>
        </is>
      </c>
      <c r="E993" s="2" t="n">
        <v>1983</v>
      </c>
      <c r="F993" s="2" t="inlineStr">
        <is>
          <t>фильм-спектакль</t>
        </is>
      </c>
      <c r="G993" s="2" t="inlineStr">
        <is>
          <t>ТО "Экран"</t>
        </is>
      </c>
      <c r="H993" s="2" t="n">
        <v>89</v>
      </c>
      <c r="I993" s="2" t="inlineStr"/>
      <c r="J993" s="2" t="inlineStr">
        <is>
          <t>да</t>
        </is>
      </c>
      <c r="K993" s="3" t="inlineStr">
        <is>
          <t>По одноименной драме И.С. Тургенева.
Спектакль Театра на Малой Бронной. Запись 1983 года.</t>
        </is>
      </c>
      <c r="L993" s="2" t="inlineStr">
        <is>
          <t>https://www.kino-teatr.ru/teatr/movie/3854/annot/</t>
        </is>
      </c>
      <c r="M993" s="2">
        <f>HYPERLINK("https://ru.wikipedia.org/w/index.php?search=%D0%9C%D0%B5%D1%81%D1%8F%D1%86%20%D0%B2%20%D0%B4%D0%B5%D1%80%D0%B5%D0%B2%D0%BD%D0%B5%201983%20%D1%84%D0%B8%D0%BB%D1%8C%D0%BC","искать")</f>
        <v/>
      </c>
      <c r="N993" s="3" t="n"/>
      <c r="O993" s="2" t="n"/>
    </row>
    <row r="994">
      <c r="A994" s="2" t="n">
        <v>993</v>
      </c>
      <c r="B994" s="2" t="inlineStr">
        <is>
          <t>не сюжет</t>
        </is>
      </c>
      <c r="C994" s="2" t="n">
        <v>11029</v>
      </c>
      <c r="D994" s="3" t="inlineStr">
        <is>
          <t>Кто-то должен...</t>
        </is>
      </c>
      <c r="E994" s="2" t="n">
        <v>1984</v>
      </c>
      <c r="F994" s="2" t="inlineStr">
        <is>
          <t>фильм-спектакль</t>
        </is>
      </c>
      <c r="G994" s="2" t="inlineStr">
        <is>
          <t>Главная редакция литературно-драматических программ ЦТ</t>
        </is>
      </c>
      <c r="H994" s="2" t="n">
        <v>89</v>
      </c>
      <c r="I994" s="2" t="inlineStr"/>
      <c r="J994" s="2" t="inlineStr">
        <is>
          <t>да</t>
        </is>
      </c>
      <c r="K994" s="3" t="inlineStr">
        <is>
          <t>По одноименной повести Д.Гранина 1970 года, рассказывающей об учёных, о моральном выборе.</t>
        </is>
      </c>
      <c r="L994" s="2" t="inlineStr">
        <is>
          <t>https://www.kino-teatr.ru/teatr/movie/15455/annot/</t>
        </is>
      </c>
      <c r="M994" s="2">
        <f>HYPERLINK("https://ru.wikipedia.org/w/index.php?search=%D0%9A%D1%82%D0%BE-%D1%82%D0%BE%20%D0%B4%D0%BE%D0%BB%D0%B6%D0%B5%D0%BD...%201984%20%D1%84%D0%B8%D0%BB%D1%8C%D0%BC","искать")</f>
        <v/>
      </c>
      <c r="N994" s="3" t="n"/>
      <c r="O994" s="2" t="n"/>
    </row>
    <row r="995">
      <c r="A995" s="2" t="n">
        <v>994</v>
      </c>
      <c r="B995" s="2" t="inlineStr">
        <is>
          <t>не сюжет</t>
        </is>
      </c>
      <c r="C995" s="2" t="n">
        <v>8179</v>
      </c>
      <c r="D995" s="3" t="inlineStr">
        <is>
          <t>Почему плакали сосны?</t>
        </is>
      </c>
      <c r="E995" s="2" t="n">
        <v>1977</v>
      </c>
      <c r="F995" s="2" t="inlineStr">
        <is>
          <t>телефильм</t>
        </is>
      </c>
      <c r="G995" s="2" t="n"/>
      <c r="H995" s="2" t="n">
        <v>90</v>
      </c>
      <c r="I995" s="2" t="inlineStr"/>
      <c r="J995" s="2" t="inlineStr">
        <is>
          <t>да</t>
        </is>
      </c>
      <c r="K995" s="3" t="inlineStr">
        <is>
          <t>По мотивам книги М.Шумаускаса "Смысл жизни". О партизанской группе в Литве во время войны.</t>
        </is>
      </c>
      <c r="L995" s="2" t="inlineStr">
        <is>
          <t>Кино_СССР сводный каталог.xlsx: список телефильмов</t>
        </is>
      </c>
      <c r="M995" s="2">
        <f>HYPERLINK("https://ru.wikipedia.org/w/index.php?search=%D0%9F%D0%BE%D1%87%D0%B5%D0%BC%D1%83%20%D0%BF%D0%BB%D0%B0%D0%BA%D0%B0%D0%BB%D0%B8%20%D1%81%D0%BE%D1%81%D0%BD%D1%8B%3F%201977%20%D1%84%D0%B8%D0%BB%D1%8C%D0%BC","искать")</f>
        <v/>
      </c>
      <c r="N995" s="3" t="n"/>
      <c r="O995" s="2" t="n"/>
    </row>
    <row r="996">
      <c r="A996" s="2" t="n">
        <v>995</v>
      </c>
      <c r="B996" s="2" t="inlineStr">
        <is>
          <t>не сюжет</t>
        </is>
      </c>
      <c r="C996" s="2" t="n">
        <v>8703</v>
      </c>
      <c r="D996" s="3" t="inlineStr">
        <is>
          <t>Директор</t>
        </is>
      </c>
      <c r="E996" s="2" t="n">
        <v>1938</v>
      </c>
      <c r="F996" s="2" t="inlineStr">
        <is>
          <t>кинофильм</t>
        </is>
      </c>
      <c r="G996" s="2" t="n"/>
      <c r="H996" s="2" t="n">
        <v>90</v>
      </c>
      <c r="I996" s="2" t="inlineStr"/>
      <c r="J996" s="2" t="inlineStr">
        <is>
          <t>да</t>
        </is>
      </c>
      <c r="K996" s="3" t="inlineStr">
        <is>
          <t>Драма о борьбе с замаскировавшимися троцкистами на производстве. Фильм на экраны не вышел.</t>
        </is>
      </c>
      <c r="L996" s="2" t="inlineStr">
        <is>
          <t>Кино_СССР сводный каталог.xlsx: список фильмов (доп.)</t>
        </is>
      </c>
      <c r="M996" s="2">
        <f>HYPERLINK("https://ru.wikipedia.org/w/index.php?search=%D0%94%D0%B8%D1%80%D0%B5%D0%BA%D1%82%D0%BE%D1%80%201938%20%D1%84%D0%B8%D0%BB%D1%8C%D0%BC","искать")</f>
        <v/>
      </c>
      <c r="N996" s="3" t="n"/>
      <c r="O996" s="2" t="n"/>
    </row>
    <row r="997">
      <c r="A997" s="2" t="n">
        <v>996</v>
      </c>
      <c r="B997" s="2" t="inlineStr">
        <is>
          <t>не сюжет</t>
        </is>
      </c>
      <c r="C997" s="2" t="n">
        <v>9922</v>
      </c>
      <c r="D997" s="3" t="inlineStr">
        <is>
          <t>Поделись теплом</t>
        </is>
      </c>
      <c r="E997" s="2" t="n">
        <v>1976</v>
      </c>
      <c r="F997" s="2" t="inlineStr">
        <is>
          <t>кинофильм</t>
        </is>
      </c>
      <c r="G997" s="2" t="inlineStr">
        <is>
          <t>Грузия-фильм</t>
        </is>
      </c>
      <c r="H997" s="2" t="n">
        <v>90</v>
      </c>
      <c r="I997" s="2" t="inlineStr"/>
      <c r="J997" s="2" t="inlineStr">
        <is>
          <t>да</t>
        </is>
      </c>
      <c r="K997" s="3" t="inlineStr">
        <is>
          <t>Лирическая киноновелла о доброте и чуткости, проявленной односельчанами к больному соседу.</t>
        </is>
      </c>
      <c r="L997" s="2" t="inlineStr">
        <is>
          <t>https://www.kino-teatr.ru/short/movie/sov/84584/annot/</t>
        </is>
      </c>
      <c r="M997" s="2">
        <f>HYPERLINK("https://ru.wikipedia.org/w/index.php?search=%D0%9F%D0%BE%D0%B4%D0%B5%D0%BB%D0%B8%D1%81%D1%8C%20%D1%82%D0%B5%D0%BF%D0%BB%D0%BE%D0%BC%201976%20%D1%84%D0%B8%D0%BB%D1%8C%D0%BC","искать")</f>
        <v/>
      </c>
      <c r="N997" s="3" t="n"/>
      <c r="O997" s="2" t="n"/>
    </row>
    <row r="998">
      <c r="A998" s="2" t="n">
        <v>997</v>
      </c>
      <c r="B998" s="2" t="inlineStr">
        <is>
          <t>не сюжет</t>
        </is>
      </c>
      <c r="C998" s="2" t="n">
        <v>10411</v>
      </c>
      <c r="D998" s="3" t="inlineStr">
        <is>
          <t>Петербург</t>
        </is>
      </c>
      <c r="E998" s="2" t="n">
        <v>1971</v>
      </c>
      <c r="F998" s="2" t="inlineStr">
        <is>
          <t>фильм-спектакль</t>
        </is>
      </c>
      <c r="G998" s="2" t="n"/>
      <c r="H998" s="2" t="n">
        <v>90</v>
      </c>
      <c r="I998" s="2" t="inlineStr"/>
      <c r="J998" s="2" t="inlineStr">
        <is>
          <t>да</t>
        </is>
      </c>
      <c r="K998" s="3" t="inlineStr">
        <is>
          <t>Литературная композиция Владимира Яхонтова по произведениям Пушкина, Гоголя, Достоевского.</t>
        </is>
      </c>
      <c r="L998" s="2" t="inlineStr">
        <is>
          <t>https://www.kino-teatr.ru/teatr/movie/88759/annot/</t>
        </is>
      </c>
      <c r="M998" s="2">
        <f>HYPERLINK("https://ru.wikipedia.org/w/index.php?search=%D0%9F%D0%B5%D1%82%D0%B5%D1%80%D0%B1%D1%83%D1%80%D0%B3%201971%20%D1%84%D0%B8%D0%BB%D1%8C%D0%BC","искать")</f>
        <v/>
      </c>
      <c r="N998" s="3" t="n"/>
      <c r="O998" s="2" t="n"/>
    </row>
    <row r="999">
      <c r="A999" s="2" t="n">
        <v>998</v>
      </c>
      <c r="B999" s="2" t="inlineStr">
        <is>
          <t>не сюжет</t>
        </is>
      </c>
      <c r="C999" s="2" t="n">
        <v>11154</v>
      </c>
      <c r="D999" s="3" t="inlineStr">
        <is>
          <t>Зыковы</t>
        </is>
      </c>
      <c r="E999" s="2" t="n">
        <v>1987</v>
      </c>
      <c r="F999" s="2" t="inlineStr">
        <is>
          <t>фильм-спектакль</t>
        </is>
      </c>
      <c r="G999" s="2" t="inlineStr">
        <is>
          <t>Главная редакция литературно-драматических программ ЦТ</t>
        </is>
      </c>
      <c r="H999" s="2" t="n">
        <v>90</v>
      </c>
      <c r="I999" s="2" t="inlineStr"/>
      <c r="J999" s="2" t="inlineStr">
        <is>
          <t>да</t>
        </is>
      </c>
      <c r="K999" s="3" t="inlineStr">
        <is>
          <t>По одноименной М.Горького в постановке Государственного академического Малого театра СССР.</t>
        </is>
      </c>
      <c r="L999" s="2" t="inlineStr">
        <is>
          <t>https://www.kino-teatr.ru/teatr/movie/2575/annot/</t>
        </is>
      </c>
      <c r="M999" s="2">
        <f>HYPERLINK("https://ru.wikipedia.org/w/index.php?search=%D0%97%D1%8B%D0%BA%D0%BE%D0%B2%D1%8B%201987%20%D1%84%D0%B8%D0%BB%D1%8C%D0%BC","искать")</f>
        <v/>
      </c>
      <c r="N999" s="3" t="n"/>
      <c r="O999" s="2" t="n"/>
    </row>
    <row r="1000">
      <c r="A1000" s="2" t="n">
        <v>999</v>
      </c>
      <c r="B1000" s="2" t="inlineStr">
        <is>
          <t>не сюжет</t>
        </is>
      </c>
      <c r="C1000" s="2" t="n">
        <v>7376</v>
      </c>
      <c r="D1000" s="3" t="inlineStr">
        <is>
          <t>Воспоминание о "Коровьем марше"</t>
        </is>
      </c>
      <c r="E1000" s="2" t="n">
        <v>1991</v>
      </c>
      <c r="F1000" s="2" t="inlineStr">
        <is>
          <t>телефильм</t>
        </is>
      </c>
      <c r="G1000" s="2" t="n"/>
      <c r="H1000" s="2" t="n">
        <v>91</v>
      </c>
      <c r="I1000" s="2" t="inlineStr"/>
      <c r="J1000" s="2" t="inlineStr">
        <is>
          <t>да</t>
        </is>
      </c>
      <c r="K1000" s="3" t="inlineStr">
        <is>
          <t>Веселый и занимательный рассказ об истории создания фильма Г.Александрова «Веселые ребята».</t>
        </is>
      </c>
      <c r="L1000" s="2" t="inlineStr">
        <is>
          <t>Кино_СССР сводный каталог.xlsx: список телефильмов</t>
        </is>
      </c>
      <c r="M1000" s="2">
        <f>HYPERLINK("https://ru.wikipedia.org/w/index.php?search=%D0%92%D0%BE%D1%81%D0%BF%D0%BE%D0%BC%D0%B8%D0%BD%D0%B0%D0%BD%D0%B8%D0%B5%20%D0%BE%20%22%D0%9A%D0%BE%D1%80%D0%BE%D0%B2%D1%8C%D0%B5%D0%BC%20%D0%BC%D0%B0%D1%80%D1%88%D0%B5%22%201991%20%D1%84%D0%B8%D0%BB%D1%8C%D0%BC","искать")</f>
        <v/>
      </c>
      <c r="N1000" s="3" t="n"/>
      <c r="O1000" s="2" t="n"/>
    </row>
    <row r="1001">
      <c r="A1001" s="2" t="n">
        <v>1000</v>
      </c>
      <c r="B1001" s="2" t="inlineStr">
        <is>
          <t>не сюжет</t>
        </is>
      </c>
      <c r="C1001" s="2" t="n">
        <v>8710</v>
      </c>
      <c r="D1001" s="3" t="inlineStr">
        <is>
          <t>Доминус (киноальманах)</t>
        </is>
      </c>
      <c r="E1001" s="2" t="n">
        <v>1989</v>
      </c>
      <c r="F1001" s="2" t="inlineStr">
        <is>
          <t>кинофильм</t>
        </is>
      </c>
      <c r="G1001" s="2" t="n"/>
      <c r="H1001" s="2" t="n">
        <v>91</v>
      </c>
      <c r="I1001" s="2" t="inlineStr"/>
      <c r="J1001" s="2" t="inlineStr">
        <is>
          <t>да</t>
        </is>
      </c>
      <c r="K1001" s="3" t="inlineStr">
        <is>
          <t>По мотивам рассказов Рэя Брэдбери. Новеллы в составе альманаха: "Хозяин", "Чертово колесо".</t>
        </is>
      </c>
      <c r="L1001" s="2" t="inlineStr">
        <is>
          <t>Кино_СССР сводный каталог.xlsx: список фильмов (доп.)</t>
        </is>
      </c>
      <c r="M1001" s="2">
        <f>HYPERLINK("https://ru.wikipedia.org/w/index.php?search=%D0%94%D0%BE%D0%BC%D0%B8%D0%BD%D1%83%D1%81%20%28%D0%BA%D0%B8%D0%BD%D0%BE%D0%B0%D0%BB%D1%8C%D0%BC%D0%B0%D0%BD%D0%B0%D1%85%29%201989%20%D1%84%D0%B8%D0%BB%D1%8C%D0%BC","искать")</f>
        <v/>
      </c>
      <c r="N1001" s="3" t="n"/>
      <c r="O1001" s="2" t="n"/>
    </row>
    <row r="1002">
      <c r="A1002" s="2" t="n">
        <v>1001</v>
      </c>
      <c r="B1002" s="2" t="inlineStr">
        <is>
          <t>не сюжет</t>
        </is>
      </c>
      <c r="C1002" s="2" t="n">
        <v>8933</v>
      </c>
      <c r="D1002" s="3" t="inlineStr">
        <is>
          <t>Пляжи бывают и песчаными</t>
        </is>
      </c>
      <c r="E1002" s="2" t="n">
        <v>1991</v>
      </c>
      <c r="F1002" s="2" t="inlineStr">
        <is>
          <t>кинофильм</t>
        </is>
      </c>
      <c r="G1002" s="2" t="n"/>
      <c r="H1002" s="2" t="n">
        <v>91</v>
      </c>
      <c r="I1002" s="2" t="inlineStr"/>
      <c r="J1002" s="2" t="inlineStr">
        <is>
          <t>да</t>
        </is>
      </c>
      <c r="K1002" s="3" t="inlineStr">
        <is>
          <t>По пьесе Юозаса Апутиса. Драматическая история сельского врача и жителей литовской деревни.</t>
        </is>
      </c>
      <c r="L1002" s="2" t="inlineStr">
        <is>
          <t>Кино_СССР сводный каталог.xlsx: список фильмов (доп.)</t>
        </is>
      </c>
      <c r="M1002" s="2">
        <f>HYPERLINK("https://ru.wikipedia.org/w/index.php?search=%D0%9F%D0%BB%D1%8F%D0%B6%D0%B8%20%D0%B1%D1%8B%D0%B2%D0%B0%D1%8E%D1%82%20%D0%B8%20%D0%BF%D0%B5%D1%81%D1%87%D0%B0%D0%BD%D1%8B%D0%BC%D0%B8%201991%20%D1%84%D0%B8%D0%BB%D1%8C%D0%BC","искать")</f>
        <v/>
      </c>
      <c r="N1002" s="3" t="n"/>
      <c r="O1002" s="2" t="n"/>
    </row>
    <row r="1003">
      <c r="A1003" s="2" t="n">
        <v>1002</v>
      </c>
      <c r="B1003" s="2" t="inlineStr">
        <is>
          <t>не сюжет</t>
        </is>
      </c>
      <c r="C1003" s="2" t="n">
        <v>8990</v>
      </c>
      <c r="D1003" s="3" t="inlineStr">
        <is>
          <t>Простой пасьянс</t>
        </is>
      </c>
      <c r="E1003" s="2" t="n">
        <v>1990</v>
      </c>
      <c r="F1003" s="2" t="inlineStr">
        <is>
          <t>кинофильм</t>
        </is>
      </c>
      <c r="G1003" s="2" t="n"/>
      <c r="H1003" s="2" t="n">
        <v>91</v>
      </c>
      <c r="I1003" s="2" t="inlineStr"/>
      <c r="J1003" s="2" t="inlineStr">
        <is>
          <t>да</t>
        </is>
      </c>
      <c r="K1003" s="3" t="inlineStr">
        <is>
          <t>მარტივი პასიანსი Фильм отражает жизнь молодежи разного круга в 80-х годах в городе Тбилиси.</t>
        </is>
      </c>
      <c r="L1003" s="2" t="inlineStr">
        <is>
          <t>Кино_СССР сводный каталог.xlsx: список фильмов (доп.)</t>
        </is>
      </c>
      <c r="M1003" s="2">
        <f>HYPERLINK("https://ru.wikipedia.org/w/index.php?search=%D0%9F%D1%80%D0%BE%D1%81%D1%82%D0%BE%D0%B9%20%D0%BF%D0%B0%D1%81%D1%8C%D1%8F%D0%BD%D1%81%201990%20%D1%84%D0%B8%D0%BB%D1%8C%D0%BC","искать")</f>
        <v/>
      </c>
      <c r="N1003" s="3" t="n"/>
      <c r="O1003" s="2" t="n"/>
    </row>
    <row r="1004">
      <c r="A1004" s="2" t="n">
        <v>1003</v>
      </c>
      <c r="B1004" s="2" t="inlineStr">
        <is>
          <t>не сюжет</t>
        </is>
      </c>
      <c r="C1004" s="2" t="n">
        <v>9912</v>
      </c>
      <c r="D1004" s="3" t="inlineStr">
        <is>
          <t>Лебединая песня</t>
        </is>
      </c>
      <c r="E1004" s="2" t="n">
        <v>1975</v>
      </c>
      <c r="F1004" s="2" t="inlineStr">
        <is>
          <t>телефильм</t>
        </is>
      </c>
      <c r="G1004" s="2" t="inlineStr">
        <is>
          <t>Экран (Останкино)</t>
        </is>
      </c>
      <c r="H1004" s="2" t="n">
        <v>91</v>
      </c>
      <c r="I1004" s="2" t="inlineStr"/>
      <c r="J1004" s="2" t="inlineStr">
        <is>
          <t>да</t>
        </is>
      </c>
      <c r="K1004" s="3" t="inlineStr">
        <is>
          <t>Новелла. По одноименному произведению А. П. Чехова о судьбе старого провинциального актёра.</t>
        </is>
      </c>
      <c r="L1004" s="2" t="inlineStr">
        <is>
          <t>https://www.kino-teatr.ru/short/movie/sov/9657/annot/</t>
        </is>
      </c>
      <c r="M1004" s="2">
        <f>HYPERLINK("https://ru.wikipedia.org/w/index.php?search=%D0%9B%D0%B5%D0%B1%D0%B5%D0%B4%D0%B8%D0%BD%D0%B0%D1%8F%20%D0%BF%D0%B5%D1%81%D0%BD%D1%8F%201975%20%D1%84%D0%B8%D0%BB%D1%8C%D0%BC","искать")</f>
        <v/>
      </c>
      <c r="N1004" s="3" t="n"/>
      <c r="O1004" s="2" t="n"/>
    </row>
    <row r="1005">
      <c r="A1005" s="2" t="n">
        <v>1004</v>
      </c>
      <c r="B1005" s="2" t="inlineStr">
        <is>
          <t>не сюжет</t>
        </is>
      </c>
      <c r="C1005" s="2" t="n">
        <v>10212</v>
      </c>
      <c r="D1005" s="3" t="inlineStr">
        <is>
          <t>Первый президент</t>
        </is>
      </c>
      <c r="E1005" s="2" t="n">
        <v>1967</v>
      </c>
      <c r="F1005" s="2" t="inlineStr">
        <is>
          <t>фильм-спектакль</t>
        </is>
      </c>
      <c r="G1005" s="2" t="inlineStr">
        <is>
          <t>Ленинградская студия телевидения</t>
        </is>
      </c>
      <c r="H1005" s="2" t="n">
        <v>91</v>
      </c>
      <c r="I1005" s="2" t="inlineStr"/>
      <c r="J1005" s="2" t="inlineStr">
        <is>
          <t>да</t>
        </is>
      </c>
      <c r="K1005" s="3" t="inlineStr">
        <is>
          <t>Телеспектакль о жизни и деятельности первого председателя ВЦИК Якова Михайловича Свердлова.</t>
        </is>
      </c>
      <c r="L1005" s="2" t="inlineStr">
        <is>
          <t>https://www.kino-teatr.ru/teatr/movie/92890/annot/</t>
        </is>
      </c>
      <c r="M1005" s="2">
        <f>HYPERLINK("https://ru.wikipedia.org/w/index.php?search=%D0%9F%D0%B5%D1%80%D0%B2%D1%8B%D0%B9%20%D0%BF%D1%80%D0%B5%D0%B7%D0%B8%D0%B4%D0%B5%D0%BD%D1%82%201967%20%D1%84%D0%B8%D0%BB%D1%8C%D0%BC","искать")</f>
        <v/>
      </c>
      <c r="N1005" s="3" t="n"/>
      <c r="O1005" s="2" t="n"/>
    </row>
    <row r="1006">
      <c r="A1006" s="2" t="n">
        <v>1005</v>
      </c>
      <c r="B1006" s="2" t="inlineStr">
        <is>
          <t>не сюжет</t>
        </is>
      </c>
      <c r="C1006" s="2" t="n">
        <v>10434</v>
      </c>
      <c r="D1006" s="3" t="inlineStr">
        <is>
          <t>Весна не вернётся</t>
        </is>
      </c>
      <c r="E1006" s="2" t="n">
        <v>1972</v>
      </c>
      <c r="F1006" s="2" t="inlineStr">
        <is>
          <t>фильм-спектакль</t>
        </is>
      </c>
      <c r="G1006" s="2" t="inlineStr">
        <is>
          <t>Телеканал "Махалла"</t>
        </is>
      </c>
      <c r="H1006" s="2" t="n">
        <v>91</v>
      </c>
      <c r="I1006" s="2" t="inlineStr"/>
      <c r="J1006" s="2" t="inlineStr">
        <is>
          <t>да</t>
        </is>
      </c>
      <c r="K1006" s="3" t="inlineStr">
        <is>
          <t>По одноименной пьесе Уткира Хашимова. О волшебстве любви, предательстве и жизненных уроках.</t>
        </is>
      </c>
      <c r="L1006" s="2" t="inlineStr">
        <is>
          <t>https://www.kino-teatr.ru/teatr/movie/139858/annot/</t>
        </is>
      </c>
      <c r="M1006" s="2">
        <f>HYPERLINK("https://ru.wikipedia.org/w/index.php?search=%D0%92%D0%B5%D1%81%D0%BD%D0%B0%20%D0%BD%D0%B5%20%D0%B2%D0%B5%D1%80%D0%BD%D1%91%D1%82%D1%81%D1%8F%201972%20%D1%84%D0%B8%D0%BB%D1%8C%D0%BC","искать")</f>
        <v/>
      </c>
      <c r="N1006" s="3" t="n"/>
      <c r="O1006" s="2" t="n"/>
    </row>
    <row r="1007">
      <c r="A1007" s="2" t="n">
        <v>1006</v>
      </c>
      <c r="B1007" s="2" t="inlineStr">
        <is>
          <t>не сюжет</t>
        </is>
      </c>
      <c r="C1007" s="2" t="n">
        <v>10479</v>
      </c>
      <c r="D1007" s="3" t="inlineStr">
        <is>
          <t>Шторм</t>
        </is>
      </c>
      <c r="E1007" s="2" t="n">
        <v>1972</v>
      </c>
      <c r="F1007" s="2" t="inlineStr">
        <is>
          <t>фильм-спектакль</t>
        </is>
      </c>
      <c r="G1007" s="2" t="inlineStr">
        <is>
          <t>Главная редакция литературно-драматических программ</t>
        </is>
      </c>
      <c r="H1007" s="2" t="n">
        <v>91</v>
      </c>
      <c r="I1007" s="2" t="inlineStr"/>
      <c r="J1007" s="2" t="inlineStr">
        <is>
          <t>да</t>
        </is>
      </c>
      <c r="K1007" s="3" t="inlineStr">
        <is>
          <t>По одноименной пьесе В.Билль-Белоцерковского в постановке московского театра им. Моссовета.</t>
        </is>
      </c>
      <c r="L1007" s="2" t="inlineStr">
        <is>
          <t>https://www.kino-teatr.ru/teatr/movie/93038/annot/</t>
        </is>
      </c>
      <c r="M1007" s="2">
        <f>HYPERLINK("https://ru.wikipedia.org/w/index.php?search=%D0%A8%D1%82%D0%BE%D1%80%D0%BC%201972%20%D1%84%D0%B8%D0%BB%D1%8C%D0%BC","искать")</f>
        <v/>
      </c>
      <c r="N1007" s="3" t="n"/>
      <c r="O1007" s="2" t="n"/>
    </row>
    <row r="1008">
      <c r="A1008" s="2" t="n">
        <v>1007</v>
      </c>
      <c r="B1008" s="2" t="inlineStr">
        <is>
          <t>не сюжет</t>
        </is>
      </c>
      <c r="C1008" s="2" t="n">
        <v>10592</v>
      </c>
      <c r="D1008" s="3" t="inlineStr">
        <is>
          <t>Сэр Джон Фальстаф</t>
        </is>
      </c>
      <c r="E1008" s="2" t="n">
        <v>1974</v>
      </c>
      <c r="F1008" s="2" t="inlineStr">
        <is>
          <t>фильм-спектакль</t>
        </is>
      </c>
      <c r="G1008" s="2" t="n"/>
      <c r="H1008" s="2" t="n">
        <v>91</v>
      </c>
      <c r="I1008" s="2" t="inlineStr"/>
      <c r="J1008" s="2" t="inlineStr">
        <is>
          <t>да</t>
        </is>
      </c>
      <c r="K1008" s="3" t="inlineStr">
        <is>
          <t>Телеспектакль по мотивам комедии Шекспира "Виндзорские проказницы" и оперы Верди "Фальстаф"</t>
        </is>
      </c>
      <c r="L1008" s="2" t="inlineStr">
        <is>
          <t>https://www.kino-teatr.ru/teatr/movie/83010/annot/</t>
        </is>
      </c>
      <c r="M1008" s="2">
        <f>HYPERLINK("https://ru.wikipedia.org/w/index.php?search=%D0%A1%D1%8D%D1%80%20%D0%94%D0%B6%D0%BE%D0%BD%20%D0%A4%D0%B0%D0%BB%D1%8C%D1%81%D1%82%D0%B0%D1%84%201974%20%D1%84%D0%B8%D0%BB%D1%8C%D0%BC","искать")</f>
        <v/>
      </c>
      <c r="N1008" s="3" t="n"/>
      <c r="O1008" s="2" t="n"/>
    </row>
    <row r="1009">
      <c r="A1009" s="2" t="n">
        <v>1008</v>
      </c>
      <c r="B1009" s="2" t="inlineStr">
        <is>
          <t>не сюжет</t>
        </is>
      </c>
      <c r="C1009" s="2" t="n">
        <v>10753</v>
      </c>
      <c r="D1009" s="3" t="inlineStr">
        <is>
          <t>Люди и страсти</t>
        </is>
      </c>
      <c r="E1009" s="2" t="n">
        <v>1978</v>
      </c>
      <c r="F1009" s="2" t="inlineStr">
        <is>
          <t>фильм-спектакль</t>
        </is>
      </c>
      <c r="G1009" s="2" t="inlineStr">
        <is>
          <t>Ленинградское телевидение</t>
        </is>
      </c>
      <c r="H1009" s="2" t="n">
        <v>91</v>
      </c>
      <c r="I1009" s="2" t="inlineStr"/>
      <c r="J1009" s="2" t="inlineStr">
        <is>
          <t>да</t>
        </is>
      </c>
      <c r="K1009" s="3" t="inlineStr">
        <is>
          <t>Экранизация спектакля Театра им. Ленсовета по произведениям классиков немецкой драматургии.</t>
        </is>
      </c>
      <c r="L1009" s="2" t="inlineStr">
        <is>
          <t>https://www.kino-teatr.ru/teatr/movie/79927/annot/</t>
        </is>
      </c>
      <c r="M1009" s="2">
        <f>HYPERLINK("https://ru.wikipedia.org/w/index.php?search=%D0%9B%D1%8E%D0%B4%D0%B8%20%D0%B8%20%D1%81%D1%82%D1%80%D0%B0%D1%81%D1%82%D0%B8%201978%20%D1%84%D0%B8%D0%BB%D1%8C%D0%BC","искать")</f>
        <v/>
      </c>
      <c r="N1009" s="3" t="n"/>
      <c r="O1009" s="2" t="n"/>
    </row>
    <row r="1010">
      <c r="A1010" s="2" t="n">
        <v>1009</v>
      </c>
      <c r="B1010" s="2" t="inlineStr">
        <is>
          <t>не сюжет</t>
        </is>
      </c>
      <c r="C1010" s="2" t="n">
        <v>10919</v>
      </c>
      <c r="D1010" s="3" t="inlineStr">
        <is>
          <t>Трибунал</t>
        </is>
      </c>
      <c r="E1010" s="2" t="n">
        <v>1981</v>
      </c>
      <c r="F1010" s="2" t="inlineStr">
        <is>
          <t>фильм-спектакль</t>
        </is>
      </c>
      <c r="G1010" s="2" t="inlineStr">
        <is>
          <t>Белорусское телевидение</t>
        </is>
      </c>
      <c r="H1010" s="2" t="n">
        <v>91</v>
      </c>
      <c r="I1010" s="2" t="inlineStr"/>
      <c r="J1010" s="2" t="inlineStr">
        <is>
          <t>да</t>
        </is>
      </c>
      <c r="K1010" s="3" t="inlineStr">
        <is>
          <t>Телеверсия спектакля Белорусского театра им. Я.Купалы по одноименной пьесе Андрея Макаёнка.</t>
        </is>
      </c>
      <c r="L1010" s="2" t="inlineStr">
        <is>
          <t>https://www.kino-teatr.ru/teatr/movie/94792/annot/</t>
        </is>
      </c>
      <c r="M1010" s="2">
        <f>HYPERLINK("https://ru.wikipedia.org/w/index.php?search=%D0%A2%D1%80%D0%B8%D0%B1%D1%83%D0%BD%D0%B0%D0%BB%201981%20%D1%84%D0%B8%D0%BB%D1%8C%D0%BC","искать")</f>
        <v/>
      </c>
      <c r="N1010" s="3" t="n"/>
      <c r="O1010" s="2" t="n"/>
    </row>
    <row r="1011">
      <c r="A1011" s="2" t="n">
        <v>1010</v>
      </c>
      <c r="B1011" s="2" t="inlineStr">
        <is>
          <t>не сюжет</t>
        </is>
      </c>
      <c r="C1011" s="2" t="n">
        <v>11339</v>
      </c>
      <c r="D1011" s="3" t="inlineStr">
        <is>
          <t>Здешние</t>
        </is>
      </c>
      <c r="E1011" s="2" t="n">
        <v>1991</v>
      </c>
      <c r="F1011" s="2" t="inlineStr">
        <is>
          <t>фильм-спектакль</t>
        </is>
      </c>
      <c r="G1011" s="2" t="inlineStr">
        <is>
          <t>Белорусский видеоцентр</t>
        </is>
      </c>
      <c r="H1011" s="2" t="n">
        <v>91</v>
      </c>
      <c r="I1011" s="2" t="inlineStr"/>
      <c r="J1011" s="2" t="inlineStr">
        <is>
          <t>да</t>
        </is>
      </c>
      <c r="K1011" s="3" t="inlineStr">
        <is>
          <t>Спектакль Национального академического театра им.Янки Купалы по одноименной пьесе Я.Купалы.</t>
        </is>
      </c>
      <c r="L1011" s="2" t="inlineStr">
        <is>
          <t>https://www.kino-teatr.ru/teatr/movie/101713/annot/</t>
        </is>
      </c>
      <c r="M1011" s="2">
        <f>HYPERLINK("https://ru.wikipedia.org/w/index.php?search=%D0%97%D0%B4%D0%B5%D1%88%D0%BD%D0%B8%D0%B5%201991%20%D1%84%D0%B8%D0%BB%D1%8C%D0%BC","искать")</f>
        <v/>
      </c>
      <c r="N1011" s="3" t="n"/>
      <c r="O1011" s="2" t="n"/>
    </row>
    <row r="1012">
      <c r="A1012" s="2" t="n">
        <v>1011</v>
      </c>
      <c r="B1012" s="2" t="inlineStr">
        <is>
          <t>не сюжет</t>
        </is>
      </c>
      <c r="C1012" s="2" t="n">
        <v>8857</v>
      </c>
      <c r="D1012" s="3" t="inlineStr">
        <is>
          <t>На всякого мудреца довольно простоты</t>
        </is>
      </c>
      <c r="E1012" s="2" t="n">
        <v>1982</v>
      </c>
      <c r="F1012" s="2" t="inlineStr">
        <is>
          <t>фильм-спектакль</t>
        </is>
      </c>
      <c r="G1012" s="2" t="n"/>
      <c r="H1012" s="2" t="n">
        <v>92</v>
      </c>
      <c r="I1012" s="2" t="inlineStr"/>
      <c r="J1012" s="2" t="inlineStr">
        <is>
          <t>да</t>
        </is>
      </c>
      <c r="K1012" s="3" t="inlineStr">
        <is>
          <t>Спектакль Узбекского драматического театра им. Хамзы по одноименной комедии А.Н.Островского.</t>
        </is>
      </c>
      <c r="L1012" s="2" t="inlineStr">
        <is>
          <t>Кино_СССР сводный каталог.xlsx: список фильмов (доп.)</t>
        </is>
      </c>
      <c r="M1012" s="2">
        <f>HYPERLINK("https://ru.wikipedia.org/w/index.php?search=%D0%9D%D0%B0%20%D0%B2%D1%81%D1%8F%D0%BA%D0%BE%D0%B3%D0%BE%20%D0%BC%D1%83%D0%B4%D1%80%D0%B5%D1%86%D0%B0%20%D0%B4%D0%BE%D0%B2%D0%BE%D0%BB%D1%8C%D0%BD%D0%BE%20%D0%BF%D1%80%D0%BE%D1%81%D1%82%D0%BE%D1%82%D1%8B%201982%20%D1%84%D0%B8%D0%BB%D1%8C%D0%BC","искать")</f>
        <v/>
      </c>
      <c r="N1012" s="3" t="n"/>
      <c r="O1012" s="2" t="n"/>
    </row>
    <row r="1013">
      <c r="A1013" s="2" t="n">
        <v>1012</v>
      </c>
      <c r="B1013" s="2" t="inlineStr">
        <is>
          <t>не сюжет</t>
        </is>
      </c>
      <c r="C1013" s="2" t="n">
        <v>9820</v>
      </c>
      <c r="D1013" s="3" t="inlineStr">
        <is>
          <t>Карусель</t>
        </is>
      </c>
      <c r="E1013" s="2" t="n">
        <v>1962</v>
      </c>
      <c r="F1013" s="2" t="inlineStr">
        <is>
          <t>кинофильм</t>
        </is>
      </c>
      <c r="G1013" s="2" t="inlineStr">
        <is>
          <t>ВГИК</t>
        </is>
      </c>
      <c r="H1013" s="2" t="n">
        <v>92</v>
      </c>
      <c r="I1013" s="2" t="inlineStr"/>
      <c r="J1013" s="2" t="inlineStr">
        <is>
          <t>да</t>
        </is>
      </c>
      <c r="K1013" s="3" t="inlineStr">
        <is>
          <t>Учебная работа студента 3 курса режиссерского отделения ВГИКа.
Лирическая уличная зарисовка.</t>
        </is>
      </c>
      <c r="L1013" s="2" t="inlineStr">
        <is>
          <t>https://www.kino-teatr.ru/short/movie/sov/108504/annot/</t>
        </is>
      </c>
      <c r="M1013" s="2">
        <f>HYPERLINK("https://ru.wikipedia.org/w/index.php?search=%D0%9A%D0%B0%D1%80%D1%83%D1%81%D0%B5%D0%BB%D1%8C%201962%20%D1%84%D0%B8%D0%BB%D1%8C%D0%BC","искать")</f>
        <v/>
      </c>
      <c r="N1013" s="3" t="n"/>
      <c r="O1013" s="2" t="n"/>
    </row>
    <row r="1014">
      <c r="A1014" s="2" t="n">
        <v>1013</v>
      </c>
      <c r="B1014" s="2" t="inlineStr">
        <is>
          <t>не сюжет</t>
        </is>
      </c>
      <c r="C1014" s="2" t="n">
        <v>10653</v>
      </c>
      <c r="D1014" s="3" t="inlineStr">
        <is>
          <t>Красная гостиница</t>
        </is>
      </c>
      <c r="E1014" s="2" t="n">
        <v>1976</v>
      </c>
      <c r="F1014" s="2" t="inlineStr">
        <is>
          <t>фильм-спектакль</t>
        </is>
      </c>
      <c r="G1014" s="2" t="inlineStr">
        <is>
          <t>Центральное телевидение</t>
        </is>
      </c>
      <c r="H1014" s="2" t="n">
        <v>92</v>
      </c>
      <c r="I1014" s="2" t="inlineStr"/>
      <c r="J1014" s="2" t="inlineStr">
        <is>
          <t>да</t>
        </is>
      </c>
      <c r="K1014" s="3" t="inlineStr">
        <is>
          <t>По одноименной новелле французского писателя Оноре де Бальзака из цикла "Философские этюды".</t>
        </is>
      </c>
      <c r="L1014" s="2" t="inlineStr">
        <is>
          <t>https://www.kino-teatr.ru/teatr/movie/102385/annot/</t>
        </is>
      </c>
      <c r="M1014" s="2">
        <f>HYPERLINK("https://ru.wikipedia.org/w/index.php?search=%D0%9A%D1%80%D0%B0%D1%81%D0%BD%D0%B0%D1%8F%20%D0%B3%D0%BE%D1%81%D1%82%D0%B8%D0%BD%D0%B8%D1%86%D0%B0%201976%20%D1%84%D0%B8%D0%BB%D1%8C%D0%BC","искать")</f>
        <v/>
      </c>
      <c r="N1014" s="3" t="n"/>
      <c r="O1014" s="2" t="n"/>
    </row>
    <row r="1015">
      <c r="A1015" s="2" t="n">
        <v>1014</v>
      </c>
      <c r="B1015" s="2" t="inlineStr">
        <is>
          <t>не сюжет</t>
        </is>
      </c>
      <c r="C1015" s="2" t="n">
        <v>10941</v>
      </c>
      <c r="D1015" s="3" t="inlineStr">
        <is>
          <t>Йокубелис и Квета</t>
        </is>
      </c>
      <c r="E1015" s="2" t="n">
        <v>1982</v>
      </c>
      <c r="F1015" s="2" t="inlineStr">
        <is>
          <t>фильм-спектакль</t>
        </is>
      </c>
      <c r="G1015" s="2" t="inlineStr">
        <is>
          <t>Литовское телевидение</t>
        </is>
      </c>
      <c r="H1015" s="2" t="n">
        <v>92</v>
      </c>
      <c r="I1015" s="2" t="inlineStr"/>
      <c r="J1015" s="2" t="inlineStr">
        <is>
          <t>да</t>
        </is>
      </c>
      <c r="K1015" s="3" t="inlineStr">
        <is>
          <t>История о жизненных проблемах одинокой женщины-вдовы и взятого ею из детского дома мальчика.</t>
        </is>
      </c>
      <c r="L1015" s="2" t="inlineStr">
        <is>
          <t>https://www.kino-teatr.ru/teatr/movie/108051/annot/</t>
        </is>
      </c>
      <c r="M1015" s="2">
        <f>HYPERLINK("https://ru.wikipedia.org/w/index.php?search=%D0%99%D0%BE%D0%BA%D1%83%D0%B1%D0%B5%D0%BB%D0%B8%D1%81%20%D0%B8%20%D0%9A%D0%B2%D0%B5%D1%82%D0%B0%201982%20%D1%84%D0%B8%D0%BB%D1%8C%D0%BC","искать")</f>
        <v/>
      </c>
      <c r="N1015" s="3" t="n"/>
      <c r="O1015" s="2" t="n"/>
    </row>
    <row r="1016">
      <c r="A1016" s="2" t="n">
        <v>1015</v>
      </c>
      <c r="B1016" s="2" t="inlineStr">
        <is>
          <t>не сюжет</t>
        </is>
      </c>
      <c r="C1016" s="2" t="n">
        <v>11238</v>
      </c>
      <c r="D1016" s="3" t="inlineStr">
        <is>
          <t>Это было раненое сердце... Некрасов и Достоевский</t>
        </is>
      </c>
      <c r="E1016" s="2" t="n">
        <v>1988</v>
      </c>
      <c r="F1016" s="2" t="inlineStr">
        <is>
          <t>фильм-спектакль</t>
        </is>
      </c>
      <c r="G1016" s="2" t="inlineStr">
        <is>
          <t>Главная редакция литературно-драматических программ ЦТ</t>
        </is>
      </c>
      <c r="H1016" s="2" t="n">
        <v>92</v>
      </c>
      <c r="I1016" s="2" t="inlineStr"/>
      <c r="J1016" s="2" t="inlineStr">
        <is>
          <t>да</t>
        </is>
      </c>
      <c r="K1016" s="3" t="inlineStr">
        <is>
          <t>Воспоминания Ф.М. Достоевского о Н. А. Некрасове в исполнении артиста Александра Филиппенко.</t>
        </is>
      </c>
      <c r="L1016" s="2" t="inlineStr">
        <is>
          <t>https://www.kino-teatr.ru/teatr/movie/107808/annot/</t>
        </is>
      </c>
      <c r="M1016" s="2">
        <f>HYPERLINK("https://ru.wikipedia.org/w/index.php?search=%D0%AD%D1%82%D0%BE%20%D0%B1%D1%8B%D0%BB%D0%BE%20%D1%80%D0%B0%D0%BD%D0%B5%D0%BD%D0%BE%D0%B5%20%D1%81%D0%B5%D1%80%D0%B4%D1%86%D0%B5...%20%D0%9D%D0%B5%D0%BA%D1%80%D0%B0%D1%81%D0%BE%D0%B2%20%D0%B8%20%D0%94%D0%BE%D1%81%D1%82%D0%BE%D0%B5%D0%B2%D1%81%D0%BA%D0%B8%D0%B9%201988%20%D1%84%D0%B8%D0%BB%D1%8C%D0%BC","искать")</f>
        <v/>
      </c>
      <c r="N1016" s="3" t="n"/>
      <c r="O1016" s="2" t="n"/>
    </row>
    <row r="1017">
      <c r="A1017" s="2" t="n">
        <v>1016</v>
      </c>
      <c r="B1017" s="2" t="inlineStr">
        <is>
          <t>не сюжет</t>
        </is>
      </c>
      <c r="C1017" s="2" t="n">
        <v>11303</v>
      </c>
      <c r="D1017" s="3" t="inlineStr">
        <is>
          <t>Игра в фанты</t>
        </is>
      </c>
      <c r="E1017" s="2" t="n">
        <v>1990</v>
      </c>
      <c r="F1017" s="2" t="inlineStr">
        <is>
          <t>фильм-спектакль</t>
        </is>
      </c>
      <c r="G1017" s="2" t="inlineStr">
        <is>
          <t>Центральное телевидение</t>
        </is>
      </c>
      <c r="H1017" s="2" t="n">
        <v>92</v>
      </c>
      <c r="I1017" s="2" t="inlineStr"/>
      <c r="J1017" s="2" t="inlineStr">
        <is>
          <t>да</t>
        </is>
      </c>
      <c r="K1017" s="3" t="inlineStr">
        <is>
          <t>По одноименной пьесе Николая Коляды в постановке Рязанского областного театра юного зрителя.</t>
        </is>
      </c>
      <c r="L1017" s="2" t="inlineStr">
        <is>
          <t>https://www.kino-teatr.ru/teatr/movie/139484/annot/</t>
        </is>
      </c>
      <c r="M1017" s="2">
        <f>HYPERLINK("https://ru.wikipedia.org/w/index.php?search=%D0%98%D0%B3%D1%80%D0%B0%20%D0%B2%20%D1%84%D0%B0%D0%BD%D1%82%D1%8B%201990%20%D1%84%D0%B8%D0%BB%D1%8C%D0%BC","искать")</f>
        <v/>
      </c>
      <c r="N1017" s="3" t="n"/>
      <c r="O1017" s="2" t="n"/>
    </row>
    <row r="1018">
      <c r="A1018" s="2" t="n">
        <v>1017</v>
      </c>
      <c r="B1018" s="2" t="inlineStr">
        <is>
          <t>не сюжет</t>
        </is>
      </c>
      <c r="C1018" s="2" t="n">
        <v>7401</v>
      </c>
      <c r="D1018" s="3" t="inlineStr">
        <is>
          <t>Всего три недели...</t>
        </is>
      </c>
      <c r="E1018" s="2" t="n">
        <v>1971</v>
      </c>
      <c r="F1018" s="2" t="inlineStr">
        <is>
          <t>телефильм</t>
        </is>
      </c>
      <c r="G1018" s="2" t="inlineStr">
        <is>
          <t>к/с им. Довженко</t>
        </is>
      </c>
      <c r="H1018" s="2" t="n">
        <v>93</v>
      </c>
      <c r="I1018" s="2" t="inlineStr"/>
      <c r="J1018" s="2" t="inlineStr">
        <is>
          <t>да</t>
        </is>
      </c>
      <c r="K1018" s="3" t="inlineStr">
        <is>
          <t>Телефильм о селе, о делах колхоза и об отношениях между председателем колхоза и колхозниками.</t>
        </is>
      </c>
      <c r="L1018" s="2" t="inlineStr">
        <is>
          <t>Кино_СССР сводный каталог.xlsx: список телефильмов</t>
        </is>
      </c>
      <c r="M1018" s="2">
        <f>HYPERLINK("https://ru.wikipedia.org/w/index.php?search=%D0%92%D1%81%D0%B5%D0%B3%D0%BE%20%D1%82%D1%80%D0%B8%20%D0%BD%D0%B5%D0%B4%D0%B5%D0%BB%D0%B8...%201971%20%D1%84%D0%B8%D0%BB%D1%8C%D0%BC","искать")</f>
        <v/>
      </c>
      <c r="N1018" s="3" t="n"/>
      <c r="O1018" s="2" t="n"/>
    </row>
    <row r="1019">
      <c r="A1019" s="2" t="n">
        <v>1018</v>
      </c>
      <c r="B1019" s="2" t="inlineStr">
        <is>
          <t>не сюжет</t>
        </is>
      </c>
      <c r="C1019" s="2" t="n">
        <v>7694</v>
      </c>
      <c r="D1019" s="3" t="inlineStr">
        <is>
          <t>К расследованию приступить</t>
        </is>
      </c>
      <c r="E1019" s="2" t="n">
        <v>1986</v>
      </c>
      <c r="F1019" s="2" t="inlineStr">
        <is>
          <t>телефильм</t>
        </is>
      </c>
      <c r="G1019" s="2" t="inlineStr">
        <is>
          <t>к/с им. Довженко</t>
        </is>
      </c>
      <c r="H1019" s="2" t="n">
        <v>93</v>
      </c>
      <c r="I1019" s="2" t="inlineStr"/>
      <c r="J1019" s="2" t="inlineStr">
        <is>
          <t>да</t>
        </is>
      </c>
      <c r="K1019" s="3" t="inlineStr">
        <is>
          <t>Несколько сотрудников прокуратуры СССР собираются вместе и вспоминают громкие раскрытые дела.</t>
        </is>
      </c>
      <c r="L1019" s="2" t="inlineStr">
        <is>
          <t>Кино_СССР сводный каталог.xlsx: список телефильмов</t>
        </is>
      </c>
      <c r="M1019" s="2">
        <f>HYPERLINK("https://ru.wikipedia.org/w/index.php?search=%D0%9A%20%D1%80%D0%B0%D1%81%D1%81%D0%BB%D0%B5%D0%B4%D0%BE%D0%B2%D0%B0%D0%BD%D0%B8%D1%8E%20%D0%BF%D1%80%D0%B8%D1%81%D1%82%D1%83%D0%BF%D0%B8%D1%82%D1%8C%201986%20%D1%84%D0%B8%D0%BB%D1%8C%D0%BC","искать")</f>
        <v/>
      </c>
      <c r="N1019" s="3" t="n"/>
      <c r="O1019" s="2" t="n"/>
    </row>
    <row r="1020">
      <c r="A1020" s="2" t="n">
        <v>1019</v>
      </c>
      <c r="B1020" s="2" t="inlineStr">
        <is>
          <t>не сюжет</t>
        </is>
      </c>
      <c r="C1020" s="2" t="n">
        <v>9027</v>
      </c>
      <c r="D1020" s="3" t="inlineStr">
        <is>
          <t>Самый лучший человек (киноальманах)</t>
        </is>
      </c>
      <c r="E1020" s="2" t="n">
        <v>1979</v>
      </c>
      <c r="F1020" s="2" t="inlineStr">
        <is>
          <t>кинофильм</t>
        </is>
      </c>
      <c r="G1020" s="2" t="n"/>
      <c r="H1020" s="2" t="n">
        <v>93</v>
      </c>
      <c r="I1020" s="2" t="inlineStr"/>
      <c r="J1020" s="2" t="inlineStr">
        <is>
          <t>да</t>
        </is>
      </c>
      <c r="K1020" s="3" t="inlineStr">
        <is>
          <t>Ամենալավ մարդը Фильм делится на три эпизода: "Мир в зеркальце", "Посещение", "Путь возврата".</t>
        </is>
      </c>
      <c r="L1020" s="2" t="inlineStr">
        <is>
          <t>Кино_СССР сводный каталог.xlsx: список фильмов (доп.)</t>
        </is>
      </c>
      <c r="M1020" s="2">
        <f>HYPERLINK("https://ru.wikipedia.org/w/index.php?search=%D0%A1%D0%B0%D0%BC%D1%8B%D0%B9%20%D0%BB%D1%83%D1%87%D1%88%D0%B8%D0%B9%20%D1%87%D0%B5%D0%BB%D0%BE%D0%B2%D0%B5%D0%BA%20%28%D0%BA%D0%B8%D0%BD%D0%BE%D0%B0%D0%BB%D1%8C%D0%BC%D0%B0%D0%BD%D0%B0%D1%85%29%201979%20%D1%84%D0%B8%D0%BB%D1%8C%D0%BC","искать")</f>
        <v/>
      </c>
      <c r="N1020" s="3" t="n"/>
      <c r="O1020" s="2" t="n"/>
    </row>
    <row r="1021">
      <c r="A1021" s="2" t="n">
        <v>1020</v>
      </c>
      <c r="B1021" s="2" t="inlineStr">
        <is>
          <t>не сюжет</t>
        </is>
      </c>
      <c r="C1021" s="2" t="n">
        <v>9509</v>
      </c>
      <c r="D1021" s="3" t="inlineStr">
        <is>
          <t>Низами</t>
        </is>
      </c>
      <c r="E1021" s="2" t="n">
        <v>1982</v>
      </c>
      <c r="F1021" s="2" t="inlineStr">
        <is>
          <t>кинофильм</t>
        </is>
      </c>
      <c r="G1021" s="2" t="n"/>
      <c r="H1021" s="2" t="n">
        <v>93</v>
      </c>
      <c r="I1021" s="2" t="inlineStr"/>
      <c r="J1021" s="2" t="inlineStr">
        <is>
          <t>да</t>
        </is>
      </c>
      <c r="K1021" s="3" t="inlineStr">
        <is>
          <t>Посвящен великому азербайджанскому поэту и философу-гуманисту, жившему на рубеже 12-13 веков.</t>
        </is>
      </c>
      <c r="L1021" s="2" t="inlineStr">
        <is>
          <t>Кино_СССР сводный каталог.xlsx: список фильмов (доп.)</t>
        </is>
      </c>
      <c r="M1021" s="2">
        <f>HYPERLINK("https://ru.wikipedia.org/w/index.php?search=%D0%9D%D0%B8%D0%B7%D0%B0%D0%BC%D0%B8%201982%20%D1%84%D0%B8%D0%BB%D1%8C%D0%BC","искать")</f>
        <v/>
      </c>
      <c r="N1021" s="3" t="n"/>
      <c r="O1021" s="2" t="n"/>
    </row>
    <row r="1022">
      <c r="A1022" s="2" t="n">
        <v>1021</v>
      </c>
      <c r="B1022" s="2" t="inlineStr">
        <is>
          <t>не сюжет</t>
        </is>
      </c>
      <c r="C1022" s="2" t="n">
        <v>10561</v>
      </c>
      <c r="D1022" s="3" t="inlineStr">
        <is>
          <t>Домик в Коломне</t>
        </is>
      </c>
      <c r="E1022" s="2" t="n">
        <v>1974</v>
      </c>
      <c r="F1022" s="2" t="inlineStr">
        <is>
          <t>фильм-спектакль</t>
        </is>
      </c>
      <c r="G1022" s="2" t="n"/>
      <c r="H1022" s="2" t="n">
        <v>93</v>
      </c>
      <c r="I1022" s="2" t="inlineStr"/>
      <c r="J1022" s="2" t="inlineStr">
        <is>
          <t>да</t>
        </is>
      </c>
      <c r="K1022" s="3" t="inlineStr">
        <is>
          <t>В основе телеспектакля поэма "Домик в Коломне", стихи и письма Александра Сергеевича Пушкина.</t>
        </is>
      </c>
      <c r="L1022" s="2" t="inlineStr">
        <is>
          <t>https://www.kino-teatr.ru/teatr/movie/101826/annot/</t>
        </is>
      </c>
      <c r="M1022" s="2">
        <f>HYPERLINK("https://ru.wikipedia.org/w/index.php?search=%D0%94%D0%BE%D0%BC%D0%B8%D0%BA%20%D0%B2%20%D0%9A%D0%BE%D0%BB%D0%BE%D0%BC%D0%BD%D0%B5%201974%20%D1%84%D0%B8%D0%BB%D1%8C%D0%BC","искать")</f>
        <v/>
      </c>
      <c r="N1022" s="3" t="n"/>
      <c r="O1022" s="2" t="n"/>
    </row>
    <row r="1023">
      <c r="A1023" s="2" t="n">
        <v>1022</v>
      </c>
      <c r="B1023" s="2" t="inlineStr">
        <is>
          <t>не сюжет</t>
        </is>
      </c>
      <c r="C1023" s="2" t="n">
        <v>10622</v>
      </c>
      <c r="D1023" s="3" t="inlineStr">
        <is>
          <t>Прошлым летом в Чулимске</t>
        </is>
      </c>
      <c r="E1023" s="2" t="n">
        <v>1975</v>
      </c>
      <c r="F1023" s="2" t="inlineStr">
        <is>
          <t>фильм-спектакль</t>
        </is>
      </c>
      <c r="G1023" s="2" t="inlineStr">
        <is>
          <t>Главная редакция литературно-драматических программ ЦТ</t>
        </is>
      </c>
      <c r="H1023" s="2" t="n">
        <v>93</v>
      </c>
      <c r="I1023" s="2" t="inlineStr"/>
      <c r="J1023" s="2" t="inlineStr">
        <is>
          <t>да</t>
        </is>
      </c>
      <c r="K1023" s="3" t="inlineStr">
        <is>
          <t>Спектакль московского драматического театра им. М.Н. Ермоловой по пьесе Александра Вампилова.</t>
        </is>
      </c>
      <c r="L1023" s="2" t="inlineStr">
        <is>
          <t>https://www.kino-teatr.ru/teatr/movie/80773/annot/</t>
        </is>
      </c>
      <c r="M1023" s="2">
        <f>HYPERLINK("https://ru.wikipedia.org/w/index.php?search=%D0%9F%D1%80%D0%BE%D1%88%D0%BB%D1%8B%D0%BC%20%D0%BB%D0%B5%D1%82%D0%BE%D0%BC%20%D0%B2%20%D0%A7%D1%83%D0%BB%D0%B8%D0%BC%D1%81%D0%BA%D0%B5%201975%20%D1%84%D0%B8%D0%BB%D1%8C%D0%BC","искать")</f>
        <v/>
      </c>
      <c r="N1023" s="3" t="n"/>
      <c r="O1023" s="2" t="n"/>
    </row>
    <row r="1024">
      <c r="A1024" s="2" t="n">
        <v>1023</v>
      </c>
      <c r="B1024" s="2" t="inlineStr">
        <is>
          <t>не сюжет</t>
        </is>
      </c>
      <c r="C1024" s="2" t="n">
        <v>7996</v>
      </c>
      <c r="D1024" s="3" t="inlineStr">
        <is>
          <t>Неудобный человек</t>
        </is>
      </c>
      <c r="E1024" s="2" t="n">
        <v>1978</v>
      </c>
      <c r="F1024" s="2" t="inlineStr">
        <is>
          <t>телефильм</t>
        </is>
      </c>
      <c r="G1024" s="2" t="n"/>
      <c r="H1024" s="2" t="n">
        <v>94</v>
      </c>
      <c r="I1024" s="2" t="inlineStr"/>
      <c r="J1024" s="2" t="inlineStr">
        <is>
          <t>да</t>
        </is>
      </c>
      <c r="K1024" s="3" t="inlineStr">
        <is>
          <t>О бригаде рабочих, для которых жить и работать с максимальной отдачей - моральная потребность.</t>
        </is>
      </c>
      <c r="L1024" s="2" t="inlineStr">
        <is>
          <t>Кино_СССР сводный каталог.xlsx: список телефильмов</t>
        </is>
      </c>
      <c r="M1024" s="2">
        <f>HYPERLINK("https://ru.wikipedia.org/w/index.php?search=%D0%9D%D0%B5%D1%83%D0%B4%D0%BE%D0%B1%D0%BD%D1%8B%D0%B9%20%D1%87%D0%B5%D0%BB%D0%BE%D0%B2%D0%B5%D0%BA%201978%20%D1%84%D0%B8%D0%BB%D1%8C%D0%BC","искать")</f>
        <v/>
      </c>
      <c r="N1024" s="3" t="n"/>
      <c r="O1024" s="2" t="n"/>
    </row>
    <row r="1025">
      <c r="A1025" s="2" t="n">
        <v>1024</v>
      </c>
      <c r="B1025" s="2" t="inlineStr">
        <is>
          <t>не сюжет</t>
        </is>
      </c>
      <c r="C1025" s="2" t="n">
        <v>8347</v>
      </c>
      <c r="D1025" s="3" t="inlineStr">
        <is>
          <t>Сказания городка Кукучяй</t>
        </is>
      </c>
      <c r="E1025" s="2" t="n">
        <v>1987</v>
      </c>
      <c r="F1025" s="2" t="inlineStr">
        <is>
          <t>телефильм</t>
        </is>
      </c>
      <c r="G1025" s="2" t="n"/>
      <c r="H1025" s="2" t="n">
        <v>94</v>
      </c>
      <c r="I1025" s="2" t="inlineStr"/>
      <c r="J1025" s="2" t="inlineStr">
        <is>
          <t>да</t>
        </is>
      </c>
      <c r="K1025" s="3" t="inlineStr">
        <is>
          <t>Фильм поставлен по роману П.Трейниса и рассказывает о довоенной жизни жителей городка Кукучяй.</t>
        </is>
      </c>
      <c r="L1025" s="2" t="inlineStr">
        <is>
          <t>Кино_СССР сводный каталог.xlsx: список телефильмов</t>
        </is>
      </c>
      <c r="M1025" s="2">
        <f>HYPERLINK("https://ru.wikipedia.org/w/index.php?search=%D0%A1%D0%BA%D0%B0%D0%B7%D0%B0%D0%BD%D0%B8%D1%8F%20%D0%B3%D0%BE%D1%80%D0%BE%D0%B4%D0%BA%D0%B0%20%D0%9A%D1%83%D0%BA%D1%83%D1%87%D1%8F%D0%B9%201987%20%D1%84%D0%B8%D0%BB%D1%8C%D0%BC","искать")</f>
        <v/>
      </c>
      <c r="N1025" s="3" t="n"/>
      <c r="O1025" s="2" t="n"/>
    </row>
    <row r="1026">
      <c r="A1026" s="2" t="n">
        <v>1025</v>
      </c>
      <c r="B1026" s="2" t="inlineStr">
        <is>
          <t>не сюжет</t>
        </is>
      </c>
      <c r="C1026" s="2" t="n">
        <v>8863</v>
      </c>
      <c r="D1026" s="3" t="inlineStr">
        <is>
          <t>Народный Малахий</t>
        </is>
      </c>
      <c r="E1026" s="2" t="n">
        <v>1991</v>
      </c>
      <c r="F1026" s="2" t="inlineStr">
        <is>
          <t>кинофильм</t>
        </is>
      </c>
      <c r="G1026" s="2" t="n"/>
      <c r="H1026" s="2" t="n">
        <v>94</v>
      </c>
      <c r="I1026" s="2" t="inlineStr"/>
      <c r="J1026" s="2" t="inlineStr">
        <is>
          <t>да</t>
        </is>
      </c>
      <c r="K1026" s="3" t="inlineStr">
        <is>
          <t>Экранизация пьесы Николая Кулеша. О коротком периоде "введения" украинского языка в 20-е годы.</t>
        </is>
      </c>
      <c r="L1026" s="2" t="inlineStr">
        <is>
          <t>Кино_СССР сводный каталог.xlsx: список фильмов (доп.)</t>
        </is>
      </c>
      <c r="M1026" s="2">
        <f>HYPERLINK("https://ru.wikipedia.org/w/index.php?search=%D0%9D%D0%B0%D1%80%D0%BE%D0%B4%D0%BD%D1%8B%D0%B9%20%D0%9C%D0%B0%D0%BB%D0%B0%D1%85%D0%B8%D0%B9%201991%20%D1%84%D0%B8%D0%BB%D1%8C%D0%BC","искать")</f>
        <v/>
      </c>
      <c r="N1026" s="3" t="n"/>
      <c r="O1026" s="2" t="n"/>
    </row>
    <row r="1027">
      <c r="A1027" s="2" t="n">
        <v>1026</v>
      </c>
      <c r="B1027" s="2" t="inlineStr">
        <is>
          <t>не сюжет</t>
        </is>
      </c>
      <c r="C1027" s="2" t="n">
        <v>9008</v>
      </c>
      <c r="D1027" s="3" t="inlineStr">
        <is>
          <t>Рассказы о Димке</t>
        </is>
      </c>
      <c r="E1027" s="2" t="n">
        <v>1968</v>
      </c>
      <c r="F1027" s="2" t="inlineStr">
        <is>
          <t>кинофильм</t>
        </is>
      </c>
      <c r="G1027" s="2" t="n"/>
      <c r="H1027" s="2" t="n">
        <v>94</v>
      </c>
      <c r="I1027" s="2" t="inlineStr"/>
      <c r="J1027" s="2" t="inlineStr">
        <is>
          <t>да</t>
        </is>
      </c>
      <c r="K1027" s="3" t="inlineStr">
        <is>
          <t>Телесборник состоит из трех новелл: «Димка рассердился», «Димка велогонщик», «Димкин петушок».</t>
        </is>
      </c>
      <c r="L1027" s="2" t="inlineStr">
        <is>
          <t>Кино_СССР сводный каталог.xlsx: список фильмов (доп.)</t>
        </is>
      </c>
      <c r="M1027" s="2">
        <f>HYPERLINK("https://ru.wikipedia.org/w/index.php?search=%D0%A0%D0%B0%D1%81%D1%81%D0%BA%D0%B0%D0%B7%D1%8B%20%D0%BE%20%D0%94%D0%B8%D0%BC%D0%BA%D0%B5%201968%20%D1%84%D0%B8%D0%BB%D1%8C%D0%BC","искать")</f>
        <v/>
      </c>
      <c r="N1027" s="3" t="n"/>
      <c r="O1027" s="2" t="n"/>
    </row>
    <row r="1028">
      <c r="A1028" s="2" t="n">
        <v>1027</v>
      </c>
      <c r="B1028" s="2" t="inlineStr">
        <is>
          <t>не сюжет</t>
        </is>
      </c>
      <c r="C1028" s="2" t="n">
        <v>9571</v>
      </c>
      <c r="D1028" s="3" t="inlineStr">
        <is>
          <t>Поражение после победы</t>
        </is>
      </c>
      <c r="E1028" s="2" t="n">
        <v>1988</v>
      </c>
      <c r="F1028" s="2" t="inlineStr">
        <is>
          <t>кинофильм</t>
        </is>
      </c>
      <c r="G1028" s="2" t="n"/>
      <c r="H1028" s="2" t="n">
        <v>94</v>
      </c>
      <c r="I1028" s="2" t="inlineStr"/>
      <c r="J1028" s="2" t="inlineStr">
        <is>
          <t>да</t>
        </is>
      </c>
      <c r="K1028" s="3" t="inlineStr">
        <is>
          <t>Трагическая история боксера Геннадия Кедрова, не сумевшего подготовить себя к жизни вне ринга.</t>
        </is>
      </c>
      <c r="L1028" s="2" t="inlineStr">
        <is>
          <t>Кино_СССР сводный каталог.xlsx: список фильмов (доп.)</t>
        </is>
      </c>
      <c r="M1028" s="2">
        <f>HYPERLINK("https://ru.wikipedia.org/w/index.php?search=%D0%9F%D0%BE%D1%80%D0%B0%D0%B6%D0%B5%D0%BD%D0%B8%D0%B5%20%D0%BF%D0%BE%D1%81%D0%BB%D0%B5%20%D0%BF%D0%BE%D0%B1%D0%B5%D0%B4%D1%8B%201988%20%D1%84%D0%B8%D0%BB%D1%8C%D0%BC","искать")</f>
        <v/>
      </c>
      <c r="N1028" s="3" t="n"/>
      <c r="O1028" s="2" t="n"/>
    </row>
    <row r="1029">
      <c r="A1029" s="2" t="n">
        <v>1028</v>
      </c>
      <c r="B1029" s="2" t="inlineStr">
        <is>
          <t>не сюжет</t>
        </is>
      </c>
      <c r="C1029" s="2" t="n">
        <v>9614</v>
      </c>
      <c r="D1029" s="3" t="inlineStr">
        <is>
          <t>Распад</t>
        </is>
      </c>
      <c r="E1029" s="2" t="n">
        <v>1990</v>
      </c>
      <c r="F1029" s="2" t="inlineStr">
        <is>
          <t>кинофильм</t>
        </is>
      </c>
      <c r="G1029" s="2" t="n"/>
      <c r="H1029" s="2" t="n">
        <v>94</v>
      </c>
      <c r="I1029" s="2" t="inlineStr"/>
      <c r="J1029" s="2" t="inlineStr">
        <is>
          <t>да</t>
        </is>
      </c>
      <c r="K1029" s="3" t="inlineStr">
        <is>
          <t>Игровой фильм, сделанный на материале событий, происшедших в апреле 1986 на Чернобыльской АЭС.</t>
        </is>
      </c>
      <c r="L1029" s="2" t="inlineStr">
        <is>
          <t>Кино_СССР сводный каталог.xlsx: список фильмов (доп.)</t>
        </is>
      </c>
      <c r="M1029" s="2">
        <f>HYPERLINK("https://ru.wikipedia.org/w/index.php?search=%D0%A0%D0%B0%D1%81%D0%BF%D0%B0%D0%B4%201990%20%D1%84%D0%B8%D0%BB%D1%8C%D0%BC","искать")</f>
        <v/>
      </c>
      <c r="N1029" s="3" t="n"/>
      <c r="O1029" s="2" t="n"/>
    </row>
    <row r="1030">
      <c r="A1030" s="2" t="n">
        <v>1029</v>
      </c>
      <c r="B1030" s="2" t="inlineStr">
        <is>
          <t>не сюжет</t>
        </is>
      </c>
      <c r="C1030" s="2" t="n">
        <v>9650</v>
      </c>
      <c r="D1030" s="3" t="inlineStr">
        <is>
          <t>Слепая</t>
        </is>
      </c>
      <c r="E1030" s="2" t="n">
        <v>1930</v>
      </c>
      <c r="F1030" s="2" t="inlineStr">
        <is>
          <t>кинофильм</t>
        </is>
      </c>
      <c r="G1030" s="2" t="n"/>
      <c r="H1030" s="2" t="n">
        <v>94</v>
      </c>
      <c r="I1030" s="2" t="inlineStr"/>
      <c r="J1030" s="2" t="inlineStr">
        <is>
          <t>да</t>
        </is>
      </c>
      <c r="K1030" s="3" t="inlineStr">
        <is>
          <t>Бытовая драма из жизни сванов. Точный сюжет не установлен... В ГФФ копия фильма не сохранилась</t>
        </is>
      </c>
      <c r="L1030" s="2" t="inlineStr">
        <is>
          <t>Кино_СССР сводный каталог.xlsx: список фильмов (доп.)</t>
        </is>
      </c>
      <c r="M1030" s="2">
        <f>HYPERLINK("https://ru.wikipedia.org/w/index.php?search=%D0%A1%D0%BB%D0%B5%D0%BF%D0%B0%D1%8F%201930%20%D1%84%D0%B8%D0%BB%D1%8C%D0%BC","искать")</f>
        <v/>
      </c>
      <c r="N1030" s="3" t="n"/>
      <c r="O1030" s="2" t="n"/>
    </row>
    <row r="1031">
      <c r="A1031" s="2" t="n">
        <v>1030</v>
      </c>
      <c r="B1031" s="2" t="inlineStr">
        <is>
          <t>не сюжет</t>
        </is>
      </c>
      <c r="C1031" s="2" t="n">
        <v>10615</v>
      </c>
      <c r="D1031" s="3" t="inlineStr">
        <is>
          <t>Лес</t>
        </is>
      </c>
      <c r="E1031" s="2" t="n">
        <v>1975</v>
      </c>
      <c r="F1031" s="2" t="inlineStr">
        <is>
          <t>фильм-спектакль</t>
        </is>
      </c>
      <c r="G1031" s="2" t="inlineStr">
        <is>
          <t>ТО Экран</t>
        </is>
      </c>
      <c r="H1031" s="2" t="n">
        <v>94</v>
      </c>
      <c r="I1031" s="2" t="inlineStr"/>
      <c r="J1031" s="2" t="inlineStr">
        <is>
          <t>да</t>
        </is>
      </c>
      <c r="K1031" s="3" t="inlineStr">
        <is>
          <t>По одноименной пьесе А.Островского в постановке Государственного академического Малого театра.</t>
        </is>
      </c>
      <c r="L1031" s="2" t="inlineStr">
        <is>
          <t>https://www.kino-teatr.ru/teatr/movie/15081/annot/</t>
        </is>
      </c>
      <c r="M1031" s="2">
        <f>HYPERLINK("https://ru.wikipedia.org/w/index.php?search=%D0%9B%D0%B5%D1%81%201975%20%D1%84%D0%B8%D0%BB%D1%8C%D0%BC","искать")</f>
        <v/>
      </c>
      <c r="N1031" s="3" t="n"/>
      <c r="O1031" s="2" t="n"/>
    </row>
    <row r="1032">
      <c r="A1032" s="2" t="n">
        <v>1031</v>
      </c>
      <c r="B1032" s="2" t="inlineStr">
        <is>
          <t>не сюжет</t>
        </is>
      </c>
      <c r="C1032" s="2" t="n">
        <v>10785</v>
      </c>
      <c r="D1032" s="3" t="inlineStr">
        <is>
          <t>Цирк у меня дома</t>
        </is>
      </c>
      <c r="E1032" s="2" t="n">
        <v>1978</v>
      </c>
      <c r="F1032" s="2" t="inlineStr">
        <is>
          <t>фильм-спектакль</t>
        </is>
      </c>
      <c r="G1032" s="2" t="inlineStr">
        <is>
          <t>Эстонское телевидение (ETV)</t>
        </is>
      </c>
      <c r="H1032" s="2" t="n">
        <v>94</v>
      </c>
      <c r="I1032" s="2" t="inlineStr"/>
      <c r="J1032" s="2" t="inlineStr">
        <is>
          <t>да</t>
        </is>
      </c>
      <c r="K1032" s="3" t="inlineStr">
        <is>
          <t>Поставлен по мотивам повести детского писателя Льва Давыдычева "Лёлишна из третьего подъезда".</t>
        </is>
      </c>
      <c r="L1032" s="2" t="inlineStr">
        <is>
          <t>https://www.kino-teatr.ru/teatr/movie/88955/annot/</t>
        </is>
      </c>
      <c r="M1032" s="2">
        <f>HYPERLINK("https://ru.wikipedia.org/w/index.php?search=%D0%A6%D0%B8%D1%80%D0%BA%20%D1%83%20%D0%BC%D0%B5%D0%BD%D1%8F%20%D0%B4%D0%BE%D0%BC%D0%B0%201978%20%D1%84%D0%B8%D0%BB%D1%8C%D0%BC","искать")</f>
        <v/>
      </c>
      <c r="N1032" s="3" t="n"/>
      <c r="O1032" s="2" t="n"/>
    </row>
    <row r="1033">
      <c r="A1033" s="2" t="n">
        <v>1032</v>
      </c>
      <c r="B1033" s="2" t="inlineStr">
        <is>
          <t>не сюжет</t>
        </is>
      </c>
      <c r="C1033" s="2" t="n">
        <v>10091</v>
      </c>
      <c r="D1033" s="3" t="inlineStr">
        <is>
          <t>Ворота славы</t>
        </is>
      </c>
      <c r="E1033" s="2" t="n">
        <v>1962</v>
      </c>
      <c r="F1033" s="2" t="inlineStr">
        <is>
          <t>фильм-спектакль</t>
        </is>
      </c>
      <c r="G1033" s="2" t="inlineStr">
        <is>
          <t>Центральное телевидение</t>
        </is>
      </c>
      <c r="H1033" s="2" t="n">
        <v>95</v>
      </c>
      <c r="I1033" s="2" t="inlineStr"/>
      <c r="J1033" s="2" t="inlineStr">
        <is>
          <t>да</t>
        </is>
      </c>
      <c r="K1033" s="3" t="inlineStr">
        <is>
          <t>Телеспектакль о жизни и творчестве великого австрийского композитора Вольфганга Амадея Моцарта.</t>
        </is>
      </c>
      <c r="L1033" s="2" t="inlineStr">
        <is>
          <t>https://www.kino-teatr.ru/teatr/movie/131711/annot/</t>
        </is>
      </c>
      <c r="M1033" s="2">
        <f>HYPERLINK("https://ru.wikipedia.org/w/index.php?search=%D0%92%D0%BE%D1%80%D0%BE%D1%82%D0%B0%20%D1%81%D0%BB%D0%B0%D0%B2%D1%8B%201962%20%D1%84%D0%B8%D0%BB%D1%8C%D0%BC","искать")</f>
        <v/>
      </c>
      <c r="N1033" s="3" t="n"/>
      <c r="O1033" s="2" t="n"/>
    </row>
    <row r="1034">
      <c r="A1034" s="2" t="n">
        <v>1033</v>
      </c>
      <c r="B1034" s="2" t="inlineStr">
        <is>
          <t>не сюжет</t>
        </is>
      </c>
      <c r="C1034" s="2" t="n">
        <v>10208</v>
      </c>
      <c r="D1034" s="3" t="inlineStr">
        <is>
          <t>Мой безумный брат</t>
        </is>
      </c>
      <c r="E1034" s="2" t="n">
        <v>1967</v>
      </c>
      <c r="F1034" s="2" t="inlineStr">
        <is>
          <t>фильм-спектакль</t>
        </is>
      </c>
      <c r="G1034" s="2" t="inlineStr">
        <is>
          <t>Одесская телестудия</t>
        </is>
      </c>
      <c r="H1034" s="2" t="n">
        <v>95</v>
      </c>
      <c r="I1034" s="2" t="inlineStr"/>
      <c r="J1034" s="2" t="inlineStr">
        <is>
          <t>да</t>
        </is>
      </c>
      <c r="K1034" s="3" t="inlineStr">
        <is>
          <t>По одноименной пьесе Е.Шатуновского.
Телеверсия спектакля Одесского театра музыкальной комедии.</t>
        </is>
      </c>
      <c r="L1034" s="2" t="inlineStr">
        <is>
          <t>https://www.kino-teatr.ru/teatr/movie/92849/annot/</t>
        </is>
      </c>
      <c r="M1034" s="2">
        <f>HYPERLINK("https://ru.wikipedia.org/w/index.php?search=%D0%9C%D0%BE%D0%B9%20%D0%B1%D0%B5%D0%B7%D1%83%D0%BC%D0%BD%D1%8B%D0%B9%20%D0%B1%D1%80%D0%B0%D1%82%201967%20%D1%84%D0%B8%D0%BB%D1%8C%D0%BC","искать")</f>
        <v/>
      </c>
      <c r="N1034" s="3" t="n"/>
      <c r="O1034" s="2" t="n"/>
    </row>
    <row r="1035">
      <c r="A1035" s="2" t="n">
        <v>1034</v>
      </c>
      <c r="B1035" s="2" t="inlineStr">
        <is>
          <t>не сюжет</t>
        </is>
      </c>
      <c r="C1035" s="2" t="n">
        <v>10371</v>
      </c>
      <c r="D1035" s="3" t="inlineStr">
        <is>
          <t>Солнце на стене</t>
        </is>
      </c>
      <c r="E1035" s="2" t="n">
        <v>1970</v>
      </c>
      <c r="F1035" s="2" t="inlineStr">
        <is>
          <t>фильм-спектакль</t>
        </is>
      </c>
      <c r="G1035" s="2" t="inlineStr">
        <is>
          <t>Центральное телевидение</t>
        </is>
      </c>
      <c r="H1035" s="2" t="n">
        <v>95</v>
      </c>
      <c r="I1035" s="2" t="inlineStr"/>
      <c r="J1035" s="2" t="inlineStr">
        <is>
          <t>да</t>
        </is>
      </c>
      <c r="K1035" s="3" t="inlineStr">
        <is>
          <t>По одноименному роману В.Козлова.
О жизни и труде молодых рабочих паровозостроительного завода.</t>
        </is>
      </c>
      <c r="L1035" s="2" t="inlineStr">
        <is>
          <t>https://www.kino-teatr.ru/teatr/movie/93059/annot/</t>
        </is>
      </c>
      <c r="M1035" s="2">
        <f>HYPERLINK("https://ru.wikipedia.org/w/index.php?search=%D0%A1%D0%BE%D0%BB%D0%BD%D1%86%D0%B5%20%D0%BD%D0%B0%20%D1%81%D1%82%D0%B5%D0%BD%D0%B5%201970%20%D1%84%D0%B8%D0%BB%D1%8C%D0%BC","искать")</f>
        <v/>
      </c>
      <c r="N1035" s="3" t="n"/>
      <c r="O1035" s="2" t="n"/>
    </row>
    <row r="1036">
      <c r="A1036" s="2" t="n">
        <v>1035</v>
      </c>
      <c r="B1036" s="2" t="inlineStr">
        <is>
          <t>не сюжет</t>
        </is>
      </c>
      <c r="C1036" s="2" t="n">
        <v>10460</v>
      </c>
      <c r="D1036" s="3" t="inlineStr">
        <is>
          <t>Платон Кречет</t>
        </is>
      </c>
      <c r="E1036" s="2" t="n">
        <v>1972</v>
      </c>
      <c r="F1036" s="2" t="inlineStr">
        <is>
          <t>фильм-спектакль</t>
        </is>
      </c>
      <c r="G1036" s="2" t="inlineStr">
        <is>
          <t>Укртелефильм</t>
        </is>
      </c>
      <c r="H1036" s="2" t="n">
        <v>95</v>
      </c>
      <c r="I1036" s="2" t="inlineStr"/>
      <c r="J1036" s="2" t="inlineStr">
        <is>
          <t>да</t>
        </is>
      </c>
      <c r="K1036" s="3" t="inlineStr">
        <is>
          <t>По одноименной пьесе А.Корнейчука в постановке Харьковского драматического театра им. Шевченко.</t>
        </is>
      </c>
      <c r="L1036" s="2" t="inlineStr">
        <is>
          <t>https://www.kino-teatr.ru/teatr/movie/93019/annot/</t>
        </is>
      </c>
      <c r="M1036" s="2">
        <f>HYPERLINK("https://ru.wikipedia.org/w/index.php?search=%D0%9F%D0%BB%D0%B0%D1%82%D0%BE%D0%BD%20%D0%9A%D1%80%D0%B5%D1%87%D0%B5%D1%82%201972%20%D1%84%D0%B8%D0%BB%D1%8C%D0%BC","искать")</f>
        <v/>
      </c>
      <c r="N1036" s="3" t="n"/>
      <c r="O1036" s="2" t="n"/>
    </row>
    <row r="1037">
      <c r="A1037" s="2" t="n">
        <v>1036</v>
      </c>
      <c r="B1037" s="2" t="inlineStr">
        <is>
          <t>не сюжет</t>
        </is>
      </c>
      <c r="C1037" s="2" t="n">
        <v>10609</v>
      </c>
      <c r="D1037" s="3" t="inlineStr">
        <is>
          <t>Достигаев и другие</t>
        </is>
      </c>
      <c r="E1037" s="2" t="n">
        <v>1975</v>
      </c>
      <c r="F1037" s="2" t="inlineStr">
        <is>
          <t>фильм-спектакль</t>
        </is>
      </c>
      <c r="G1037" s="2" t="inlineStr">
        <is>
          <t>ЦТ</t>
        </is>
      </c>
      <c r="H1037" s="2" t="n">
        <v>95</v>
      </c>
      <c r="I1037" s="2" t="inlineStr"/>
      <c r="J1037" s="2" t="inlineStr">
        <is>
          <t>да</t>
        </is>
      </c>
      <c r="K1037" s="3" t="inlineStr">
        <is>
          <t>По одноименной пьесе М. Горького.
В основе — спектакль Малого театра (постановщик Б. Бабочкин).</t>
        </is>
      </c>
      <c r="L1037" s="2" t="inlineStr">
        <is>
          <t>https://www.kino-teatr.ru/teatr/movie/8547/annot/</t>
        </is>
      </c>
      <c r="M1037" s="2">
        <f>HYPERLINK("https://ru.wikipedia.org/w/index.php?search=%D0%94%D0%BE%D1%81%D1%82%D0%B8%D0%B3%D0%B0%D0%B5%D0%B2%20%D0%B8%20%D0%B4%D1%80%D1%83%D0%B3%D0%B8%D0%B5%201975%20%D1%84%D0%B8%D0%BB%D1%8C%D0%BC","искать")</f>
        <v/>
      </c>
      <c r="N1037" s="3" t="n"/>
      <c r="O1037" s="2" t="n"/>
    </row>
    <row r="1038">
      <c r="A1038" s="2" t="n">
        <v>1037</v>
      </c>
      <c r="B1038" s="2" t="inlineStr">
        <is>
          <t>не сюжет</t>
        </is>
      </c>
      <c r="C1038" s="2" t="n">
        <v>11170</v>
      </c>
      <c r="D1038" s="3" t="inlineStr">
        <is>
          <t>Мир дому твоему</t>
        </is>
      </c>
      <c r="E1038" s="2" t="n">
        <v>1987</v>
      </c>
      <c r="F1038" s="2" t="inlineStr">
        <is>
          <t>фильм-спектакль</t>
        </is>
      </c>
      <c r="G1038" s="2" t="inlineStr">
        <is>
          <t>ТО "Экран"</t>
        </is>
      </c>
      <c r="H1038" s="2" t="n">
        <v>95</v>
      </c>
      <c r="I1038" s="2" t="inlineStr"/>
      <c r="J1038" s="2" t="inlineStr">
        <is>
          <t>да</t>
        </is>
      </c>
      <c r="K1038" s="3" t="inlineStr">
        <is>
          <t>Сатирические миниатюры на социальные и морально-этические темы в постановке театра "Сатирикон".</t>
        </is>
      </c>
      <c r="L1038" s="2" t="inlineStr">
        <is>
          <t>https://www.kino-teatr.ru/teatr/movie/81201/annot/</t>
        </is>
      </c>
      <c r="M1038" s="2">
        <f>HYPERLINK("https://ru.wikipedia.org/w/index.php?search=%D0%9C%D0%B8%D1%80%20%D0%B4%D0%BE%D0%BC%D1%83%20%D1%82%D0%B2%D0%BE%D0%B5%D0%BC%D1%83%201987%20%D1%84%D0%B8%D0%BB%D1%8C%D0%BC","искать")</f>
        <v/>
      </c>
      <c r="N1038" s="3" t="n"/>
      <c r="O1038" s="2" t="n"/>
    </row>
    <row r="1039">
      <c r="A1039" s="2" t="n">
        <v>1038</v>
      </c>
      <c r="B1039" s="2" t="inlineStr">
        <is>
          <t>не сюжет</t>
        </is>
      </c>
      <c r="C1039" s="2" t="n">
        <v>7453</v>
      </c>
      <c r="D1039" s="3" t="inlineStr">
        <is>
          <t>Городские косари</t>
        </is>
      </c>
      <c r="E1039" s="2" t="n">
        <v>1985</v>
      </c>
      <c r="F1039" s="2" t="inlineStr">
        <is>
          <t>телефильм</t>
        </is>
      </c>
      <c r="G1039" s="2" t="n"/>
      <c r="H1039" s="2" t="n">
        <v>96</v>
      </c>
      <c r="I1039" s="2" t="inlineStr"/>
      <c r="J1039" s="2" t="inlineStr">
        <is>
          <t>да</t>
        </is>
      </c>
      <c r="K1039" s="3" t="inlineStr">
        <is>
          <t>На перекрёстках взаимоотношений отцов и детей, города и деревни раскрываются имеющиеся проблемы.</t>
        </is>
      </c>
      <c r="L1039" s="2" t="inlineStr">
        <is>
          <t>Кино_СССР сводный каталог.xlsx: список телефильмов</t>
        </is>
      </c>
      <c r="M1039" s="2">
        <f>HYPERLINK("https://ru.wikipedia.org/w/index.php?search=%D0%93%D0%BE%D1%80%D0%BE%D0%B4%D1%81%D0%BA%D0%B8%D0%B5%20%D0%BA%D0%BE%D1%81%D0%B0%D1%80%D0%B8%201985%20%D1%84%D0%B8%D0%BB%D1%8C%D0%BC","искать")</f>
        <v/>
      </c>
      <c r="N1039" s="3" t="n"/>
      <c r="O1039" s="2" t="n"/>
    </row>
    <row r="1040">
      <c r="A1040" s="2" t="n">
        <v>1039</v>
      </c>
      <c r="B1040" s="2" t="inlineStr">
        <is>
          <t>не сюжет</t>
        </is>
      </c>
      <c r="C1040" s="2" t="n">
        <v>7817</v>
      </c>
      <c r="D1040" s="3" t="inlineStr">
        <is>
          <t>Лобо</t>
        </is>
      </c>
      <c r="E1040" s="2" t="n">
        <v>1978</v>
      </c>
      <c r="F1040" s="2" t="inlineStr">
        <is>
          <t>телефильм</t>
        </is>
      </c>
      <c r="G1040" s="2" t="n"/>
      <c r="H1040" s="2" t="n">
        <v>96</v>
      </c>
      <c r="I1040" s="2" t="inlineStr"/>
      <c r="J1040" s="2" t="inlineStr">
        <is>
          <t>да</t>
        </is>
      </c>
      <c r="K1040" s="3" t="inlineStr">
        <is>
          <t>По мотивам одноименного рассказа канадского писателя Э.Сетона-Томпсона о волке по кличке "Лобо".</t>
        </is>
      </c>
      <c r="L1040" s="2" t="inlineStr">
        <is>
          <t>Кино_СССР сводный каталог.xlsx: список телефильмов</t>
        </is>
      </c>
      <c r="M1040" s="2">
        <f>HYPERLINK("https://ru.wikipedia.org/w/index.php?search=%D0%9B%D0%BE%D0%B1%D0%BE%201978%20%D1%84%D0%B8%D0%BB%D1%8C%D0%BC","искать")</f>
        <v/>
      </c>
      <c r="N1040" s="3" t="n"/>
      <c r="O1040" s="2" t="n"/>
    </row>
    <row r="1041">
      <c r="A1041" s="2" t="n">
        <v>1040</v>
      </c>
      <c r="B1041" s="2" t="inlineStr">
        <is>
          <t>не сюжет</t>
        </is>
      </c>
      <c r="C1041" s="2" t="n">
        <v>8124</v>
      </c>
      <c r="D1041" s="3" t="inlineStr">
        <is>
          <t>По следам Чарвадаров</t>
        </is>
      </c>
      <c r="E1041" s="2" t="n">
        <v>1974</v>
      </c>
      <c r="F1041" s="2" t="inlineStr">
        <is>
          <t>телефильм</t>
        </is>
      </c>
      <c r="G1041" s="2" t="n"/>
      <c r="H1041" s="2" t="n">
        <v>96</v>
      </c>
      <c r="I1041" s="2" t="inlineStr"/>
      <c r="J1041" s="2" t="inlineStr">
        <is>
          <t>да</t>
        </is>
      </c>
      <c r="K1041" s="3" t="inlineStr">
        <is>
          <t>Телефильм по мотивам повести Ильяса Эфендиева "Строители мостов". Повествует о строителях дорог.</t>
        </is>
      </c>
      <c r="L1041" s="2" t="inlineStr">
        <is>
          <t>Кино_СССР сводный каталог.xlsx: список телефильмов</t>
        </is>
      </c>
      <c r="M1041" s="2">
        <f>HYPERLINK("https://ru.wikipedia.org/w/index.php?search=%D0%9F%D0%BE%20%D1%81%D0%BB%D0%B5%D0%B4%D0%B0%D0%BC%20%D0%A7%D0%B0%D1%80%D0%B2%D0%B0%D0%B4%D0%B0%D1%80%D0%BE%D0%B2%201974%20%D1%84%D0%B8%D0%BB%D1%8C%D0%BC","искать")</f>
        <v/>
      </c>
      <c r="N1041" s="3" t="n"/>
      <c r="O1041" s="2" t="n"/>
    </row>
    <row r="1042">
      <c r="A1042" s="2" t="n">
        <v>1041</v>
      </c>
      <c r="B1042" s="2" t="inlineStr">
        <is>
          <t>не сюжет</t>
        </is>
      </c>
      <c r="C1042" s="2" t="n">
        <v>8213</v>
      </c>
      <c r="D1042" s="3" t="inlineStr">
        <is>
          <t>Примите вызов, синьоры!</t>
        </is>
      </c>
      <c r="E1042" s="2" t="n">
        <v>1982</v>
      </c>
      <c r="F1042" s="2" t="inlineStr">
        <is>
          <t>телефильм</t>
        </is>
      </c>
      <c r="G1042" s="2" t="inlineStr">
        <is>
          <t>Грузия-фильм</t>
        </is>
      </c>
      <c r="H1042" s="2" t="n">
        <v>96</v>
      </c>
      <c r="I1042" s="2" t="inlineStr"/>
      <c r="J1042" s="2" t="inlineStr">
        <is>
          <t>да</t>
        </is>
      </c>
      <c r="K1042" s="3" t="inlineStr">
        <is>
          <t>მიიღეთ გამოწვევა სენიორებო! Телефильм. по мотивам знаменитой пьесы Карло Гольдони «Трактирщица».</t>
        </is>
      </c>
      <c r="L1042" s="2" t="inlineStr">
        <is>
          <t>Кино_СССР сводный каталог.xlsx: список телефильмов</t>
        </is>
      </c>
      <c r="M1042" s="2">
        <f>HYPERLINK("https://ru.wikipedia.org/w/index.php?search=%D0%9F%D1%80%D0%B8%D0%BC%D0%B8%D1%82%D0%B5%20%D0%B2%D1%8B%D0%B7%D0%BE%D0%B2%2C%20%D1%81%D0%B8%D0%BD%D1%8C%D0%BE%D1%80%D1%8B%21%201982%20%D1%84%D0%B8%D0%BB%D1%8C%D0%BC","искать")</f>
        <v/>
      </c>
      <c r="N1042" s="3" t="n"/>
      <c r="O1042" s="2" t="n"/>
    </row>
    <row r="1043">
      <c r="A1043" s="2" t="n">
        <v>1042</v>
      </c>
      <c r="B1043" s="2" t="inlineStr">
        <is>
          <t>не сюжет</t>
        </is>
      </c>
      <c r="C1043" s="2" t="n">
        <v>8641</v>
      </c>
      <c r="D1043" s="3" t="inlineStr">
        <is>
          <t>В западне</t>
        </is>
      </c>
      <c r="E1043" s="2" t="n">
        <v>1967</v>
      </c>
      <c r="F1043" s="2" t="inlineStr">
        <is>
          <t>кинофильм</t>
        </is>
      </c>
      <c r="G1043" s="2" t="n"/>
      <c r="H1043" s="2" t="n">
        <v>96</v>
      </c>
      <c r="I1043" s="2" t="inlineStr"/>
      <c r="J1043" s="2" t="inlineStr">
        <is>
          <t>да</t>
        </is>
      </c>
      <c r="K1043" s="3" t="inlineStr">
        <is>
          <t>О дружбе советского и венгерского народов, об их общей борьбе в годы Великой Отечественной войны</t>
        </is>
      </c>
      <c r="L1043" s="2" t="inlineStr">
        <is>
          <t>Кино_СССР сводный каталог.xlsx: список фильмов (доп.)</t>
        </is>
      </c>
      <c r="M1043" s="2">
        <f>HYPERLINK("https://ru.wikipedia.org/w/index.php?search=%D0%92%20%D0%B7%D0%B0%D0%BF%D0%B0%D0%B4%D0%BD%D0%B5%201967%20%D1%84%D0%B8%D0%BB%D1%8C%D0%BC","искать")</f>
        <v/>
      </c>
      <c r="N1043" s="3" t="n"/>
      <c r="O1043" s="2" t="n"/>
    </row>
    <row r="1044">
      <c r="A1044" s="2" t="n">
        <v>1043</v>
      </c>
      <c r="B1044" s="2" t="inlineStr">
        <is>
          <t>не сюжет</t>
        </is>
      </c>
      <c r="C1044" s="2" t="n">
        <v>10110</v>
      </c>
      <c r="D1044" s="3" t="inlineStr">
        <is>
          <t>Левашов</t>
        </is>
      </c>
      <c r="E1044" s="2" t="n">
        <v>1963</v>
      </c>
      <c r="F1044" s="2" t="inlineStr">
        <is>
          <t>фильм-спектакль</t>
        </is>
      </c>
      <c r="G1044" s="2" t="inlineStr">
        <is>
          <t>Главная редакция литературно-драматических программ ЦТ</t>
        </is>
      </c>
      <c r="H1044" s="2" t="n">
        <v>96</v>
      </c>
      <c r="I1044" s="2" t="inlineStr"/>
      <c r="J1044" s="2" t="inlineStr">
        <is>
          <t>да</t>
        </is>
      </c>
      <c r="K1044" s="3" t="inlineStr">
        <is>
          <t>Действие происходит во время Великой Отечественной войны в одной из дивизий, оборонявших Одессу.</t>
        </is>
      </c>
      <c r="L1044" s="2" t="inlineStr">
        <is>
          <t>https://www.kino-teatr.ru/teatr/movie/80172/annot/</t>
        </is>
      </c>
      <c r="M1044" s="2">
        <f>HYPERLINK("https://ru.wikipedia.org/w/index.php?search=%D0%9B%D0%B5%D0%B2%D0%B0%D1%88%D0%BE%D0%B2%201963%20%D1%84%D0%B8%D0%BB%D1%8C%D0%BC","искать")</f>
        <v/>
      </c>
      <c r="N1044" s="3" t="n"/>
      <c r="O1044" s="2" t="n"/>
    </row>
    <row r="1045">
      <c r="A1045" s="2" t="n">
        <v>1044</v>
      </c>
      <c r="B1045" s="2" t="inlineStr">
        <is>
          <t>не сюжет</t>
        </is>
      </c>
      <c r="C1045" s="2" t="n">
        <v>10216</v>
      </c>
      <c r="D1045" s="3" t="inlineStr">
        <is>
          <t>Самая высокая...</t>
        </is>
      </c>
      <c r="E1045" s="2" t="n">
        <v>1967</v>
      </c>
      <c r="F1045" s="2" t="inlineStr">
        <is>
          <t>фильм-спектакль</t>
        </is>
      </c>
      <c r="G1045" s="2" t="inlineStr">
        <is>
          <t>Центральное телевидение СССР</t>
        </is>
      </c>
      <c r="H1045" s="2" t="n">
        <v>96</v>
      </c>
      <c r="I1045" s="2" t="inlineStr"/>
      <c r="J1045" s="2" t="inlineStr">
        <is>
          <t>да</t>
        </is>
      </c>
      <c r="K1045" s="3" t="inlineStr">
        <is>
          <t>Праздничный новогодний Голубой огонек 1967 года с участием звезд советской и зарубежной эстрады.</t>
        </is>
      </c>
      <c r="L1045" s="2" t="inlineStr">
        <is>
          <t>https://www.kino-teatr.ru/teatr/movie/103841/annot/</t>
        </is>
      </c>
      <c r="M1045" s="2">
        <f>HYPERLINK("https://ru.wikipedia.org/w/index.php?search=%D0%A1%D0%B0%D0%BC%D0%B0%D1%8F%20%D0%B2%D1%8B%D1%81%D0%BE%D0%BA%D0%B0%D1%8F...%201967%20%D1%84%D0%B8%D0%BB%D1%8C%D0%BC","искать")</f>
        <v/>
      </c>
      <c r="N1045" s="3" t="n"/>
      <c r="O1045" s="2" t="n"/>
    </row>
    <row r="1046">
      <c r="A1046" s="2" t="n">
        <v>1045</v>
      </c>
      <c r="B1046" s="2" t="inlineStr">
        <is>
          <t>не сюжет</t>
        </is>
      </c>
      <c r="C1046" s="2" t="n">
        <v>11032</v>
      </c>
      <c r="D1046" s="3" t="inlineStr">
        <is>
          <t>Оловянные солдатики</t>
        </is>
      </c>
      <c r="E1046" s="2" t="n">
        <v>1984</v>
      </c>
      <c r="F1046" s="2" t="inlineStr">
        <is>
          <t>фильм-спектакль</t>
        </is>
      </c>
      <c r="G1046" s="2" t="n"/>
      <c r="H1046" s="2" t="n">
        <v>96</v>
      </c>
      <c r="I1046" s="2" t="inlineStr"/>
      <c r="J1046" s="2" t="inlineStr">
        <is>
          <t>да</t>
        </is>
      </c>
      <c r="K1046" s="3" t="inlineStr">
        <is>
          <t>Телеспектакль по одноименному роману английского писателя и драматурга Майкла Фрейна (род.1933).</t>
        </is>
      </c>
      <c r="L1046" s="2" t="inlineStr">
        <is>
          <t>https://www.kino-teatr.ru/teatr/movie/101655/annot/</t>
        </is>
      </c>
      <c r="M1046" s="2">
        <f>HYPERLINK("https://ru.wikipedia.org/w/index.php?search=%D0%9E%D0%BB%D0%BE%D0%B2%D1%8F%D0%BD%D0%BD%D1%8B%D0%B5%20%D1%81%D0%BE%D0%BB%D0%B4%D0%B0%D1%82%D0%B8%D0%BA%D0%B8%201984%20%D1%84%D0%B8%D0%BB%D1%8C%D0%BC","искать")</f>
        <v/>
      </c>
      <c r="N1046" s="3" t="n"/>
      <c r="O1046" s="2" t="n"/>
    </row>
    <row r="1047">
      <c r="A1047" s="2" t="n">
        <v>1046</v>
      </c>
      <c r="B1047" s="2" t="inlineStr">
        <is>
          <t>не сюжет</t>
        </is>
      </c>
      <c r="C1047" s="2" t="n">
        <v>7373</v>
      </c>
      <c r="D1047" s="3" t="inlineStr">
        <is>
          <t>Восемнадцатилетние</t>
        </is>
      </c>
      <c r="E1047" s="2" t="n">
        <v>1987</v>
      </c>
      <c r="F1047" s="2" t="inlineStr">
        <is>
          <t>телефильм</t>
        </is>
      </c>
      <c r="G1047" s="2" t="inlineStr">
        <is>
          <t>Укртелефильм</t>
        </is>
      </c>
      <c r="H1047" s="2" t="n">
        <v>97</v>
      </c>
      <c r="I1047" s="2" t="inlineStr"/>
      <c r="J1047" s="2" t="inlineStr">
        <is>
          <t>да</t>
        </is>
      </c>
      <c r="K1047" s="3" t="inlineStr">
        <is>
          <t>По одноименному роману Юрия Смолича о борьбе молодых за установление Советской власти на Украине.</t>
        </is>
      </c>
      <c r="L1047" s="2" t="inlineStr">
        <is>
          <t>Кино_СССР сводный каталог.xlsx: список телефильмов</t>
        </is>
      </c>
      <c r="M1047" s="2">
        <f>HYPERLINK("https://ru.wikipedia.org/w/index.php?search=%D0%92%D0%BE%D1%81%D0%B5%D0%BC%D0%BD%D0%B0%D0%B4%D1%86%D0%B0%D1%82%D0%B8%D0%BB%D0%B5%D1%82%D0%BD%D0%B8%D0%B5%201987%20%D1%84%D0%B8%D0%BB%D1%8C%D0%BC","искать")</f>
        <v/>
      </c>
      <c r="N1047" s="3" t="n"/>
      <c r="O1047" s="2" t="n"/>
    </row>
    <row r="1048">
      <c r="A1048" s="2" t="n">
        <v>1047</v>
      </c>
      <c r="B1048" s="2" t="inlineStr">
        <is>
          <t>не сюжет</t>
        </is>
      </c>
      <c r="C1048" s="2" t="n">
        <v>10519</v>
      </c>
      <c r="D1048" s="3" t="inlineStr">
        <is>
          <t>Сказка о рыбаке и рыбке</t>
        </is>
      </c>
      <c r="E1048" s="2" t="n">
        <v>1973</v>
      </c>
      <c r="F1048" s="2" t="inlineStr">
        <is>
          <t>фильм-спектакль</t>
        </is>
      </c>
      <c r="G1048" s="2" t="inlineStr">
        <is>
          <t>Центральное телевидение, Подборки фильмов, экранизации Пушкина</t>
        </is>
      </c>
      <c r="H1048" s="2" t="n">
        <v>97</v>
      </c>
      <c r="I1048" s="2" t="inlineStr"/>
      <c r="J1048" s="2" t="inlineStr">
        <is>
          <t>да</t>
        </is>
      </c>
      <c r="K1048" s="3" t="inlineStr">
        <is>
          <t>Сказку А.С. Пушкина "Сказка о рыбаке и рыбке" читает народная артистка СССР Валентина Сперантова.</t>
        </is>
      </c>
      <c r="L1048" s="2" t="inlineStr">
        <is>
          <t>https://www.kino-teatr.ru/teatr/movie/113553/annot/</t>
        </is>
      </c>
      <c r="M1048" s="2">
        <f>HYPERLINK("https://ru.wikipedia.org/w/index.php?search=%D0%A1%D0%BA%D0%B0%D0%B7%D0%BA%D0%B0%20%D0%BE%20%D1%80%D1%8B%D0%B1%D0%B0%D0%BA%D0%B5%20%D0%B8%20%D1%80%D1%8B%D0%B1%D0%BA%D0%B5%201973%20%D1%84%D0%B8%D0%BB%D1%8C%D0%BC","искать")</f>
        <v/>
      </c>
      <c r="N1048" s="3" t="n"/>
      <c r="O1048" s="2" t="n"/>
    </row>
    <row r="1049">
      <c r="A1049" s="2" t="n">
        <v>1048</v>
      </c>
      <c r="B1049" s="2" t="inlineStr">
        <is>
          <t>не сюжет</t>
        </is>
      </c>
      <c r="C1049" s="2" t="n">
        <v>7351</v>
      </c>
      <c r="D1049" s="3" t="inlineStr">
        <is>
          <t>Вода Пабяржиса</t>
        </is>
      </c>
      <c r="E1049" s="2" t="n">
        <v>1982</v>
      </c>
      <c r="F1049" s="2" t="inlineStr">
        <is>
          <t>телефильм</t>
        </is>
      </c>
      <c r="G1049" s="2" t="n"/>
      <c r="H1049" s="2" t="n">
        <v>98</v>
      </c>
      <c r="I1049" s="2" t="inlineStr"/>
      <c r="J1049" s="2" t="inlineStr">
        <is>
          <t>да</t>
        </is>
      </c>
      <c r="K1049" s="3" t="inlineStr">
        <is>
          <t>Военная драма по мотивам новелл Юстинаса Марцинкявичюса "Память не знает срока давности" и "Вода".</t>
        </is>
      </c>
      <c r="L1049" s="2" t="inlineStr">
        <is>
          <t>Кино_СССР сводный каталог.xlsx: список телефильмов</t>
        </is>
      </c>
      <c r="M1049" s="2">
        <f>HYPERLINK("https://ru.wikipedia.org/w/index.php?search=%D0%92%D0%BE%D0%B4%D0%B0%20%D0%9F%D0%B0%D0%B1%D1%8F%D1%80%D0%B6%D0%B8%D1%81%D0%B0%201982%20%D1%84%D0%B8%D0%BB%D1%8C%D0%BC","искать")</f>
        <v/>
      </c>
      <c r="N1049" s="3" t="n"/>
      <c r="O1049" s="2" t="n"/>
    </row>
    <row r="1050">
      <c r="A1050" s="2" t="n">
        <v>1049</v>
      </c>
      <c r="B1050" s="2" t="inlineStr">
        <is>
          <t>не сюжет</t>
        </is>
      </c>
      <c r="C1050" s="2" t="n">
        <v>8285</v>
      </c>
      <c r="D1050" s="3" t="inlineStr">
        <is>
          <t>Руанская дева по прозвищу Пышка</t>
        </is>
      </c>
      <c r="E1050" s="2" t="n">
        <v>1989</v>
      </c>
      <c r="F1050" s="2" t="inlineStr">
        <is>
          <t>телефильм</t>
        </is>
      </c>
      <c r="G1050" s="2" t="n"/>
      <c r="H1050" s="2" t="n">
        <v>98</v>
      </c>
      <c r="I1050" s="2" t="inlineStr"/>
      <c r="J1050" s="2" t="inlineStr">
        <is>
          <t>да</t>
        </is>
      </c>
      <c r="K1050" s="3" t="inlineStr">
        <is>
          <t>Телевизионный мюзикл по рассказам Ги де Мопасана  "Пышка", "Мадемуазель Фифи", "История батрачки".</t>
        </is>
      </c>
      <c r="L1050" s="2" t="inlineStr">
        <is>
          <t>Кино_СССР сводный каталог.xlsx: список телефильмов</t>
        </is>
      </c>
      <c r="M1050" s="2">
        <f>HYPERLINK("https://ru.wikipedia.org/w/index.php?search=%D0%A0%D1%83%D0%B0%D0%BD%D1%81%D0%BA%D0%B0%D1%8F%20%D0%B4%D0%B5%D0%B2%D0%B0%20%D0%BF%D0%BE%20%D0%BF%D1%80%D0%BE%D0%B7%D0%B2%D0%B8%D1%89%D1%83%20%D0%9F%D1%8B%D1%88%D0%BA%D0%B0%201989%20%D1%84%D0%B8%D0%BB%D1%8C%D0%BC","искать")</f>
        <v/>
      </c>
      <c r="N1050" s="3" t="n"/>
      <c r="O1050" s="2" t="n"/>
    </row>
    <row r="1051">
      <c r="A1051" s="2" t="n">
        <v>1050</v>
      </c>
      <c r="B1051" s="2" t="inlineStr">
        <is>
          <t>не сюжет</t>
        </is>
      </c>
      <c r="C1051" s="2" t="n">
        <v>8807</v>
      </c>
      <c r="D1051" s="3" t="inlineStr">
        <is>
          <t>Любофф</t>
        </is>
      </c>
      <c r="E1051" s="2" t="n">
        <v>1991</v>
      </c>
      <c r="F1051" s="2" t="inlineStr">
        <is>
          <t>кинофильм</t>
        </is>
      </c>
      <c r="G1051" s="2" t="n"/>
      <c r="H1051" s="2" t="n">
        <v>98</v>
      </c>
      <c r="I1051" s="2" t="inlineStr"/>
      <c r="J1051" s="2" t="inlineStr">
        <is>
          <t>да</t>
        </is>
      </c>
      <c r="K1051" s="3" t="inlineStr">
        <is>
          <t>Мелодрама по повести Л. Давыдычева "Любовная драма у нас в бараке на промплощадке во время войны".</t>
        </is>
      </c>
      <c r="L1051" s="2" t="inlineStr">
        <is>
          <t>Кино_СССР сводный каталог.xlsx: список фильмов (доп.)</t>
        </is>
      </c>
      <c r="M1051" s="2">
        <f>HYPERLINK("https://ru.wikipedia.org/w/index.php?search=%D0%9B%D1%8E%D0%B1%D0%BE%D1%84%D1%84%201991%20%D1%84%D0%B8%D0%BB%D1%8C%D0%BC","искать")</f>
        <v/>
      </c>
      <c r="N1051" s="3" t="n"/>
      <c r="O1051" s="2" t="n"/>
    </row>
    <row r="1052">
      <c r="A1052" s="2" t="n">
        <v>1051</v>
      </c>
      <c r="B1052" s="2" t="inlineStr">
        <is>
          <t>не сюжет</t>
        </is>
      </c>
      <c r="C1052" s="2" t="n">
        <v>10258</v>
      </c>
      <c r="D1052" s="3" t="inlineStr">
        <is>
          <t>На полустанке</t>
        </is>
      </c>
      <c r="E1052" s="2" t="n">
        <v>1968</v>
      </c>
      <c r="F1052" s="2" t="inlineStr">
        <is>
          <t>фильм-спектакль</t>
        </is>
      </c>
      <c r="G1052" s="2" t="inlineStr">
        <is>
          <t>Гл. ред. лит.-драм. программ</t>
        </is>
      </c>
      <c r="H1052" s="2" t="n">
        <v>98</v>
      </c>
      <c r="I1052" s="2" t="inlineStr"/>
      <c r="J1052" s="2" t="inlineStr">
        <is>
          <t>да</t>
        </is>
      </c>
      <c r="K1052" s="3" t="inlineStr">
        <is>
          <t>По одноименной повести А.Ульянинского.
Действие телеспектакля происходит в годы гражданской войны.</t>
        </is>
      </c>
      <c r="L1052" s="2" t="inlineStr">
        <is>
          <t>https://www.kino-teatr.ru/teatr/movie/93050/annot/</t>
        </is>
      </c>
      <c r="M1052" s="2">
        <f>HYPERLINK("https://ru.wikipedia.org/w/index.php?search=%D0%9D%D0%B0%20%D0%BF%D0%BE%D0%BB%D1%83%D1%81%D1%82%D0%B0%D0%BD%D0%BA%D0%B5%201968%20%D1%84%D0%B8%D0%BB%D1%8C%D0%BC","искать")</f>
        <v/>
      </c>
      <c r="N1052" s="3" t="n"/>
      <c r="O1052" s="2" t="n"/>
    </row>
    <row r="1053">
      <c r="A1053" s="2" t="n">
        <v>1052</v>
      </c>
      <c r="B1053" s="2" t="inlineStr">
        <is>
          <t>не сюжет</t>
        </is>
      </c>
      <c r="C1053" s="2" t="n">
        <v>11053</v>
      </c>
      <c r="D1053" s="3" t="inlineStr">
        <is>
          <t>Будьте как солнце</t>
        </is>
      </c>
      <c r="E1053" s="2" t="n">
        <v>1985</v>
      </c>
      <c r="F1053" s="2" t="inlineStr">
        <is>
          <t>фильм-спектакль</t>
        </is>
      </c>
      <c r="G1053" s="2" t="inlineStr">
        <is>
          <t>Литовская телестудия</t>
        </is>
      </c>
      <c r="H1053" s="2" t="n">
        <v>98</v>
      </c>
      <c r="I1053" s="2" t="inlineStr"/>
      <c r="J1053" s="2" t="inlineStr">
        <is>
          <t>да</t>
        </is>
      </c>
      <c r="K1053" s="3" t="inlineStr">
        <is>
          <t>Телевизионный спектакль по пьесе армянского писателя А.Папаяна о сложных отношениях отцов и детей.</t>
        </is>
      </c>
      <c r="L1053" s="2" t="inlineStr">
        <is>
          <t>https://www.kino-teatr.ru/teatr/movie/103176/annot/</t>
        </is>
      </c>
      <c r="M1053" s="2">
        <f>HYPERLINK("https://ru.wikipedia.org/w/index.php?search=%D0%91%D1%83%D0%B4%D1%8C%D1%82%D0%B5%20%D0%BA%D0%B0%D0%BA%20%D1%81%D0%BE%D0%BB%D0%BD%D1%86%D0%B5%201985%20%D1%84%D0%B8%D0%BB%D1%8C%D0%BC","искать")</f>
        <v/>
      </c>
      <c r="N1053" s="3" t="n"/>
      <c r="O1053" s="2" t="n"/>
    </row>
    <row r="1054">
      <c r="A1054" s="2" t="n">
        <v>1053</v>
      </c>
      <c r="B1054" s="2" t="inlineStr">
        <is>
          <t>не сюжет</t>
        </is>
      </c>
      <c r="C1054" s="2" t="n">
        <v>11319</v>
      </c>
      <c r="D1054" s="3" t="inlineStr">
        <is>
          <t>Рассказы из разных карманов</t>
        </is>
      </c>
      <c r="E1054" s="2" t="n">
        <v>1990</v>
      </c>
      <c r="F1054" s="2" t="inlineStr">
        <is>
          <t>фильм-спектакль</t>
        </is>
      </c>
      <c r="G1054" s="2" t="inlineStr">
        <is>
          <t>Главная редакция художественного вещания Ленинградского ТВ</t>
        </is>
      </c>
      <c r="H1054" s="2" t="n">
        <v>98</v>
      </c>
      <c r="I1054" s="2" t="inlineStr"/>
      <c r="J1054" s="2" t="inlineStr">
        <is>
          <t>да</t>
        </is>
      </c>
      <c r="K1054" s="3" t="inlineStr">
        <is>
          <t>По мотивам рассказов Карела Чапека «Поэт», «Исповедь Дона Хуана», «Эксперимент профессора Роусса».</t>
        </is>
      </c>
      <c r="L1054" s="2" t="inlineStr">
        <is>
          <t>https://www.kino-teatr.ru/teatr/movie/5961/annot/</t>
        </is>
      </c>
      <c r="M1054" s="2">
        <f>HYPERLINK("https://ru.wikipedia.org/w/index.php?search=%D0%A0%D0%B0%D1%81%D1%81%D0%BA%D0%B0%D0%B7%D1%8B%20%D0%B8%D0%B7%20%D1%80%D0%B0%D0%B7%D0%BD%D1%8B%D1%85%20%D0%BA%D0%B0%D1%80%D0%BC%D0%B0%D0%BD%D0%BE%D0%B2%201990%20%D1%84%D0%B8%D0%BB%D1%8C%D0%BC","искать")</f>
        <v/>
      </c>
      <c r="N1054" s="3" t="n"/>
      <c r="O1054" s="2" t="n"/>
    </row>
    <row r="1055">
      <c r="A1055" s="2" t="n">
        <v>1054</v>
      </c>
      <c r="B1055" s="2" t="inlineStr">
        <is>
          <t>не сюжет</t>
        </is>
      </c>
      <c r="C1055" s="2" t="n">
        <v>7770</v>
      </c>
      <c r="D1055" s="3" t="inlineStr">
        <is>
          <t>Красный дипломат. Страницы жизни Леонида Красина</t>
        </is>
      </c>
      <c r="E1055" s="2" t="n">
        <v>1971</v>
      </c>
      <c r="F1055" s="2" t="inlineStr">
        <is>
          <t>телефильм</t>
        </is>
      </c>
      <c r="G1055" s="2" t="n"/>
      <c r="H1055" s="2" t="n">
        <v>99</v>
      </c>
      <c r="I1055" s="2" t="inlineStr"/>
      <c r="J1055" s="2" t="inlineStr">
        <is>
          <t>да</t>
        </is>
      </c>
      <c r="K1055" s="3" t="inlineStr">
        <is>
          <t>В основе телефильма — несколько драматических эпизодов из жизни красного дипломата Леонида Красина.</t>
        </is>
      </c>
      <c r="L1055" s="2" t="inlineStr">
        <is>
          <t>Кино_СССР сводный каталог.xlsx: список телефильмов</t>
        </is>
      </c>
      <c r="M1055" s="2">
        <f>HYPERLINK("https://ru.wikipedia.org/w/index.php?search=%D0%9A%D1%80%D0%B0%D1%81%D0%BD%D1%8B%D0%B9%20%D0%B4%D0%B8%D0%BF%D0%BB%D0%BE%D0%BC%D0%B0%D1%82.%20%D0%A1%D1%82%D1%80%D0%B0%D0%BD%D0%B8%D1%86%D1%8B%20%D0%B6%D0%B8%D0%B7%D0%BD%D0%B8%20%D0%9B%D0%B5%D0%BE%D0%BD%D0%B8%D0%B4%D0%B0%20%D0%9A%D1%80%D0%B0%D1%81%D0%B8%D0%BD%D0%B0%201971%20%D1%84%D0%B8%D0%BB%D1%8C%D0%BC","искать")</f>
        <v/>
      </c>
      <c r="N1055" s="3" t="n"/>
      <c r="O1055" s="2" t="n"/>
    </row>
    <row r="1056">
      <c r="A1056" s="2" t="n">
        <v>1055</v>
      </c>
      <c r="B1056" s="2" t="inlineStr">
        <is>
          <t>не сюжет</t>
        </is>
      </c>
      <c r="C1056" s="2" t="n">
        <v>9830</v>
      </c>
      <c r="D1056" s="3" t="inlineStr">
        <is>
          <t>Тореадоры из Васюковки</t>
        </is>
      </c>
      <c r="E1056" s="2" t="n">
        <v>1965</v>
      </c>
      <c r="F1056" s="2" t="inlineStr">
        <is>
          <t>телефильм</t>
        </is>
      </c>
      <c r="G1056" s="2" t="inlineStr">
        <is>
          <t>Харьковская телестудия</t>
        </is>
      </c>
      <c r="H1056" s="2" t="n">
        <v>99</v>
      </c>
      <c r="I1056" s="2" t="inlineStr"/>
      <c r="J1056" s="2" t="inlineStr">
        <is>
          <t>да</t>
        </is>
      </c>
      <c r="K1056" s="3" t="inlineStr">
        <is>
          <t>По одноименной книге Всеволода Нестайко.
Приключения двух друзей - Явы Реня и Павлуши Завгороднего.</t>
        </is>
      </c>
      <c r="L1056" s="2" t="inlineStr">
        <is>
          <t>https://www.kino-teatr.ru/short/movie/sov/80908/annot/</t>
        </is>
      </c>
      <c r="M1056" s="2">
        <f>HYPERLINK("https://ru.wikipedia.org/w/index.php?search=%D0%A2%D0%BE%D1%80%D0%B5%D0%B0%D0%B4%D0%BE%D1%80%D1%8B%20%D0%B8%D0%B7%20%D0%92%D0%B0%D1%81%D1%8E%D0%BA%D0%BE%D0%B2%D0%BA%D0%B8%201965%20%D1%84%D0%B8%D0%BB%D1%8C%D0%BC","искать")</f>
        <v/>
      </c>
      <c r="N1056" s="3" t="n"/>
      <c r="O1056" s="2" t="n"/>
    </row>
    <row r="1057">
      <c r="A1057" s="2" t="n">
        <v>1056</v>
      </c>
      <c r="B1057" s="2" t="inlineStr">
        <is>
          <t>не сюжет</t>
        </is>
      </c>
      <c r="C1057" s="2" t="n">
        <v>10414</v>
      </c>
      <c r="D1057" s="3" t="inlineStr">
        <is>
          <t>Поднятая целина</t>
        </is>
      </c>
      <c r="E1057" s="2" t="n">
        <v>1971</v>
      </c>
      <c r="F1057" s="2" t="inlineStr">
        <is>
          <t>фильм-спектакль</t>
        </is>
      </c>
      <c r="G1057" s="2" t="n"/>
      <c r="H1057" s="2" t="n">
        <v>99</v>
      </c>
      <c r="I1057" s="2" t="inlineStr"/>
      <c r="J1057" s="2" t="inlineStr">
        <is>
          <t>да</t>
        </is>
      </c>
      <c r="K1057" s="3" t="inlineStr">
        <is>
          <t>По одноименному роману М.Шолохова в постановке Московского драматического театра имени А.С.Пушкина.</t>
        </is>
      </c>
      <c r="L1057" s="2" t="inlineStr">
        <is>
          <t>https://www.kino-teatr.ru/teatr/movie/81602/annot/</t>
        </is>
      </c>
      <c r="M1057" s="2">
        <f>HYPERLINK("https://ru.wikipedia.org/w/index.php?search=%D0%9F%D0%BE%D0%B4%D0%BD%D1%8F%D1%82%D0%B0%D1%8F%20%D1%86%D0%B5%D0%BB%D0%B8%D0%BD%D0%B0%201971%20%D1%84%D0%B8%D0%BB%D1%8C%D0%BC","искать")</f>
        <v/>
      </c>
      <c r="N1057" s="3" t="n"/>
      <c r="O1057" s="2" t="n"/>
    </row>
    <row r="1058">
      <c r="A1058" s="2" t="n">
        <v>1057</v>
      </c>
      <c r="B1058" s="2" t="inlineStr">
        <is>
          <t>не сюжет</t>
        </is>
      </c>
      <c r="C1058" s="2" t="n">
        <v>10464</v>
      </c>
      <c r="D1058" s="3" t="inlineStr">
        <is>
          <t>Привидение</t>
        </is>
      </c>
      <c r="E1058" s="2" t="n">
        <v>1972</v>
      </c>
      <c r="F1058" s="2" t="inlineStr">
        <is>
          <t>фильм-спектакль</t>
        </is>
      </c>
      <c r="G1058" s="2" t="n"/>
      <c r="H1058" s="2" t="n">
        <v>99</v>
      </c>
      <c r="I1058" s="2" t="inlineStr"/>
      <c r="J1058" s="2" t="inlineStr">
        <is>
          <t>да</t>
        </is>
      </c>
      <c r="K1058" s="3" t="inlineStr">
        <is>
          <t>По одноимённой драме Г.Ибсена в постановке Государственного академического Малого театра Союза ССР.</t>
        </is>
      </c>
      <c r="L1058" s="2" t="inlineStr">
        <is>
          <t>https://www.kino-teatr.ru/teatr/movie/81788/annot/</t>
        </is>
      </c>
      <c r="M1058" s="2">
        <f>HYPERLINK("https://ru.wikipedia.org/w/index.php?search=%D0%9F%D1%80%D0%B8%D0%B2%D0%B8%D0%B4%D0%B5%D0%BD%D0%B8%D0%B5%201972%20%D1%84%D0%B8%D0%BB%D1%8C%D0%BC","искать")</f>
        <v/>
      </c>
      <c r="N1058" s="3" t="n"/>
      <c r="O1058" s="2" t="n"/>
    </row>
    <row r="1059">
      <c r="A1059" s="2" t="n">
        <v>1058</v>
      </c>
      <c r="B1059" s="2" t="inlineStr">
        <is>
          <t>не сюжет</t>
        </is>
      </c>
      <c r="C1059" s="2" t="n">
        <v>11131</v>
      </c>
      <c r="D1059" s="3" t="inlineStr">
        <is>
          <t>Революцией призванный</t>
        </is>
      </c>
      <c r="E1059" s="2" t="n">
        <v>1986</v>
      </c>
      <c r="F1059" s="2" t="inlineStr">
        <is>
          <t>фильм-спектакль</t>
        </is>
      </c>
      <c r="G1059" s="2" t="inlineStr">
        <is>
          <t>Главная редакция литературно-драматических программ ЦТ</t>
        </is>
      </c>
      <c r="H1059" s="2" t="n">
        <v>99</v>
      </c>
      <c r="I1059" s="2" t="inlineStr"/>
      <c r="J1059" s="2" t="inlineStr">
        <is>
          <t>да</t>
        </is>
      </c>
      <c r="K1059" s="3" t="inlineStr">
        <is>
          <t>Фильм-спектакль о жизни и творчестве Владимира Маяковского.
Стихи, письма, документы, воспоминания.</t>
        </is>
      </c>
      <c r="L1059" s="2" t="inlineStr">
        <is>
          <t>https://www.kino-teatr.ru/teatr/movie/16317/annot/</t>
        </is>
      </c>
      <c r="M1059" s="2">
        <f>HYPERLINK("https://ru.wikipedia.org/w/index.php?search=%D0%A0%D0%B5%D0%B2%D0%BE%D0%BB%D1%8E%D1%86%D0%B8%D0%B5%D0%B9%20%D0%BF%D1%80%D0%B8%D0%B7%D0%B2%D0%B0%D0%BD%D0%BD%D1%8B%D0%B9%201986%20%D1%84%D0%B8%D0%BB%D1%8C%D0%BC","искать")</f>
        <v/>
      </c>
      <c r="N1059" s="3" t="n"/>
      <c r="O1059" s="2" t="n"/>
    </row>
    <row r="1060">
      <c r="A1060" s="2" t="n">
        <v>1059</v>
      </c>
      <c r="B1060" s="2" t="inlineStr">
        <is>
          <t>не сюжет</t>
        </is>
      </c>
      <c r="C1060" s="2" t="n">
        <v>7573</v>
      </c>
      <c r="D1060" s="3" t="inlineStr">
        <is>
          <t>Её домбры был верен звук</t>
        </is>
      </c>
      <c r="E1060" s="2" t="n">
        <v>1983</v>
      </c>
      <c r="F1060" s="2" t="inlineStr">
        <is>
          <t>телефильм</t>
        </is>
      </c>
      <c r="G1060" s="2" t="n"/>
      <c r="H1060" s="2" t="n">
        <v>100</v>
      </c>
      <c r="I1060" s="2" t="inlineStr"/>
      <c r="J1060" s="2" t="inlineStr">
        <is>
          <t>да</t>
        </is>
      </c>
      <c r="K1060" s="3" t="inlineStr">
        <is>
          <t>Фильм о жизни и творчестве выдающейся казахской домбристки и народного композитора Дины Нурпеисовой.</t>
        </is>
      </c>
      <c r="L1060" s="2" t="inlineStr">
        <is>
          <t>Кино_СССР сводный каталог.xlsx: список телефильмов</t>
        </is>
      </c>
      <c r="M1060" s="2">
        <f>HYPERLINK("https://ru.wikipedia.org/w/index.php?search=%D0%95%D1%91%20%D0%B4%D0%BE%D0%BC%D0%B1%D1%80%D1%8B%20%D0%B1%D1%8B%D0%BB%20%D0%B2%D0%B5%D1%80%D0%B5%D0%BD%20%D0%B7%D0%B2%D1%83%D0%BA%201983%20%D1%84%D0%B8%D0%BB%D1%8C%D0%BC","искать")</f>
        <v/>
      </c>
      <c r="N1060" s="3" t="n"/>
      <c r="O1060" s="2" t="n"/>
    </row>
    <row r="1061">
      <c r="A1061" s="2" t="n">
        <v>1060</v>
      </c>
      <c r="B1061" s="2" t="inlineStr">
        <is>
          <t>не сюжет</t>
        </is>
      </c>
      <c r="C1061" s="2" t="n">
        <v>8303</v>
      </c>
      <c r="D1061" s="3" t="inlineStr">
        <is>
          <t>Свадьба в лесу</t>
        </is>
      </c>
      <c r="E1061" s="2" t="n">
        <v>1984</v>
      </c>
      <c r="F1061" s="2" t="inlineStr">
        <is>
          <t>телефильм</t>
        </is>
      </c>
      <c r="G1061" s="2" t="n"/>
      <c r="H1061" s="2" t="n">
        <v>100</v>
      </c>
      <c r="I1061" s="2" t="inlineStr"/>
      <c r="J1061" s="2" t="inlineStr">
        <is>
          <t>да</t>
        </is>
      </c>
      <c r="K1061" s="3" t="inlineStr">
        <is>
          <t>Художественный фильм по мотивам романа Й.Хорвата "Ни сон, ни явь" об отношениях человека  и природы.</t>
        </is>
      </c>
      <c r="L1061" s="2" t="inlineStr">
        <is>
          <t>Кино_СССР сводный каталог.xlsx: список телефильмов</t>
        </is>
      </c>
      <c r="M1061" s="2">
        <f>HYPERLINK("https://ru.wikipedia.org/w/index.php?search=%D0%A1%D0%B2%D0%B0%D0%B4%D1%8C%D0%B1%D0%B0%20%D0%B2%20%D0%BB%D0%B5%D1%81%D1%83%201984%20%D1%84%D0%B8%D0%BB%D1%8C%D0%BC","искать")</f>
        <v/>
      </c>
      <c r="N1061" s="3" t="n"/>
      <c r="O1061" s="2" t="n"/>
    </row>
    <row r="1062">
      <c r="A1062" s="2" t="n">
        <v>1061</v>
      </c>
      <c r="B1062" s="2" t="inlineStr">
        <is>
          <t>не сюжет</t>
        </is>
      </c>
      <c r="C1062" s="2" t="n">
        <v>8416</v>
      </c>
      <c r="D1062" s="3" t="inlineStr">
        <is>
          <t>Структура момента</t>
        </is>
      </c>
      <c r="E1062" s="2" t="n">
        <v>1980</v>
      </c>
      <c r="F1062" s="2" t="inlineStr">
        <is>
          <t>телефильм</t>
        </is>
      </c>
      <c r="G1062" s="2" t="n"/>
      <c r="H1062" s="2" t="n">
        <v>100</v>
      </c>
      <c r="I1062" s="2" t="inlineStr"/>
      <c r="J1062" s="2" t="inlineStr">
        <is>
          <t>да</t>
        </is>
      </c>
      <c r="K1062" s="3" t="inlineStr">
        <is>
          <t>Телефильм. О сохранении нравственных принципов и о важности приобретения веры и уважения окружающих.</t>
        </is>
      </c>
      <c r="L1062" s="2" t="inlineStr">
        <is>
          <t>Кино_СССР сводный каталог.xlsx: список телефильмов</t>
        </is>
      </c>
      <c r="M1062" s="2">
        <f>HYPERLINK("https://ru.wikipedia.org/w/index.php?search=%D0%A1%D1%82%D1%80%D1%83%D0%BA%D1%82%D1%83%D1%80%D0%B0%20%D0%BC%D0%BE%D0%BC%D0%B5%D0%BD%D1%82%D0%B0%201980%20%D1%84%D0%B8%D0%BB%D1%8C%D0%BC","искать")</f>
        <v/>
      </c>
      <c r="N1062" s="3" t="n"/>
      <c r="O1062" s="2" t="n"/>
    </row>
    <row r="1063">
      <c r="A1063" s="2" t="n">
        <v>1062</v>
      </c>
      <c r="B1063" s="2" t="inlineStr">
        <is>
          <t>не сюжет</t>
        </is>
      </c>
      <c r="C1063" s="2" t="n">
        <v>9779</v>
      </c>
      <c r="D1063" s="3" t="inlineStr">
        <is>
          <t>Эти... три верные карты...</t>
        </is>
      </c>
      <c r="E1063" s="2" t="n">
        <v>1988</v>
      </c>
      <c r="F1063" s="2" t="inlineStr">
        <is>
          <t>кинофильм</t>
        </is>
      </c>
      <c r="G1063" s="2" t="n"/>
      <c r="H1063" s="2" t="n">
        <v>100</v>
      </c>
      <c r="I1063" s="2" t="inlineStr"/>
      <c r="J1063" s="2" t="inlineStr">
        <is>
          <t>да</t>
        </is>
      </c>
      <c r="K1063" s="3" t="inlineStr">
        <is>
          <t>По повести А. С. Пушкина «Пиковая дама». Современная ситуация спроецирована на сюжет «Пиковой дамы».</t>
        </is>
      </c>
      <c r="L1063" s="2" t="inlineStr">
        <is>
          <t>Кино_СССР сводный каталог.xlsx: список фильмов (доп.)</t>
        </is>
      </c>
      <c r="M1063" s="2">
        <f>HYPERLINK("https://ru.wikipedia.org/w/index.php?search=%D0%AD%D1%82%D0%B8...%20%D1%82%D1%80%D0%B8%20%D0%B2%D0%B5%D1%80%D0%BD%D1%8B%D0%B5%20%D0%BA%D0%B0%D1%80%D1%82%D1%8B...%201988%20%D1%84%D0%B8%D0%BB%D1%8C%D0%BC","искать")</f>
        <v/>
      </c>
      <c r="N1063" s="3" t="n"/>
      <c r="O1063" s="2" t="n"/>
    </row>
    <row r="1064">
      <c r="A1064" s="2" t="n">
        <v>1063</v>
      </c>
      <c r="B1064" s="2" t="inlineStr">
        <is>
          <t>не сюжет</t>
        </is>
      </c>
      <c r="C1064" s="2" t="n">
        <v>10421</v>
      </c>
      <c r="D1064" s="3" t="inlineStr">
        <is>
          <t>Таланты и поклонники</t>
        </is>
      </c>
      <c r="E1064" s="2" t="n">
        <v>1971</v>
      </c>
      <c r="F1064" s="2" t="inlineStr">
        <is>
          <t>фильм-спектакль</t>
        </is>
      </c>
      <c r="G1064" s="2" t="inlineStr">
        <is>
          <t>Главная редакция литературно-драматических программ Центрального телевидения</t>
        </is>
      </c>
      <c r="H1064" s="2" t="n">
        <v>100</v>
      </c>
      <c r="I1064" s="2" t="inlineStr"/>
      <c r="J1064" s="2" t="inlineStr">
        <is>
          <t>да</t>
        </is>
      </c>
      <c r="K1064" s="3" t="inlineStr">
        <is>
          <t>По пьесе А. Н. Островского.
Спектакль Московского театра им. Маяковского (постановщик М.И. Кнебель).</t>
        </is>
      </c>
      <c r="L1064" s="2" t="inlineStr">
        <is>
          <t>https://www.kino-teatr.ru/teatr/movie/9283/annot/</t>
        </is>
      </c>
      <c r="M1064" s="2">
        <f>HYPERLINK("https://ru.wikipedia.org/w/index.php?search=%D0%A2%D0%B0%D0%BB%D0%B0%D0%BD%D1%82%D1%8B%20%D0%B8%20%D0%BF%D0%BE%D0%BA%D0%BB%D0%BE%D0%BD%D0%BD%D0%B8%D0%BA%D0%B8%201971%20%D1%84%D0%B8%D0%BB%D1%8C%D0%BC","искать")</f>
        <v/>
      </c>
      <c r="N1064" s="3" t="n"/>
      <c r="O1064" s="2" t="n"/>
    </row>
    <row r="1065">
      <c r="A1065" s="2" t="n">
        <v>1064</v>
      </c>
      <c r="B1065" s="2" t="inlineStr">
        <is>
          <t>не сюжет</t>
        </is>
      </c>
      <c r="C1065" s="2" t="n">
        <v>10443</v>
      </c>
      <c r="D1065" s="3" t="inlineStr">
        <is>
          <t>Записки Пиквикского клуба</t>
        </is>
      </c>
      <c r="E1065" s="2" t="n">
        <v>1972</v>
      </c>
      <c r="F1065" s="2" t="inlineStr">
        <is>
          <t>фильм-спектакль</t>
        </is>
      </c>
      <c r="G1065" s="2" t="inlineStr">
        <is>
          <t>ЦТ</t>
        </is>
      </c>
      <c r="H1065" s="2" t="n">
        <v>100</v>
      </c>
      <c r="I1065" s="2" t="inlineStr"/>
      <c r="J1065" s="2" t="inlineStr">
        <is>
          <t>да</t>
        </is>
      </c>
      <c r="K1065" s="3" t="inlineStr">
        <is>
          <t>Телеспектакль по роману Чарльза Диккенса.
Музыка Давида Кривицкого, песни на стихи Давида Самойлова.</t>
        </is>
      </c>
      <c r="L1065" s="2" t="inlineStr">
        <is>
          <t>https://www.kino-teatr.ru/teatr/movie/2388/annot/</t>
        </is>
      </c>
      <c r="M1065" s="2">
        <f>HYPERLINK("https://ru.wikipedia.org/w/index.php?search=%D0%97%D0%B0%D0%BF%D0%B8%D1%81%D0%BA%D0%B8%20%D0%9F%D0%B8%D0%BA%D0%B2%D0%B8%D0%BA%D1%81%D0%BA%D0%BE%D0%B3%D0%BE%20%D0%BA%D0%BB%D1%83%D0%B1%D0%B0%201972%20%D1%84%D0%B8%D0%BB%D1%8C%D0%BC","искать")</f>
        <v/>
      </c>
      <c r="N1065" s="3" t="n"/>
      <c r="O1065" s="2" t="n"/>
    </row>
    <row r="1066">
      <c r="A1066" s="2" t="n">
        <v>1065</v>
      </c>
      <c r="B1066" s="2" t="inlineStr">
        <is>
          <t>не сюжет</t>
        </is>
      </c>
      <c r="C1066" s="2" t="n">
        <v>7287</v>
      </c>
      <c r="D1066" s="3" t="inlineStr">
        <is>
          <t>Быть братом</t>
        </is>
      </c>
      <c r="E1066" s="2" t="n">
        <v>1976</v>
      </c>
      <c r="F1066" s="2" t="inlineStr">
        <is>
          <t>телефильм</t>
        </is>
      </c>
      <c r="G1066" s="2" t="inlineStr">
        <is>
          <t>к/с им. Довженко</t>
        </is>
      </c>
      <c r="H1066" s="2" t="n">
        <v>101</v>
      </c>
      <c r="I1066" s="2" t="inlineStr"/>
      <c r="J1066" s="2" t="inlineStr">
        <is>
          <t>да</t>
        </is>
      </c>
      <c r="K1066" s="3" t="inlineStr">
        <is>
          <t>Телевизионный фильм. О рабочих, чья судьба неразрывно связана с заводом и проблемами заводской жизни.</t>
        </is>
      </c>
      <c r="L1066" s="2" t="inlineStr">
        <is>
          <t>Кино_СССР сводный каталог.xlsx: список телефильмов</t>
        </is>
      </c>
      <c r="M1066" s="2">
        <f>HYPERLINK("https://ru.wikipedia.org/w/index.php?search=%D0%91%D1%8B%D1%82%D1%8C%20%D0%B1%D1%80%D0%B0%D1%82%D0%BE%D0%BC%201976%20%D1%84%D0%B8%D0%BB%D1%8C%D0%BC","искать")</f>
        <v/>
      </c>
      <c r="N1066" s="3" t="n"/>
      <c r="O1066" s="2" t="n"/>
    </row>
    <row r="1067">
      <c r="A1067" s="2" t="n">
        <v>1066</v>
      </c>
      <c r="B1067" s="2" t="inlineStr">
        <is>
          <t>не сюжет</t>
        </is>
      </c>
      <c r="C1067" s="2" t="n">
        <v>8047</v>
      </c>
      <c r="D1067" s="3" t="inlineStr">
        <is>
          <t>Опровержение</t>
        </is>
      </c>
      <c r="E1067" s="2" t="n">
        <v>1976</v>
      </c>
      <c r="F1067" s="2" t="inlineStr">
        <is>
          <t>телефильм</t>
        </is>
      </c>
      <c r="G1067" s="2" t="n"/>
      <c r="H1067" s="2" t="n">
        <v>101</v>
      </c>
      <c r="I1067" s="2" t="inlineStr"/>
      <c r="J1067" s="2" t="inlineStr">
        <is>
          <t>да</t>
        </is>
      </c>
      <c r="K1067" s="3" t="inlineStr">
        <is>
          <t>Герои проблемного фильма о колхозном строительстве — журналисты одной из районных газет Нечерноземья.</t>
        </is>
      </c>
      <c r="L1067" s="2" t="inlineStr">
        <is>
          <t>Кино_СССР сводный каталог.xlsx: список телефильмов</t>
        </is>
      </c>
      <c r="M1067" s="2">
        <f>HYPERLINK("https://ru.wikipedia.org/w/index.php?search=%D0%9E%D0%BF%D1%80%D0%BE%D0%B2%D0%B5%D1%80%D0%B6%D0%B5%D0%BD%D0%B8%D0%B5%201976%20%D1%84%D0%B8%D0%BB%D1%8C%D0%BC","искать")</f>
        <v/>
      </c>
      <c r="N1067" s="3" t="n"/>
      <c r="O1067" s="2" t="n"/>
    </row>
    <row r="1068">
      <c r="A1068" s="2" t="n">
        <v>1067</v>
      </c>
      <c r="B1068" s="2" t="inlineStr">
        <is>
          <t>не сюжет</t>
        </is>
      </c>
      <c r="C1068" s="2" t="n">
        <v>9230</v>
      </c>
      <c r="D1068" s="3" t="inlineStr">
        <is>
          <t>Белое и чёрное</t>
        </is>
      </c>
      <c r="E1068" s="2" t="n">
        <v>1918</v>
      </c>
      <c r="F1068" s="2" t="inlineStr">
        <is>
          <t>кинофильм</t>
        </is>
      </c>
      <c r="G1068" s="2" t="n"/>
      <c r="H1068" s="2" t="n">
        <v>101</v>
      </c>
      <c r="I1068" s="2" t="inlineStr"/>
      <c r="J1068" s="2" t="inlineStr">
        <is>
          <t>да</t>
        </is>
      </c>
      <c r="K1068" s="3" t="inlineStr">
        <is>
          <t>Сюжет построен на внешнем сходстве героев - миллионера и убийцы-апаша. Фильм сохранился не полностью.</t>
        </is>
      </c>
      <c r="L1068" s="2" t="inlineStr">
        <is>
          <t>Кино_СССР сводный каталог.xlsx: список фильмов (доп.)</t>
        </is>
      </c>
      <c r="M1068" s="2">
        <f>HYPERLINK("https://ru.wikipedia.org/w/index.php?search=%D0%91%D0%B5%D0%BB%D0%BE%D0%B5%20%D0%B8%20%D1%87%D1%91%D1%80%D0%BD%D0%BE%D0%B5%201918%20%D1%84%D0%B8%D0%BB%D1%8C%D0%BC","искать")</f>
        <v/>
      </c>
      <c r="N1068" s="3" t="n"/>
      <c r="O1068" s="2" t="n"/>
    </row>
    <row r="1069">
      <c r="A1069" s="2" t="n">
        <v>1068</v>
      </c>
      <c r="B1069" s="2" t="inlineStr">
        <is>
          <t>не сюжет</t>
        </is>
      </c>
      <c r="C1069" s="2" t="n">
        <v>9657</v>
      </c>
      <c r="D1069" s="3" t="inlineStr">
        <is>
          <t>Сова</t>
        </is>
      </c>
      <c r="E1069" s="2" t="n">
        <v>1924</v>
      </c>
      <c r="F1069" s="2" t="inlineStr">
        <is>
          <t>кинофильм</t>
        </is>
      </c>
      <c r="G1069" s="2" t="n"/>
      <c r="H1069" s="2" t="n">
        <v>101</v>
      </c>
      <c r="I1069" s="2" t="inlineStr"/>
      <c r="J1069" s="2" t="inlineStr">
        <is>
          <t>да</t>
        </is>
      </c>
      <c r="K1069" s="3" t="inlineStr">
        <is>
          <t>Повествует о классовой борьбе в деревне между различными сословиями, до становления Советской власти.</t>
        </is>
      </c>
      <c r="L1069" s="2" t="inlineStr">
        <is>
          <t>Кино_СССР сводный каталог.xlsx: список фильмов (доп.)</t>
        </is>
      </c>
      <c r="M1069" s="2">
        <f>HYPERLINK("https://ru.wikipedia.org/w/index.php?search=%D0%A1%D0%BE%D0%B2%D0%B0%201924%20%D1%84%D0%B8%D0%BB%D1%8C%D0%BC","искать")</f>
        <v/>
      </c>
      <c r="N1069" s="3" t="n"/>
      <c r="O1069" s="2" t="n"/>
    </row>
    <row r="1070">
      <c r="A1070" s="2" t="n">
        <v>1069</v>
      </c>
      <c r="B1070" s="2" t="inlineStr">
        <is>
          <t>не сюжет</t>
        </is>
      </c>
      <c r="C1070" s="2" t="n">
        <v>10455</v>
      </c>
      <c r="D1070" s="3" t="inlineStr">
        <is>
          <t>На дне</t>
        </is>
      </c>
      <c r="E1070" s="2" t="n">
        <v>1972</v>
      </c>
      <c r="F1070" s="2" t="inlineStr">
        <is>
          <t>фильм-спектакль</t>
        </is>
      </c>
      <c r="G1070" s="2" t="inlineStr">
        <is>
          <t>ТО "Экран"</t>
        </is>
      </c>
      <c r="H1070" s="2" t="n">
        <v>101</v>
      </c>
      <c r="I1070" s="2" t="inlineStr"/>
      <c r="J1070" s="2" t="inlineStr">
        <is>
          <t>да</t>
        </is>
      </c>
      <c r="K1070" s="3" t="inlineStr">
        <is>
          <t>Экранизация пьесы "На дне" М.Горького. Фильм-спектакль в постановке Московского театра "Современник".</t>
        </is>
      </c>
      <c r="L1070" s="2" t="inlineStr">
        <is>
          <t>https://www.kino-teatr.ru/teatr/movie/4163/annot/</t>
        </is>
      </c>
      <c r="M1070" s="2">
        <f>HYPERLINK("https://ru.wikipedia.org/w/index.php?search=%D0%9D%D0%B0%20%D0%B4%D0%BD%D0%B5%201972%20%D1%84%D0%B8%D0%BB%D1%8C%D0%BC","искать")</f>
        <v/>
      </c>
      <c r="N1070" s="3" t="n"/>
      <c r="O1070" s="2" t="n"/>
    </row>
    <row r="1071">
      <c r="A1071" s="2" t="n">
        <v>1070</v>
      </c>
      <c r="B1071" s="2" t="inlineStr">
        <is>
          <t>не сюжет</t>
        </is>
      </c>
      <c r="C1071" s="2" t="n">
        <v>10610</v>
      </c>
      <c r="D1071" s="3" t="inlineStr">
        <is>
          <t>Золотая стена</t>
        </is>
      </c>
      <c r="E1071" s="2" t="n">
        <v>1975</v>
      </c>
      <c r="F1071" s="2" t="inlineStr">
        <is>
          <t>фильм-спектакль</t>
        </is>
      </c>
      <c r="G1071" s="2" t="n"/>
      <c r="H1071" s="2" t="n">
        <v>101</v>
      </c>
      <c r="I1071" s="2" t="inlineStr"/>
      <c r="J1071" s="2" t="inlineStr">
        <is>
          <t>да</t>
        </is>
      </c>
      <c r="K1071" s="3" t="inlineStr">
        <is>
          <t>Фильм снят по одноименной пьесе известного узбекского поэта и драматурга Эркина Вахидова (1936-2016).</t>
        </is>
      </c>
      <c r="L1071" s="2" t="inlineStr">
        <is>
          <t>https://www.kino-teatr.ru/teatr/movie/191010/annot/</t>
        </is>
      </c>
      <c r="M1071" s="2">
        <f>HYPERLINK("https://ru.wikipedia.org/w/index.php?search=%D0%97%D0%BE%D0%BB%D0%BE%D1%82%D0%B0%D1%8F%20%D1%81%D1%82%D0%B5%D0%BD%D0%B0%201975%20%D1%84%D0%B8%D0%BB%D1%8C%D0%BC","искать")</f>
        <v/>
      </c>
      <c r="N1071" s="3" t="n"/>
      <c r="O1071" s="2" t="n"/>
    </row>
    <row r="1072">
      <c r="A1072" s="2" t="n">
        <v>1071</v>
      </c>
      <c r="B1072" s="2" t="inlineStr">
        <is>
          <t>не сюжет</t>
        </is>
      </c>
      <c r="C1072" s="2" t="n">
        <v>11335</v>
      </c>
      <c r="D1072" s="3" t="inlineStr">
        <is>
          <t>В салоне и в клетке</t>
        </is>
      </c>
      <c r="E1072" s="2" t="n">
        <v>1991</v>
      </c>
      <c r="F1072" s="2" t="inlineStr">
        <is>
          <t>фильм-спектакль</t>
        </is>
      </c>
      <c r="G1072" s="2" t="inlineStr">
        <is>
          <t>ETV teleteater</t>
        </is>
      </c>
      <c r="H1072" s="2" t="n">
        <v>101</v>
      </c>
      <c r="I1072" s="2" t="inlineStr"/>
      <c r="J1072" s="2" t="inlineStr">
        <is>
          <t>да</t>
        </is>
      </c>
      <c r="K1072" s="3" t="inlineStr">
        <is>
          <t>Спектакль поставлен по одноименной пьесе эстонского писателя и драматурга Хуго Раудсеппа (1887-1951).</t>
        </is>
      </c>
      <c r="L1072" s="2" t="inlineStr">
        <is>
          <t>https://www.kino-teatr.ru/teatr/movie/89050/annot/</t>
        </is>
      </c>
      <c r="M1072" s="2">
        <f>HYPERLINK("https://ru.wikipedia.org/w/index.php?search=%D0%92%20%D1%81%D0%B0%D0%BB%D0%BE%D0%BD%D0%B5%20%D0%B8%20%D0%B2%20%D0%BA%D0%BB%D0%B5%D1%82%D0%BA%D0%B5%201991%20%D1%84%D0%B8%D0%BB%D1%8C%D0%BC","искать")</f>
        <v/>
      </c>
      <c r="N1072" s="3" t="n"/>
      <c r="O1072" s="2" t="n"/>
    </row>
    <row r="1073">
      <c r="A1073" s="2" t="n">
        <v>1072</v>
      </c>
      <c r="B1073" s="2" t="inlineStr">
        <is>
          <t>не сюжет</t>
        </is>
      </c>
      <c r="C1073" s="2" t="n">
        <v>8211</v>
      </c>
      <c r="D1073" s="3" t="inlineStr">
        <is>
          <t>Приключения Шерлока Холмса и доктора Ватсона</t>
        </is>
      </c>
      <c r="E1073" s="2" t="n">
        <v>1979</v>
      </c>
      <c r="F1073" s="2" t="inlineStr">
        <is>
          <t>телефильм</t>
        </is>
      </c>
      <c r="G1073" s="2" t="n"/>
      <c r="H1073" s="2" t="n">
        <v>102</v>
      </c>
      <c r="I1073" s="2" t="inlineStr"/>
      <c r="J1073" s="2" t="inlineStr">
        <is>
          <t>да</t>
        </is>
      </c>
      <c r="K1073" s="3" t="inlineStr">
        <is>
          <t>Классическая экранизация избранных произведений Артура Конан Дойля о Шерлоке Холмсе и докторе Ватсоне.</t>
        </is>
      </c>
      <c r="L1073" s="2" t="inlineStr">
        <is>
          <t>Кино_СССР сводный каталог.xlsx: список телефильмов</t>
        </is>
      </c>
      <c r="M1073" s="2">
        <f>HYPERLINK("https://ru.wikipedia.org/w/index.php?search=%D0%9F%D1%80%D0%B8%D0%BA%D0%BB%D1%8E%D1%87%D0%B5%D0%BD%D0%B8%D1%8F%20%D0%A8%D0%B5%D1%80%D0%BB%D0%BE%D0%BA%D0%B0%20%D0%A5%D0%BE%D0%BB%D0%BC%D1%81%D0%B0%20%D0%B8%20%D0%B4%D0%BE%D0%BA%D1%82%D0%BE%D1%80%D0%B0%20%D0%92%D0%B0%D1%82%D1%81%D0%BE%D0%BD%D0%B0%201979%20%D1%84%D0%B8%D0%BB%D1%8C%D0%BC","искать")</f>
        <v/>
      </c>
      <c r="N1073" s="3" t="n"/>
      <c r="O1073" s="2" t="n"/>
    </row>
    <row r="1074">
      <c r="A1074" s="2" t="n">
        <v>1073</v>
      </c>
      <c r="B1074" s="2" t="inlineStr">
        <is>
          <t>не сюжет</t>
        </is>
      </c>
      <c r="C1074" s="2" t="n">
        <v>8300</v>
      </c>
      <c r="D1074" s="3" t="inlineStr">
        <is>
          <t>Саят-Нова</t>
        </is>
      </c>
      <c r="E1074" s="2" t="n">
        <v>1960</v>
      </c>
      <c r="F1074" s="2" t="inlineStr">
        <is>
          <t>телефильм</t>
        </is>
      </c>
      <c r="G1074" s="2" t="n"/>
      <c r="H1074" s="2" t="n">
        <v>102</v>
      </c>
      <c r="I1074" s="2" t="inlineStr"/>
      <c r="J1074" s="2" t="inlineStr">
        <is>
          <t>да</t>
        </is>
      </c>
      <c r="K1074" s="3" t="inlineStr">
        <is>
          <t>Սայաթ Նովա Телефильм. О любви и творчестве великого армянского поэта позднего средневековья Саят-Нова.</t>
        </is>
      </c>
      <c r="L1074" s="2" t="inlineStr">
        <is>
          <t>Кино_СССР сводный каталог.xlsx: список телефильмов</t>
        </is>
      </c>
      <c r="M1074" s="2">
        <f>HYPERLINK("https://ru.wikipedia.org/w/index.php?search=%D0%A1%D0%B0%D1%8F%D1%82-%D0%9D%D0%BE%D0%B2%D0%B0%201960%20%D1%84%D0%B8%D0%BB%D1%8C%D0%BC","искать")</f>
        <v/>
      </c>
      <c r="N1074" s="3" t="n"/>
      <c r="O1074" s="2" t="n"/>
    </row>
    <row r="1075">
      <c r="A1075" s="2" t="n">
        <v>1074</v>
      </c>
      <c r="B1075" s="2" t="inlineStr">
        <is>
          <t>не сюжет</t>
        </is>
      </c>
      <c r="C1075" s="2" t="n">
        <v>8653</v>
      </c>
      <c r="D1075" s="3" t="inlineStr">
        <is>
          <t>Весна, цветы и, конечно... любовь</t>
        </is>
      </c>
      <c r="E1075" s="2" t="n">
        <v>1961</v>
      </c>
      <c r="F1075" s="2" t="inlineStr">
        <is>
          <t>кинофильм</t>
        </is>
      </c>
      <c r="G1075" s="2" t="n"/>
      <c r="H1075" s="2" t="n">
        <v>102</v>
      </c>
      <c r="I1075" s="2" t="inlineStr"/>
      <c r="J1075" s="2" t="inlineStr">
        <is>
          <t>да</t>
        </is>
      </c>
      <c r="K1075" s="3" t="inlineStr">
        <is>
          <t>Романтическая музыкальная комедия о весне - поре светлых надежд, цветения молодости и, конечно, любви.</t>
        </is>
      </c>
      <c r="L1075" s="2" t="inlineStr">
        <is>
          <t>Кино_СССР сводный каталог.xlsx: список фильмов (доп.)</t>
        </is>
      </c>
      <c r="M1075" s="2">
        <f>HYPERLINK("https://ru.wikipedia.org/w/index.php?search=%D0%92%D0%B5%D1%81%D0%BD%D0%B0%2C%20%D1%86%D0%B2%D0%B5%D1%82%D1%8B%20%D0%B8%2C%20%D0%BA%D0%BE%D0%BD%D0%B5%D1%87%D0%BD%D0%BE...%20%D0%BB%D1%8E%D0%B1%D0%BE%D0%B2%D1%8C%201961%20%D1%84%D0%B8%D0%BB%D1%8C%D0%BC","искать")</f>
        <v/>
      </c>
      <c r="N1075" s="3" t="n"/>
      <c r="O1075" s="2" t="n"/>
    </row>
    <row r="1076">
      <c r="A1076" s="2" t="n">
        <v>1075</v>
      </c>
      <c r="B1076" s="2" t="inlineStr">
        <is>
          <t>не сюжет</t>
        </is>
      </c>
      <c r="C1076" s="2" t="n">
        <v>9522</v>
      </c>
      <c r="D1076" s="3" t="inlineStr">
        <is>
          <t>Одна радость</t>
        </is>
      </c>
      <c r="E1076" s="2" t="n">
        <v>1933</v>
      </c>
      <c r="F1076" s="2" t="inlineStr">
        <is>
          <t>кинофильм</t>
        </is>
      </c>
      <c r="G1076" s="2" t="n"/>
      <c r="H1076" s="2" t="n">
        <v>102</v>
      </c>
      <c r="I1076" s="2" t="inlineStr"/>
      <c r="J1076" s="2" t="inlineStr">
        <is>
          <t>да</t>
        </is>
      </c>
      <c r="K1076" s="3" t="inlineStr">
        <is>
          <t>Психологическая драма о невозможности сочетания личного счастья в семейной жизни с общественным делом.</t>
        </is>
      </c>
      <c r="L1076" s="2" t="inlineStr">
        <is>
          <t>Кино_СССР сводный каталог.xlsx: список фильмов (доп.)</t>
        </is>
      </c>
      <c r="M1076" s="2">
        <f>HYPERLINK("https://ru.wikipedia.org/w/index.php?search=%D0%9E%D0%B4%D0%BD%D0%B0%20%D1%80%D0%B0%D0%B4%D0%BE%D1%81%D1%82%D1%8C%201933%20%D1%84%D0%B8%D0%BB%D1%8C%D0%BC","искать")</f>
        <v/>
      </c>
      <c r="N1076" s="3" t="n"/>
      <c r="O1076" s="2" t="n"/>
    </row>
    <row r="1077">
      <c r="A1077" s="2" t="n">
        <v>1076</v>
      </c>
      <c r="B1077" s="2" t="inlineStr">
        <is>
          <t>не сюжет</t>
        </is>
      </c>
      <c r="C1077" s="2" t="n">
        <v>10239</v>
      </c>
      <c r="D1077" s="3" t="inlineStr">
        <is>
          <t>Воскресение в понедельник</t>
        </is>
      </c>
      <c r="E1077" s="2" t="n">
        <v>1968</v>
      </c>
      <c r="F1077" s="2" t="inlineStr">
        <is>
          <t>фильм-спектакль</t>
        </is>
      </c>
      <c r="G1077" s="2" t="inlineStr">
        <is>
          <t>Ленинградское ТВ</t>
        </is>
      </c>
      <c r="H1077" s="2" t="n">
        <v>102</v>
      </c>
      <c r="I1077" s="2" t="inlineStr"/>
      <c r="J1077" s="2" t="inlineStr">
        <is>
          <t>да</t>
        </is>
      </c>
      <c r="K1077" s="3" t="inlineStr">
        <is>
          <t>Фильм-спектакль по одноименной пьесе В.Дыховичного и М.Слободского высмеивает формализм и бюрократизм.</t>
        </is>
      </c>
      <c r="L1077" s="2" t="inlineStr">
        <is>
          <t>https://www.kino-teatr.ru/teatr/movie/92880/annot/</t>
        </is>
      </c>
      <c r="M1077" s="2">
        <f>HYPERLINK("https://ru.wikipedia.org/w/index.php?search=%D0%92%D0%BE%D1%81%D0%BA%D1%80%D0%B5%D1%81%D0%B5%D0%BD%D0%B8%D0%B5%20%D0%B2%20%D0%BF%D0%BE%D0%BD%D0%B5%D0%B4%D0%B5%D0%BB%D1%8C%D0%BD%D0%B8%D0%BA%201968%20%D1%84%D0%B8%D0%BB%D1%8C%D0%BC","искать")</f>
        <v/>
      </c>
      <c r="N1077" s="3" t="n"/>
      <c r="O1077" s="2" t="n"/>
    </row>
    <row r="1078">
      <c r="A1078" s="2" t="n">
        <v>1077</v>
      </c>
      <c r="B1078" s="2" t="inlineStr">
        <is>
          <t>не сюжет</t>
        </is>
      </c>
      <c r="C1078" s="2" t="n">
        <v>10290</v>
      </c>
      <c r="D1078" s="3" t="inlineStr">
        <is>
          <t>Баллада о Сирано</t>
        </is>
      </c>
      <c r="E1078" s="2" t="n">
        <v>1969</v>
      </c>
      <c r="F1078" s="2" t="inlineStr">
        <is>
          <t>фильм-спектакль</t>
        </is>
      </c>
      <c r="G1078" s="2" t="inlineStr">
        <is>
          <t>Ленинградское телевидение</t>
        </is>
      </c>
      <c r="H1078" s="2" t="n">
        <v>102</v>
      </c>
      <c r="I1078" s="2" t="inlineStr"/>
      <c r="J1078" s="2" t="inlineStr">
        <is>
          <t>да</t>
        </is>
      </c>
      <c r="K1078" s="3" t="inlineStr">
        <is>
          <t>Композиция по спектаклю Ленинградского театра им. Ленинского Комсомола "Сирано де Бержерак" Э.Ростана.</t>
        </is>
      </c>
      <c r="L1078" s="2" t="inlineStr">
        <is>
          <t>https://www.kino-teatr.ru/teatr/movie/86317/annot/</t>
        </is>
      </c>
      <c r="M1078" s="2">
        <f>HYPERLINK("https://ru.wikipedia.org/w/index.php?search=%D0%91%D0%B0%D0%BB%D0%BB%D0%B0%D0%B4%D0%B0%20%D0%BE%20%D0%A1%D0%B8%D1%80%D0%B0%D0%BD%D0%BE%201969%20%D1%84%D0%B8%D0%BB%D1%8C%D0%BC","искать")</f>
        <v/>
      </c>
      <c r="N1078" s="3" t="n"/>
      <c r="O1078" s="2" t="n"/>
    </row>
    <row r="1079">
      <c r="A1079" s="2" t="n">
        <v>1078</v>
      </c>
      <c r="B1079" s="2" t="inlineStr">
        <is>
          <t>не сюжет</t>
        </is>
      </c>
      <c r="C1079" s="2" t="n">
        <v>10515</v>
      </c>
      <c r="D1079" s="3" t="inlineStr">
        <is>
          <t>Рассказы А.П. Чехова исполняет Игорь Ильинский</t>
        </is>
      </c>
      <c r="E1079" s="2" t="n">
        <v>1973</v>
      </c>
      <c r="F1079" s="2" t="inlineStr">
        <is>
          <t>фильм-спектакль</t>
        </is>
      </c>
      <c r="G1079" s="2" t="inlineStr">
        <is>
          <t>Центральное телевидение, Подборки фильмов, экранизации Чехова</t>
        </is>
      </c>
      <c r="H1079" s="2" t="n">
        <v>102</v>
      </c>
      <c r="I1079" s="2" t="inlineStr"/>
      <c r="J1079" s="2" t="inlineStr">
        <is>
          <t>да</t>
        </is>
      </c>
      <c r="K1079" s="3" t="inlineStr">
        <is>
          <t>Рассказы А.П. Чехова "Душечка", "Горе", "Лев и солнце" исполняет народный артист СССР Игорь Ильинский.</t>
        </is>
      </c>
      <c r="L1079" s="2" t="inlineStr">
        <is>
          <t>https://www.kino-teatr.ru/teatr/movie/113668/annot/</t>
        </is>
      </c>
      <c r="M1079" s="2">
        <f>HYPERLINK("https://ru.wikipedia.org/w/index.php?search=%D0%A0%D0%B0%D1%81%D1%81%D0%BA%D0%B0%D0%B7%D1%8B%20%D0%90.%D0%9F.%20%D0%A7%D0%B5%D1%85%D0%BE%D0%B2%D0%B0%20%D0%B8%D1%81%D0%BF%D0%BE%D0%BB%D0%BD%D1%8F%D0%B5%D1%82%20%D0%98%D0%B3%D0%BE%D1%80%D1%8C%20%D0%98%D0%BB%D1%8C%D0%B8%D0%BD%D1%81%D0%BA%D0%B8%D0%B9%201973%20%D1%84%D0%B8%D0%BB%D1%8C%D0%BC","искать")</f>
        <v/>
      </c>
      <c r="N1079" s="3" t="n"/>
      <c r="O1079" s="2" t="n"/>
    </row>
    <row r="1080">
      <c r="A1080" s="2" t="n">
        <v>1079</v>
      </c>
      <c r="B1080" s="2" t="inlineStr">
        <is>
          <t>не сюжет</t>
        </is>
      </c>
      <c r="C1080" s="2" t="n">
        <v>11117</v>
      </c>
      <c r="D1080" s="3" t="inlineStr">
        <is>
          <t>Мы - цыгане</t>
        </is>
      </c>
      <c r="E1080" s="2" t="n">
        <v>1986</v>
      </c>
      <c r="F1080" s="2" t="inlineStr">
        <is>
          <t>фильм-спектакль</t>
        </is>
      </c>
      <c r="G1080" s="2" t="inlineStr">
        <is>
          <t>ТО "Экран"</t>
        </is>
      </c>
      <c r="H1080" s="2" t="n">
        <v>102</v>
      </c>
      <c r="I1080" s="2" t="inlineStr"/>
      <c r="J1080" s="2" t="inlineStr">
        <is>
          <t>да</t>
        </is>
      </c>
      <c r="K1080" s="3" t="inlineStr">
        <is>
          <t>По спектаклю Московского цыганского театра "Ромэн".
Об истории цыганского народа, его песнях и танцах.</t>
        </is>
      </c>
      <c r="L1080" s="2" t="inlineStr">
        <is>
          <t>https://www.kino-teatr.ru/teatr/movie/81256/annot/</t>
        </is>
      </c>
      <c r="M1080" s="2">
        <f>HYPERLINK("https://ru.wikipedia.org/w/index.php?search=%D0%9C%D1%8B%20-%20%D1%86%D1%8B%D0%B3%D0%B0%D0%BD%D0%B5%201986%20%D1%84%D0%B8%D0%BB%D1%8C%D0%BC","искать")</f>
        <v/>
      </c>
      <c r="N1080" s="3" t="n"/>
      <c r="O1080" s="2" t="n"/>
    </row>
    <row r="1081">
      <c r="A1081" s="2" t="n">
        <v>1080</v>
      </c>
      <c r="B1081" s="2" t="inlineStr">
        <is>
          <t>не сюжет</t>
        </is>
      </c>
      <c r="C1081" s="2" t="n">
        <v>7207</v>
      </c>
      <c r="D1081" s="3" t="inlineStr">
        <is>
          <t>Алымкан</t>
        </is>
      </c>
      <c r="E1081" s="2" t="n">
        <v>1965</v>
      </c>
      <c r="F1081" s="2" t="inlineStr">
        <is>
          <t>телефильм</t>
        </is>
      </c>
      <c r="G1081" s="2" t="n"/>
      <c r="H1081" s="2" t="n">
        <v>103</v>
      </c>
      <c r="I1081" s="2" t="inlineStr"/>
      <c r="J1081" s="2" t="inlineStr">
        <is>
          <t>да</t>
        </is>
      </c>
      <c r="K1081" s="3" t="inlineStr">
        <is>
          <t>Экранизация лирической поэмы Тологона Касымбекова "Алымкан" о возлюбленной акына Токтогула Сатылганова.</t>
        </is>
      </c>
      <c r="L1081" s="2" t="inlineStr">
        <is>
          <t>Кино_СССР сводный каталог.xlsx: список телефильмов</t>
        </is>
      </c>
      <c r="M1081" s="2">
        <f>HYPERLINK("https://ru.wikipedia.org/w/index.php?search=%D0%90%D0%BB%D1%8B%D0%BC%D0%BA%D0%B0%D0%BD%201965%20%D1%84%D0%B8%D0%BB%D1%8C%D0%BC","искать")</f>
        <v/>
      </c>
      <c r="N1081" s="3" t="n"/>
      <c r="O1081" s="2" t="n"/>
    </row>
    <row r="1082">
      <c r="A1082" s="2" t="n">
        <v>1081</v>
      </c>
      <c r="B1082" s="2" t="inlineStr">
        <is>
          <t>не сюжет</t>
        </is>
      </c>
      <c r="C1082" s="2" t="n">
        <v>8763</v>
      </c>
      <c r="D1082" s="3" t="inlineStr">
        <is>
          <t>Кербез. Неистовый беглец</t>
        </is>
      </c>
      <c r="E1082" s="2" t="n">
        <v>1989</v>
      </c>
      <c r="F1082" s="2" t="inlineStr">
        <is>
          <t>кинофильм</t>
        </is>
      </c>
      <c r="G1082" s="2" t="n"/>
      <c r="H1082" s="2" t="n">
        <v>103</v>
      </c>
      <c r="I1082" s="2" t="inlineStr"/>
      <c r="J1082" s="2" t="inlineStr">
        <is>
          <t>да</t>
        </is>
      </c>
      <c r="K1082" s="3" t="inlineStr">
        <is>
          <t>Фильм посвящен 125-летию со дня рождения киргизского певца-импровизатора и поэта Токтогула Сатылганова.</t>
        </is>
      </c>
      <c r="L1082" s="2" t="inlineStr">
        <is>
          <t>Кино_СССР сводный каталог.xlsx: список фильмов (доп.)</t>
        </is>
      </c>
      <c r="M1082" s="2">
        <f>HYPERLINK("https://ru.wikipedia.org/w/index.php?search=%D0%9A%D0%B5%D1%80%D0%B1%D0%B5%D0%B7.%20%D0%9D%D0%B5%D0%B8%D1%81%D1%82%D0%BE%D0%B2%D1%8B%D0%B9%20%D0%B1%D0%B5%D0%B3%D0%BB%D0%B5%D1%86%201989%20%D1%84%D0%B8%D0%BB%D1%8C%D0%BC","искать")</f>
        <v/>
      </c>
      <c r="N1082" s="3" t="n"/>
      <c r="O1082" s="2" t="n"/>
    </row>
    <row r="1083">
      <c r="A1083" s="2" t="n">
        <v>1082</v>
      </c>
      <c r="B1083" s="2" t="inlineStr">
        <is>
          <t>не сюжет</t>
        </is>
      </c>
      <c r="C1083" s="2" t="n">
        <v>8972</v>
      </c>
      <c r="D1083" s="3" t="inlineStr">
        <is>
          <t>Предупреждение</t>
        </is>
      </c>
      <c r="E1083" s="2" t="n">
        <v>1982</v>
      </c>
      <c r="F1083" s="2" t="inlineStr">
        <is>
          <t>кинофильм</t>
        </is>
      </c>
      <c r="G1083" s="2" t="n"/>
      <c r="H1083" s="2" t="n">
        <v>103</v>
      </c>
      <c r="I1083" s="2" t="inlineStr"/>
      <c r="J1083" s="2" t="inlineStr">
        <is>
          <t>да</t>
        </is>
      </c>
      <c r="K1083" s="3" t="inlineStr">
        <is>
          <t>Несколько страниц из жизни видного деятеля международного коммунистического движения Георгия Димитрова.</t>
        </is>
      </c>
      <c r="L1083" s="2" t="inlineStr">
        <is>
          <t>Кино_СССР сводный каталог.xlsx: список фильмов (доп.)</t>
        </is>
      </c>
      <c r="M1083" s="2">
        <f>HYPERLINK("https://ru.wikipedia.org/w/index.php?search=%D0%9F%D1%80%D0%B5%D0%B4%D1%83%D0%BF%D1%80%D0%B5%D0%B6%D0%B4%D0%B5%D0%BD%D0%B8%D0%B5%201982%20%D1%84%D0%B8%D0%BB%D1%8C%D0%BC","искать")</f>
        <v/>
      </c>
      <c r="N1083" s="3" t="n"/>
      <c r="O1083" s="2" t="n"/>
    </row>
    <row r="1084">
      <c r="A1084" s="2" t="n">
        <v>1083</v>
      </c>
      <c r="B1084" s="2" t="inlineStr">
        <is>
          <t>не сюжет</t>
        </is>
      </c>
      <c r="C1084" s="2" t="n">
        <v>9568</v>
      </c>
      <c r="D1084" s="3" t="inlineStr">
        <is>
          <t>Поликушка</t>
        </is>
      </c>
      <c r="E1084" s="2" t="n">
        <v>1919</v>
      </c>
      <c r="F1084" s="2" t="inlineStr">
        <is>
          <t>кинофильм</t>
        </is>
      </c>
      <c r="G1084" s="2" t="n"/>
      <c r="H1084" s="2" t="n">
        <v>103</v>
      </c>
      <c r="I1084" s="2" t="inlineStr"/>
      <c r="J1084" s="2" t="inlineStr">
        <is>
          <t>да</t>
        </is>
      </c>
      <c r="K1084" s="3" t="inlineStr">
        <is>
          <t>По одноименной повести Л.Н.Толстого. Первая работа в кино И.М.Москвина, В.О.Массалитиновой, Н.Е.Эфроса.</t>
        </is>
      </c>
      <c r="L1084" s="2" t="inlineStr">
        <is>
          <t>Кино_СССР сводный каталог.xlsx: список фильмов (доп.)</t>
        </is>
      </c>
      <c r="M1084" s="2">
        <f>HYPERLINK("https://ru.wikipedia.org/w/index.php?search=%D0%9F%D0%BE%D0%BB%D0%B8%D0%BA%D1%83%D1%88%D0%BA%D0%B0%201919%20%D1%84%D0%B8%D0%BB%D1%8C%D0%BC","искать")</f>
        <v/>
      </c>
      <c r="N1084" s="3" t="n"/>
      <c r="O1084" s="2" t="n"/>
    </row>
    <row r="1085">
      <c r="A1085" s="2" t="n">
        <v>1084</v>
      </c>
      <c r="B1085" s="2" t="inlineStr">
        <is>
          <t>не сюжет</t>
        </is>
      </c>
      <c r="C1085" s="2" t="n">
        <v>10353</v>
      </c>
      <c r="D1085" s="3" t="inlineStr">
        <is>
          <t>Двадцать седьмой неполный</t>
        </is>
      </c>
      <c r="E1085" s="2" t="n">
        <v>1970</v>
      </c>
      <c r="F1085" s="2" t="inlineStr">
        <is>
          <t>фильм-спектакль</t>
        </is>
      </c>
      <c r="G1085" s="2" t="inlineStr">
        <is>
          <t>Ленинградское ТВ</t>
        </is>
      </c>
      <c r="H1085" s="2" t="n">
        <v>103</v>
      </c>
      <c r="I1085" s="2" t="inlineStr"/>
      <c r="J1085" s="2" t="inlineStr">
        <is>
          <t>да</t>
        </is>
      </c>
      <c r="K1085" s="3" t="inlineStr">
        <is>
          <t>Спектакль из репертуара БДТ им.Товстоногова по пьесе Ю. Принцева. О жизни и творчестве Аркадия Гайдара.</t>
        </is>
      </c>
      <c r="L1085" s="2" t="inlineStr">
        <is>
          <t>https://www.kino-teatr.ru/teatr/movie/17236/annot/</t>
        </is>
      </c>
      <c r="M1085" s="2">
        <f>HYPERLINK("https://ru.wikipedia.org/w/index.php?search=%D0%94%D0%B2%D0%B0%D0%B4%D1%86%D0%B0%D1%82%D1%8C%20%D1%81%D0%B5%D0%B4%D1%8C%D0%BC%D0%BE%D0%B9%20%D0%BD%D0%B5%D0%BF%D0%BE%D0%BB%D0%BD%D1%8B%D0%B9%201970%20%D1%84%D0%B8%D0%BB%D1%8C%D0%BC","искать")</f>
        <v/>
      </c>
      <c r="N1085" s="3" t="n"/>
      <c r="O1085" s="2" t="n"/>
    </row>
    <row r="1086">
      <c r="A1086" s="2" t="n">
        <v>1085</v>
      </c>
      <c r="B1086" s="2" t="inlineStr">
        <is>
          <t>не сюжет</t>
        </is>
      </c>
      <c r="C1086" s="2" t="n">
        <v>7716</v>
      </c>
      <c r="D1086" s="3" t="inlineStr">
        <is>
          <t>Карастояновы</t>
        </is>
      </c>
      <c r="E1086" s="2" t="n">
        <v>1983</v>
      </c>
      <c r="F1086" s="2" t="inlineStr">
        <is>
          <t>телефильм</t>
        </is>
      </c>
      <c r="G1086" s="2" t="inlineStr">
        <is>
          <t>к/с им. Довженко</t>
        </is>
      </c>
      <c r="H1086" s="2" t="n">
        <v>104</v>
      </c>
      <c r="I1086" s="2" t="inlineStr"/>
      <c r="J1086" s="2" t="inlineStr">
        <is>
          <t>да</t>
        </is>
      </c>
      <c r="K1086" s="3" t="inlineStr">
        <is>
          <t>В центре сюжета повествования — история болгарской семьи Карастояновых. Время действия — 1923—1945 годы.</t>
        </is>
      </c>
      <c r="L1086" s="2" t="inlineStr">
        <is>
          <t>Кино_СССР сводный каталог.xlsx: список телефильмов</t>
        </is>
      </c>
      <c r="M1086" s="2">
        <f>HYPERLINK("https://ru.wikipedia.org/w/index.php?search=%D0%9A%D0%B0%D1%80%D0%B0%D1%81%D1%82%D0%BE%D1%8F%D0%BD%D0%BE%D0%B2%D1%8B%201983%20%D1%84%D0%B8%D0%BB%D1%8C%D0%BC","искать")</f>
        <v/>
      </c>
      <c r="N1086" s="3" t="n"/>
      <c r="O1086" s="2" t="n"/>
    </row>
    <row r="1087">
      <c r="A1087" s="2" t="n">
        <v>1086</v>
      </c>
      <c r="B1087" s="2" t="inlineStr">
        <is>
          <t>не сюжет</t>
        </is>
      </c>
      <c r="C1087" s="2" t="n">
        <v>7998</v>
      </c>
      <c r="D1087" s="3" t="inlineStr">
        <is>
          <t>Николай Вавилов</t>
        </is>
      </c>
      <c r="E1087" s="2" t="n">
        <v>1990</v>
      </c>
      <c r="F1087" s="2" t="inlineStr">
        <is>
          <t>телефильм</t>
        </is>
      </c>
      <c r="G1087" s="2" t="n"/>
      <c r="H1087" s="2" t="n">
        <v>104</v>
      </c>
      <c r="I1087" s="2" t="inlineStr"/>
      <c r="J1087" s="2" t="inlineStr">
        <is>
          <t>да</t>
        </is>
      </c>
      <c r="K1087" s="3" t="inlineStr">
        <is>
          <t>Телесериал о великом советском ученом-биологе, первом президенте ВАСХНИЛа, Николае Вавилове (1887-1943).</t>
        </is>
      </c>
      <c r="L1087" s="2" t="inlineStr">
        <is>
          <t>Кино_СССР сводный каталог.xlsx: список телефильмов</t>
        </is>
      </c>
      <c r="M1087" s="2">
        <f>HYPERLINK("https://ru.wikipedia.org/w/index.php?search=%D0%9D%D0%B8%D0%BA%D0%BE%D0%BB%D0%B0%D0%B9%20%D0%92%D0%B0%D0%B2%D0%B8%D0%BB%D0%BE%D0%B2%201990%20%D1%84%D0%B8%D0%BB%D1%8C%D0%BC","искать")</f>
        <v/>
      </c>
      <c r="N1087" s="3" t="n"/>
      <c r="O1087" s="2" t="n"/>
    </row>
    <row r="1088">
      <c r="A1088" s="2" t="n">
        <v>1087</v>
      </c>
      <c r="B1088" s="2" t="inlineStr">
        <is>
          <t>не сюжет</t>
        </is>
      </c>
      <c r="C1088" s="2" t="n">
        <v>8861</v>
      </c>
      <c r="D1088" s="3" t="inlineStr">
        <is>
          <t>Нам колокола не играли, когда мы умирали</t>
        </is>
      </c>
      <c r="E1088" s="2" t="n">
        <v>1991</v>
      </c>
      <c r="F1088" s="2" t="inlineStr">
        <is>
          <t>кинофильм</t>
        </is>
      </c>
      <c r="G1088" s="2" t="n"/>
      <c r="H1088" s="2" t="n">
        <v>104</v>
      </c>
      <c r="I1088" s="2" t="inlineStr"/>
      <c r="J1088" s="2" t="inlineStr">
        <is>
          <t>да</t>
        </is>
      </c>
      <c r="K1088" s="3" t="inlineStr">
        <is>
          <t>О трагедии народа Западной Украины, оказавшегося между гитлеровским и сталинским тоталитарными режимами.</t>
        </is>
      </c>
      <c r="L1088" s="2" t="inlineStr">
        <is>
          <t>Кино_СССР сводный каталог.xlsx: список фильмов (доп.)</t>
        </is>
      </c>
      <c r="M1088" s="2">
        <f>HYPERLINK("https://ru.wikipedia.org/w/index.php?search=%D0%9D%D0%B0%D0%BC%20%D0%BA%D0%BE%D0%BB%D0%BE%D0%BA%D0%BE%D0%BB%D0%B0%20%D0%BD%D0%B5%20%D0%B8%D0%B3%D1%80%D0%B0%D0%BB%D0%B8%2C%20%D0%BA%D0%BE%D0%B3%D0%B4%D0%B0%20%D0%BC%D1%8B%20%D1%83%D0%BC%D0%B8%D1%80%D0%B0%D0%BB%D0%B8%201991%20%D1%84%D0%B8%D0%BB%D1%8C%D0%BC","искать")</f>
        <v/>
      </c>
      <c r="N1088" s="3" t="n"/>
      <c r="O1088" s="2" t="n"/>
    </row>
    <row r="1089">
      <c r="A1089" s="2" t="n">
        <v>1088</v>
      </c>
      <c r="B1089" s="2" t="inlineStr">
        <is>
          <t>не сюжет</t>
        </is>
      </c>
      <c r="C1089" s="2" t="n">
        <v>9282</v>
      </c>
      <c r="D1089" s="3" t="inlineStr">
        <is>
          <t>Восстание камней</t>
        </is>
      </c>
      <c r="E1089" s="2" t="n">
        <v>1935</v>
      </c>
      <c r="F1089" s="2" t="inlineStr">
        <is>
          <t>кинофильм</t>
        </is>
      </c>
      <c r="G1089" s="2" t="n"/>
      <c r="H1089" s="2" t="n">
        <v>104</v>
      </c>
      <c r="I1089" s="2" t="inlineStr"/>
      <c r="J1089" s="2" t="inlineStr">
        <is>
          <t>да</t>
        </is>
      </c>
      <c r="K1089" s="3" t="inlineStr">
        <is>
          <t>По роману Овчаренко "В огненном кольце". О событиях гражданской войны в Керчи. Съёмки не были завершены.</t>
        </is>
      </c>
      <c r="L1089" s="2" t="inlineStr">
        <is>
          <t>Кино_СССР сводный каталог.xlsx: список фильмов (доп.)</t>
        </is>
      </c>
      <c r="M1089" s="2">
        <f>HYPERLINK("https://ru.wikipedia.org/w/index.php?search=%D0%92%D0%BE%D1%81%D1%81%D1%82%D0%B0%D0%BD%D0%B8%D0%B5%20%D0%BA%D0%B0%D0%BC%D0%BD%D0%B5%D0%B9%201935%20%D1%84%D0%B8%D0%BB%D1%8C%D0%BC","искать")</f>
        <v/>
      </c>
      <c r="N1089" s="3" t="n"/>
      <c r="O1089" s="2" t="n"/>
    </row>
    <row r="1090">
      <c r="A1090" s="2" t="n">
        <v>1089</v>
      </c>
      <c r="B1090" s="2" t="inlineStr">
        <is>
          <t>не сюжет</t>
        </is>
      </c>
      <c r="C1090" s="2" t="n">
        <v>9692</v>
      </c>
      <c r="D1090" s="3" t="inlineStr">
        <is>
          <t>Тисса горит</t>
        </is>
      </c>
      <c r="E1090" s="2" t="n">
        <v>1933</v>
      </c>
      <c r="F1090" s="2" t="inlineStr">
        <is>
          <t>кинофильм</t>
        </is>
      </c>
      <c r="G1090" s="2" t="n"/>
      <c r="H1090" s="2" t="n">
        <v>104</v>
      </c>
      <c r="I1090" s="2" t="inlineStr"/>
      <c r="J1090" s="2" t="inlineStr">
        <is>
          <t>да</t>
        </is>
      </c>
      <c r="K1090" s="3" t="inlineStr">
        <is>
          <t>Экранизация романа Белы Иллеша «Тисса горит» о венгерской революции 1919 года. Фильм на экраны не вышел.</t>
        </is>
      </c>
      <c r="L1090" s="2" t="inlineStr">
        <is>
          <t>Кино_СССР сводный каталог.xlsx: список фильмов (доп.)</t>
        </is>
      </c>
      <c r="M1090" s="2">
        <f>HYPERLINK("https://ru.wikipedia.org/w/index.php?search=%D0%A2%D0%B8%D1%81%D1%81%D0%B0%20%D0%B3%D0%BE%D1%80%D0%B8%D1%82%201933%20%D1%84%D0%B8%D0%BB%D1%8C%D0%BC","искать")</f>
        <v/>
      </c>
      <c r="N1090" s="3" t="n"/>
      <c r="O1090" s="2" t="n"/>
    </row>
    <row r="1091">
      <c r="A1091" s="2" t="n">
        <v>1090</v>
      </c>
      <c r="B1091" s="2" t="inlineStr">
        <is>
          <t>не сюжет</t>
        </is>
      </c>
      <c r="C1091" s="2" t="n">
        <v>9872</v>
      </c>
      <c r="D1091" s="3" t="inlineStr">
        <is>
          <t>Голубое и зелёное</t>
        </is>
      </c>
      <c r="E1091" s="2" t="n">
        <v>1970</v>
      </c>
      <c r="F1091" s="2" t="inlineStr">
        <is>
          <t>телефильм</t>
        </is>
      </c>
      <c r="G1091" s="2" t="inlineStr">
        <is>
          <t>Киностудия им. А.Довженко</t>
        </is>
      </c>
      <c r="H1091" s="2" t="n">
        <v>104</v>
      </c>
      <c r="I1091" s="2" t="inlineStr"/>
      <c r="J1091" s="2" t="inlineStr">
        <is>
          <t>да</t>
        </is>
      </c>
      <c r="K1091" s="3" t="inlineStr">
        <is>
          <t>Телефильм. Экранизация одноименного рассказа Юрия Казакова: о любви, о юности и грустном прощании с ней.</t>
        </is>
      </c>
      <c r="L1091" s="2" t="inlineStr">
        <is>
          <t>https://www.kino-teatr.ru/short/movie/sov/12579/annot/</t>
        </is>
      </c>
      <c r="M1091" s="2">
        <f>HYPERLINK("https://ru.wikipedia.org/w/index.php?search=%D0%93%D0%BE%D0%BB%D1%83%D0%B1%D0%BE%D0%B5%20%D0%B8%20%D0%B7%D0%B5%D0%BB%D1%91%D0%BD%D0%BE%D0%B5%201970%20%D1%84%D0%B8%D0%BB%D1%8C%D0%BC","искать")</f>
        <v/>
      </c>
      <c r="N1091" s="3" t="n"/>
      <c r="O1091" s="2" t="n"/>
    </row>
    <row r="1092">
      <c r="A1092" s="2" t="n">
        <v>1091</v>
      </c>
      <c r="B1092" s="2" t="inlineStr">
        <is>
          <t>не сюжет</t>
        </is>
      </c>
      <c r="C1092" s="2" t="n">
        <v>7530</v>
      </c>
      <c r="D1092" s="3" t="inlineStr">
        <is>
          <t>Долгая память</t>
        </is>
      </c>
      <c r="E1092" s="2" t="n">
        <v>1985</v>
      </c>
      <c r="F1092" s="2" t="inlineStr">
        <is>
          <t>телефильм</t>
        </is>
      </c>
      <c r="G1092" s="2" t="inlineStr">
        <is>
          <t>Одесская к/с</t>
        </is>
      </c>
      <c r="H1092" s="2" t="n">
        <v>105</v>
      </c>
      <c r="I1092" s="2" t="inlineStr"/>
      <c r="J1092" s="2" t="inlineStr">
        <is>
          <t>да</t>
        </is>
      </c>
      <c r="K1092" s="3" t="inlineStr">
        <is>
          <t>Телефильм о пионере-герое, разведчике Володе Дубинине, погибшем в бою с немецко-фашистскими захватчиками.</t>
        </is>
      </c>
      <c r="L1092" s="2" t="inlineStr">
        <is>
          <t>Кино_СССР сводный каталог.xlsx: список телефильмов</t>
        </is>
      </c>
      <c r="M1092" s="2">
        <f>HYPERLINK("https://ru.wikipedia.org/w/index.php?search=%D0%94%D0%BE%D0%BB%D0%B3%D0%B0%D1%8F%20%D0%BF%D0%B0%D0%BC%D1%8F%D1%82%D1%8C%201985%20%D1%84%D0%B8%D0%BB%D1%8C%D0%BC","искать")</f>
        <v/>
      </c>
      <c r="N1092" s="3" t="n"/>
      <c r="O1092" s="2" t="n"/>
    </row>
    <row r="1093">
      <c r="A1093" s="2" t="n">
        <v>1092</v>
      </c>
      <c r="B1093" s="2" t="inlineStr">
        <is>
          <t>не сюжет</t>
        </is>
      </c>
      <c r="C1093" s="2" t="n">
        <v>9841</v>
      </c>
      <c r="D1093" s="3" t="inlineStr">
        <is>
          <t>Происшествие</t>
        </is>
      </c>
      <c r="E1093" s="2" t="n">
        <v>1967</v>
      </c>
      <c r="F1093" s="2" t="inlineStr">
        <is>
          <t>кинофильм</t>
        </is>
      </c>
      <c r="G1093" s="2" t="inlineStr">
        <is>
          <t>Мосфильм</t>
        </is>
      </c>
      <c r="H1093" s="2" t="n">
        <v>105</v>
      </c>
      <c r="I1093" s="2" t="inlineStr"/>
      <c r="J1093" s="2" t="inlineStr">
        <is>
          <t>да</t>
        </is>
      </c>
      <c r="K1093" s="3" t="inlineStr">
        <is>
          <t>Игровой киноплакат призывает взрослых к ответственности за недисциплинированное поведение детей на улице.</t>
        </is>
      </c>
      <c r="L1093" s="2" t="inlineStr">
        <is>
          <t>https://www.kino-teatr.ru/short/movie/sov/86232/annot/</t>
        </is>
      </c>
      <c r="M1093" s="2">
        <f>HYPERLINK("https://ru.wikipedia.org/w/index.php?search=%D0%9F%D1%80%D0%BE%D0%B8%D1%81%D1%88%D0%B5%D1%81%D1%82%D0%B2%D0%B8%D0%B5%201967%20%D1%84%D0%B8%D0%BB%D1%8C%D0%BC","искать")</f>
        <v/>
      </c>
      <c r="N1093" s="3" t="n"/>
      <c r="O1093" s="2" t="n"/>
    </row>
    <row r="1094">
      <c r="A1094" s="2" t="n">
        <v>1093</v>
      </c>
      <c r="B1094" s="2" t="inlineStr">
        <is>
          <t>не сюжет</t>
        </is>
      </c>
      <c r="C1094" s="2" t="n">
        <v>10943</v>
      </c>
      <c r="D1094" s="3" t="inlineStr">
        <is>
          <t>Кориолан</t>
        </is>
      </c>
      <c r="E1094" s="2" t="n">
        <v>1982</v>
      </c>
      <c r="F1094" s="2" t="inlineStr">
        <is>
          <t>фильм-спектакль</t>
        </is>
      </c>
      <c r="G1094" s="2" t="inlineStr">
        <is>
          <t>студия т/ф “Ереван”</t>
        </is>
      </c>
      <c r="H1094" s="2" t="n">
        <v>105</v>
      </c>
      <c r="I1094" s="2" t="inlineStr"/>
      <c r="J1094" s="2" t="inlineStr">
        <is>
          <t>да</t>
        </is>
      </c>
      <c r="K1094" s="3" t="inlineStr">
        <is>
          <t>Телевизионная версия спектакля Государственного театра имени Г.Сундукяна, удостоенного Госпремии Армении.</t>
        </is>
      </c>
      <c r="L1094" s="2" t="inlineStr">
        <is>
          <t>https://www.kino-teatr.ru/teatr/movie/10902/annot/</t>
        </is>
      </c>
      <c r="M1094" s="2">
        <f>HYPERLINK("https://ru.wikipedia.org/w/index.php?search=%D0%9A%D0%BE%D1%80%D0%B8%D0%BE%D0%BB%D0%B0%D0%BD%201982%20%D1%84%D0%B8%D0%BB%D1%8C%D0%BC","искать")</f>
        <v/>
      </c>
      <c r="N1094" s="3" t="n"/>
      <c r="O1094" s="2" t="n"/>
    </row>
    <row r="1095">
      <c r="A1095" s="2" t="n">
        <v>1094</v>
      </c>
      <c r="B1095" s="2" t="inlineStr">
        <is>
          <t>не сюжет</t>
        </is>
      </c>
      <c r="C1095" s="2" t="n">
        <v>7623</v>
      </c>
      <c r="D1095" s="3" t="inlineStr">
        <is>
          <t>Загадка кубачинского браслета</t>
        </is>
      </c>
      <c r="E1095" s="2" t="n">
        <v>1982</v>
      </c>
      <c r="F1095" s="2" t="inlineStr">
        <is>
          <t>телефильм</t>
        </is>
      </c>
      <c r="G1095" s="2" t="n"/>
      <c r="H1095" s="2" t="n">
        <v>106</v>
      </c>
      <c r="I1095" s="2" t="inlineStr"/>
      <c r="J1095" s="2" t="inlineStr">
        <is>
          <t>да</t>
        </is>
      </c>
      <c r="K1095" s="3" t="inlineStr">
        <is>
          <t>По автобиографической повести Ахмедхана Абу-Бакара "Браслет с камнями". Действие происходит в 1950-е годы.</t>
        </is>
      </c>
      <c r="L1095" s="2" t="inlineStr">
        <is>
          <t>Кино_СССР сводный каталог.xlsx: список телефильмов</t>
        </is>
      </c>
      <c r="M1095" s="2">
        <f>HYPERLINK("https://ru.wikipedia.org/w/index.php?search=%D0%97%D0%B0%D0%B3%D0%B0%D0%B4%D0%BA%D0%B0%20%D0%BA%D1%83%D0%B1%D0%B0%D1%87%D0%B8%D0%BD%D1%81%D0%BA%D0%BE%D0%B3%D0%BE%20%D0%B1%D1%80%D0%B0%D1%81%D0%BB%D0%B5%D1%82%D0%B0%201982%20%D1%84%D0%B8%D0%BB%D1%8C%D0%BC","искать")</f>
        <v/>
      </c>
      <c r="N1095" s="3" t="n"/>
      <c r="O1095" s="2" t="n"/>
    </row>
    <row r="1096">
      <c r="A1096" s="2" t="n">
        <v>1095</v>
      </c>
      <c r="B1096" s="2" t="inlineStr">
        <is>
          <t>не сюжет</t>
        </is>
      </c>
      <c r="C1096" s="2" t="n">
        <v>7687</v>
      </c>
      <c r="D1096" s="3" t="inlineStr">
        <is>
          <t>Исключения без правил (киноальманах)</t>
        </is>
      </c>
      <c r="E1096" s="2" t="n">
        <v>1986</v>
      </c>
      <c r="F1096" s="2" t="inlineStr">
        <is>
          <t>телефильм</t>
        </is>
      </c>
      <c r="G1096" s="2" t="n"/>
      <c r="H1096" s="2" t="n">
        <v>106</v>
      </c>
      <c r="I1096" s="2" t="inlineStr"/>
      <c r="J1096" s="2" t="inlineStr">
        <is>
          <t>да</t>
        </is>
      </c>
      <c r="K1096" s="3" t="inlineStr">
        <is>
          <t>Альманах короткометражных художественных фильмов по рассказам Михаила Мишина из сборника "Пауза в мажоре".</t>
        </is>
      </c>
      <c r="L1096" s="2" t="inlineStr">
        <is>
          <t>Кино_СССР сводный каталог.xlsx: список телефильмов</t>
        </is>
      </c>
      <c r="M1096" s="2">
        <f>HYPERLINK("https://ru.wikipedia.org/w/index.php?search=%D0%98%D1%81%D0%BA%D0%BB%D1%8E%D1%87%D0%B5%D0%BD%D0%B8%D1%8F%20%D0%B1%D0%B5%D0%B7%20%D0%BF%D1%80%D0%B0%D0%B2%D0%B8%D0%BB%20%28%D0%BA%D0%B8%D0%BD%D0%BE%D0%B0%D0%BB%D1%8C%D0%BC%D0%B0%D0%BD%D0%B0%D1%85%29%201986%20%D1%84%D0%B8%D0%BB%D1%8C%D0%BC","искать")</f>
        <v/>
      </c>
      <c r="N1096" s="3" t="n"/>
      <c r="O1096" s="2" t="n"/>
    </row>
    <row r="1097">
      <c r="A1097" s="2" t="n">
        <v>1096</v>
      </c>
      <c r="B1097" s="2" t="inlineStr">
        <is>
          <t>не сюжет</t>
        </is>
      </c>
      <c r="C1097" s="2" t="n">
        <v>8308</v>
      </c>
      <c r="D1097" s="3" t="inlineStr">
        <is>
          <t>Свеаборг</t>
        </is>
      </c>
      <c r="E1097" s="2" t="n">
        <v>1972</v>
      </c>
      <c r="F1097" s="2" t="inlineStr">
        <is>
          <t>телефильм</t>
        </is>
      </c>
      <c r="G1097" s="2" t="n"/>
      <c r="H1097" s="2" t="n">
        <v>106</v>
      </c>
      <c r="I1097" s="2" t="inlineStr"/>
      <c r="J1097" s="2" t="inlineStr">
        <is>
          <t>да</t>
        </is>
      </c>
      <c r="K1097" s="3" t="inlineStr">
        <is>
          <t>Телефильм о восстании русских солдат, офицеров и финских красногвардейцев в крепости Свеаборг в 1906 году.</t>
        </is>
      </c>
      <c r="L1097" s="2" t="inlineStr">
        <is>
          <t>Кино_СССР сводный каталог.xlsx: список телефильмов</t>
        </is>
      </c>
      <c r="M1097" s="2">
        <f>HYPERLINK("https://ru.wikipedia.org/w/index.php?search=%D0%A1%D0%B2%D0%B5%D0%B0%D0%B1%D0%BE%D1%80%D0%B3%201972%20%D1%84%D0%B8%D0%BB%D1%8C%D0%BC","искать")</f>
        <v/>
      </c>
      <c r="N1097" s="3" t="n"/>
      <c r="O1097" s="2" t="n"/>
    </row>
    <row r="1098">
      <c r="A1098" s="2" t="n">
        <v>1097</v>
      </c>
      <c r="B1098" s="2" t="inlineStr">
        <is>
          <t>не сюжет</t>
        </is>
      </c>
      <c r="C1098" s="2" t="n">
        <v>9640</v>
      </c>
      <c r="D1098" s="3" t="inlineStr">
        <is>
          <t>Серая мышь</t>
        </is>
      </c>
      <c r="E1098" s="2" t="n">
        <v>1988</v>
      </c>
      <c r="F1098" s="2" t="inlineStr">
        <is>
          <t>кинофильм</t>
        </is>
      </c>
      <c r="G1098" s="2" t="n"/>
      <c r="H1098" s="2" t="n">
        <v>106</v>
      </c>
      <c r="I1098" s="2" t="inlineStr"/>
      <c r="J1098" s="2" t="inlineStr">
        <is>
          <t>да</t>
        </is>
      </c>
      <c r="K1098" s="3" t="inlineStr">
        <is>
          <t>Драматическая история нравственного падения бывшего директора завода, пристрастившегося к "зелёному змию".</t>
        </is>
      </c>
      <c r="L1098" s="2" t="inlineStr">
        <is>
          <t>Кино_СССР сводный каталог.xlsx: список фильмов (доп.)</t>
        </is>
      </c>
      <c r="M1098" s="2">
        <f>HYPERLINK("https://ru.wikipedia.org/w/index.php?search=%D0%A1%D0%B5%D1%80%D0%B0%D1%8F%20%D0%BC%D1%8B%D1%88%D1%8C%201988%20%D1%84%D0%B8%D0%BB%D1%8C%D0%BC","искать")</f>
        <v/>
      </c>
      <c r="N1098" s="3" t="n"/>
      <c r="O1098" s="2" t="n"/>
    </row>
    <row r="1099">
      <c r="A1099" s="2" t="n">
        <v>1098</v>
      </c>
      <c r="B1099" s="2" t="inlineStr">
        <is>
          <t>не сюжет</t>
        </is>
      </c>
      <c r="C1099" s="2" t="n">
        <v>10235</v>
      </c>
      <c r="D1099" s="3" t="inlineStr">
        <is>
          <t>Верю в тебя</t>
        </is>
      </c>
      <c r="E1099" s="2" t="n">
        <v>1968</v>
      </c>
      <c r="F1099" s="2" t="inlineStr">
        <is>
          <t>фильм-спектакль</t>
        </is>
      </c>
      <c r="G1099" s="2" t="inlineStr">
        <is>
          <t>Ленинградское телевидение</t>
        </is>
      </c>
      <c r="H1099" s="2" t="n">
        <v>106</v>
      </c>
      <c r="I1099" s="2" t="inlineStr"/>
      <c r="J1099" s="2" t="inlineStr">
        <is>
          <t>да</t>
        </is>
      </c>
      <c r="K1099" s="3" t="inlineStr">
        <is>
          <t>По пьесе В.Коростылева.
О том, как вера в человека делает его более смелым, целеустремленным, талантливым.</t>
        </is>
      </c>
      <c r="L1099" s="2" t="inlineStr">
        <is>
          <t>https://www.kino-teatr.ru/teatr/movie/92968/annot/</t>
        </is>
      </c>
      <c r="M1099" s="2">
        <f>HYPERLINK("https://ru.wikipedia.org/w/index.php?search=%D0%92%D0%B5%D1%80%D1%8E%20%D0%B2%20%D1%82%D0%B5%D0%B1%D1%8F%201968%20%D1%84%D0%B8%D0%BB%D1%8C%D0%BC","искать")</f>
        <v/>
      </c>
      <c r="N1099" s="3" t="n"/>
      <c r="O1099" s="2" t="n"/>
    </row>
    <row r="1100">
      <c r="A1100" s="2" t="n">
        <v>1099</v>
      </c>
      <c r="B1100" s="2" t="inlineStr">
        <is>
          <t>не сюжет</t>
        </is>
      </c>
      <c r="C1100" s="2" t="n">
        <v>10318</v>
      </c>
      <c r="D1100" s="3" t="inlineStr">
        <is>
          <t>Министры и сыщики</t>
        </is>
      </c>
      <c r="E1100" s="2" t="n">
        <v>1969</v>
      </c>
      <c r="F1100" s="2" t="inlineStr">
        <is>
          <t>фильм-спектакль</t>
        </is>
      </c>
      <c r="G1100" s="2" t="inlineStr">
        <is>
          <t>Центральное телевидение</t>
        </is>
      </c>
      <c r="H1100" s="2" t="n">
        <v>106</v>
      </c>
      <c r="I1100" s="2" t="inlineStr"/>
      <c r="J1100" s="2" t="inlineStr">
        <is>
          <t>да</t>
        </is>
      </c>
      <c r="K1100" s="3" t="inlineStr">
        <is>
          <t>Телеспектакль по рассказу Артура Конан Дойла "Второе пятно" и произведению Агаты Кристи "Авгиевы конюшни".</t>
        </is>
      </c>
      <c r="L1100" s="2" t="inlineStr">
        <is>
          <t>https://www.kino-teatr.ru/teatr/movie/111624/annot/</t>
        </is>
      </c>
      <c r="M1100" s="2">
        <f>HYPERLINK("https://ru.wikipedia.org/w/index.php?search=%D0%9C%D0%B8%D0%BD%D0%B8%D1%81%D1%82%D1%80%D1%8B%20%D0%B8%20%D1%81%D1%8B%D1%89%D0%B8%D0%BA%D0%B8%201969%20%D1%84%D0%B8%D0%BB%D1%8C%D0%BC","искать")</f>
        <v/>
      </c>
      <c r="N1100" s="3" t="n"/>
      <c r="O1100" s="2" t="n"/>
    </row>
    <row r="1101">
      <c r="A1101" s="2" t="n">
        <v>1100</v>
      </c>
      <c r="B1101" s="2" t="inlineStr">
        <is>
          <t>не сюжет</t>
        </is>
      </c>
      <c r="C1101" s="2" t="n">
        <v>10871</v>
      </c>
      <c r="D1101" s="3" t="inlineStr">
        <is>
          <t>Этот фантастический мир. Выпуск 3</t>
        </is>
      </c>
      <c r="E1101" s="2" t="n">
        <v>1980</v>
      </c>
      <c r="F1101" s="2" t="inlineStr">
        <is>
          <t>фильм-спектакль</t>
        </is>
      </c>
      <c r="G1101" s="2" t="inlineStr">
        <is>
          <t>Главная редакция программ для детей и юношества ЦТ</t>
        </is>
      </c>
      <c r="H1101" s="2" t="n">
        <v>106</v>
      </c>
      <c r="I1101" s="2" t="inlineStr"/>
      <c r="J1101" s="2" t="inlineStr">
        <is>
          <t>да</t>
        </is>
      </c>
      <c r="K1101" s="3" t="inlineStr">
        <is>
          <t>В этом выпуске были инсценированы "Блистающий мир" Александра Грина и "Малыш" Аркадия и Бориса Стругацких.</t>
        </is>
      </c>
      <c r="L1101" s="2" t="inlineStr">
        <is>
          <t>https://www.kino-teatr.ru/teatr/movie/16824/annot/</t>
        </is>
      </c>
      <c r="M1101" s="2">
        <f>HYPERLINK("https://ru.wikipedia.org/w/index.php?search=%D0%AD%D1%82%D0%BE%D1%82%20%D1%84%D0%B0%D0%BD%D1%82%D0%B0%D1%81%D1%82%D0%B8%D1%87%D0%B5%D1%81%D0%BA%D0%B8%D0%B9%20%D0%BC%D0%B8%D1%80.%20%D0%92%D1%8B%D0%BF%D1%83%D1%81%D0%BA%203%201980%20%D1%84%D0%B8%D0%BB%D1%8C%D0%BC","искать")</f>
        <v/>
      </c>
      <c r="N1101" s="3" t="n"/>
      <c r="O1101" s="2" t="n"/>
    </row>
    <row r="1102">
      <c r="A1102" s="2" t="n">
        <v>1101</v>
      </c>
      <c r="B1102" s="2" t="inlineStr">
        <is>
          <t>не сюжет</t>
        </is>
      </c>
      <c r="C1102" s="2" t="n">
        <v>11391</v>
      </c>
      <c r="D1102" s="3" t="inlineStr">
        <is>
          <t>Прости, народ православный!</t>
        </is>
      </c>
      <c r="E1102" s="2" t="n">
        <v>1990</v>
      </c>
      <c r="F1102" s="2" t="inlineStr">
        <is>
          <t>фильм-опера/балет</t>
        </is>
      </c>
      <c r="G1102" s="2" t="n"/>
      <c r="H1102" s="2" t="n">
        <v>106</v>
      </c>
      <c r="I1102" s="2" t="inlineStr"/>
      <c r="J1102" s="2" t="inlineStr">
        <is>
          <t>да</t>
        </is>
      </c>
      <c r="K1102" s="3" t="inlineStr">
        <is>
          <t>Фильм-балет о Иване Грозном по либретто и хореографии руководителя театра 'Золотой балет' Виктора Шкилько.</t>
        </is>
      </c>
      <c r="L1102" s="2" t="inlineStr">
        <is>
          <t>Кино_СССР телефильмы и пропуски включить в базу.xlsx</t>
        </is>
      </c>
      <c r="M1102" s="2">
        <f>HYPERLINK("https://ru.wikipedia.org/w/index.php?search=%D0%9F%D1%80%D0%BE%D1%81%D1%82%D0%B8%2C%20%D0%BD%D0%B0%D1%80%D0%BE%D0%B4%20%D0%BF%D1%80%D0%B0%D0%B2%D0%BE%D1%81%D0%BB%D0%B0%D0%B2%D0%BD%D1%8B%D0%B9%21%201990%20%D1%84%D0%B8%D0%BB%D1%8C%D0%BC","искать")</f>
        <v/>
      </c>
      <c r="N1102" s="3" t="n"/>
      <c r="O1102" s="2" t="n"/>
    </row>
    <row r="1103">
      <c r="A1103" s="2" t="n">
        <v>1102</v>
      </c>
      <c r="B1103" s="2" t="inlineStr">
        <is>
          <t>не сюжет</t>
        </is>
      </c>
      <c r="C1103" s="2" t="n">
        <v>7604</v>
      </c>
      <c r="D1103" s="3" t="inlineStr">
        <is>
          <t>Жил-был настройщик</t>
        </is>
      </c>
      <c r="E1103" s="2" t="n">
        <v>1979</v>
      </c>
      <c r="F1103" s="2" t="inlineStr">
        <is>
          <t>телефильм</t>
        </is>
      </c>
      <c r="G1103" s="2" t="n"/>
      <c r="H1103" s="2" t="n">
        <v>107</v>
      </c>
      <c r="I1103" s="2" t="inlineStr"/>
      <c r="J1103" s="2" t="inlineStr">
        <is>
          <t>да</t>
        </is>
      </c>
      <c r="K1103" s="3" t="inlineStr">
        <is>
          <t>Фильм повествует о двух днях из жизни скромного, немного чудаковатого настройщика музыкальных инструментов.</t>
        </is>
      </c>
      <c r="L1103" s="2" t="inlineStr">
        <is>
          <t>Кино_СССР сводный каталог.xlsx: список телефильмов</t>
        </is>
      </c>
      <c r="M1103" s="2">
        <f>HYPERLINK("https://ru.wikipedia.org/w/index.php?search=%D0%96%D0%B8%D0%BB-%D0%B1%D1%8B%D0%BB%20%D0%BD%D0%B0%D1%81%D1%82%D1%80%D0%BE%D0%B9%D1%89%D0%B8%D0%BA%201979%20%D1%84%D0%B8%D0%BB%D1%8C%D0%BC","искать")</f>
        <v/>
      </c>
      <c r="N1103" s="3" t="n"/>
      <c r="O1103" s="2" t="n"/>
    </row>
    <row r="1104">
      <c r="A1104" s="2" t="n">
        <v>1103</v>
      </c>
      <c r="B1104" s="2" t="inlineStr">
        <is>
          <t>не сюжет</t>
        </is>
      </c>
      <c r="C1104" s="2" t="n">
        <v>7826</v>
      </c>
      <c r="D1104" s="3" t="inlineStr">
        <is>
          <t>Любимые роли</t>
        </is>
      </c>
      <c r="E1104" s="2" t="n">
        <v>1974</v>
      </c>
      <c r="F1104" s="2" t="inlineStr">
        <is>
          <t>телефильм</t>
        </is>
      </c>
      <c r="G1104" s="2" t="n"/>
      <c r="H1104" s="2" t="n">
        <v>107</v>
      </c>
      <c r="I1104" s="2" t="inlineStr"/>
      <c r="J1104" s="2" t="inlineStr">
        <is>
          <t>да</t>
        </is>
      </c>
      <c r="K1104" s="3" t="inlineStr">
        <is>
          <t>Телевизионный фильм, посвященный творчеству Народной артистке СССР Анастасии Платоновне Зуевой (1896-1986).</t>
        </is>
      </c>
      <c r="L1104" s="2" t="inlineStr">
        <is>
          <t>Кино_СССР сводный каталог.xlsx: список телефильмов</t>
        </is>
      </c>
      <c r="M1104" s="2">
        <f>HYPERLINK("https://ru.wikipedia.org/w/index.php?search=%D0%9B%D1%8E%D0%B1%D0%B8%D0%BC%D1%8B%D0%B5%20%D1%80%D0%BE%D0%BB%D0%B8%201974%20%D1%84%D0%B8%D0%BB%D1%8C%D0%BC","искать")</f>
        <v/>
      </c>
      <c r="N1104" s="3" t="n"/>
      <c r="O1104" s="2" t="n"/>
    </row>
    <row r="1105">
      <c r="A1105" s="2" t="n">
        <v>1104</v>
      </c>
      <c r="B1105" s="2" t="inlineStr">
        <is>
          <t>не сюжет</t>
        </is>
      </c>
      <c r="C1105" s="2" t="n">
        <v>8712</v>
      </c>
      <c r="D1105" s="3" t="inlineStr">
        <is>
          <t>Дорога в Парадиз</t>
        </is>
      </c>
      <c r="E1105" s="2" t="n">
        <v>1991</v>
      </c>
      <c r="F1105" s="2" t="inlineStr">
        <is>
          <t>кинофильм</t>
        </is>
      </c>
      <c r="G1105" s="2" t="n"/>
      <c r="H1105" s="2" t="n">
        <v>107</v>
      </c>
      <c r="I1105" s="2" t="inlineStr"/>
      <c r="J1105" s="2" t="inlineStr">
        <is>
          <t>да</t>
        </is>
      </c>
      <c r="K1105" s="3" t="inlineStr">
        <is>
          <t>Главный герой хочет осчастливить всех людей разом, не замечая, что делает несчастным каждого в отдельности.</t>
        </is>
      </c>
      <c r="L1105" s="2" t="inlineStr">
        <is>
          <t>Кино_СССР сводный каталог.xlsx: список фильмов (доп.)</t>
        </is>
      </c>
      <c r="M1105" s="2">
        <f>HYPERLINK("https://ru.wikipedia.org/w/index.php?search=%D0%94%D0%BE%D1%80%D0%BE%D0%B3%D0%B0%20%D0%B2%20%D0%9F%D0%B0%D1%80%D0%B0%D0%B4%D0%B8%D0%B7%201991%20%D1%84%D0%B8%D0%BB%D1%8C%D0%BC","искать")</f>
        <v/>
      </c>
      <c r="N1105" s="3" t="n"/>
      <c r="O1105" s="2" t="n"/>
    </row>
    <row r="1106">
      <c r="A1106" s="2" t="n">
        <v>1105</v>
      </c>
      <c r="B1106" s="2" t="inlineStr">
        <is>
          <t>не сюжет</t>
        </is>
      </c>
      <c r="C1106" s="2" t="n">
        <v>9644</v>
      </c>
      <c r="D1106" s="3" t="inlineStr">
        <is>
          <t>Сказка на ночь</t>
        </is>
      </c>
      <c r="E1106" s="2" t="n">
        <v>1991</v>
      </c>
      <c r="F1106" s="2" t="inlineStr">
        <is>
          <t>кинофильм</t>
        </is>
      </c>
      <c r="G1106" s="2" t="n"/>
      <c r="H1106" s="2" t="n">
        <v>107</v>
      </c>
      <c r="I1106" s="2" t="inlineStr"/>
      <c r="J1106" s="2" t="inlineStr">
        <is>
          <t>да</t>
        </is>
      </c>
      <c r="K1106" s="3" t="inlineStr">
        <is>
          <t>В центре психологической драмы - история братьев-близнецов: военного атташе и работника уголовного розыска.</t>
        </is>
      </c>
      <c r="L1106" s="2" t="inlineStr">
        <is>
          <t>Кино_СССР сводный каталог.xlsx: список фильмов (доп.)</t>
        </is>
      </c>
      <c r="M1106" s="2">
        <f>HYPERLINK("https://ru.wikipedia.org/w/index.php?search=%D0%A1%D0%BA%D0%B0%D0%B7%D0%BA%D0%B0%20%D0%BD%D0%B0%20%D0%BD%D0%BE%D1%87%D1%8C%201991%20%D1%84%D0%B8%D0%BB%D1%8C%D0%BC","искать")</f>
        <v/>
      </c>
      <c r="N1106" s="3" t="n"/>
      <c r="O1106" s="2" t="n"/>
    </row>
    <row r="1107">
      <c r="A1107" s="2" t="n">
        <v>1106</v>
      </c>
      <c r="B1107" s="2" t="inlineStr">
        <is>
          <t>не сюжет</t>
        </is>
      </c>
      <c r="C1107" s="2" t="n">
        <v>10012</v>
      </c>
      <c r="D1107" s="3" t="inlineStr">
        <is>
          <t>Жажда</t>
        </is>
      </c>
      <c r="E1107" s="2" t="n">
        <v>1986</v>
      </c>
      <c r="F1107" s="2" t="inlineStr">
        <is>
          <t>телефильм</t>
        </is>
      </c>
      <c r="G1107" s="2" t="inlineStr">
        <is>
          <t>Пермтелефильм</t>
        </is>
      </c>
      <c r="H1107" s="2" t="n">
        <v>107</v>
      </c>
      <c r="I1107" s="2" t="inlineStr"/>
      <c r="J1107" s="2" t="inlineStr">
        <is>
          <t>да</t>
        </is>
      </c>
      <c r="K1107" s="3" t="inlineStr">
        <is>
          <t>18-минутная кинофантасмагория о тлетворном влиянии "зеленого змия".
Курсовая работа Сергея Лепихина (ВГИК).</t>
        </is>
      </c>
      <c r="L1107" s="2" t="inlineStr">
        <is>
          <t>https://www.kino-teatr.ru/short/movie/sov/16975/annot/</t>
        </is>
      </c>
      <c r="M1107" s="2">
        <f>HYPERLINK("https://ru.wikipedia.org/w/index.php?search=%D0%96%D0%B0%D0%B6%D0%B4%D0%B0%201986%20%D1%84%D0%B8%D0%BB%D1%8C%D0%BC","искать")</f>
        <v/>
      </c>
      <c r="N1107" s="3" t="n"/>
      <c r="O1107" s="2" t="n"/>
    </row>
    <row r="1108">
      <c r="A1108" s="2" t="n">
        <v>1107</v>
      </c>
      <c r="B1108" s="2" t="inlineStr">
        <is>
          <t>не сюжет</t>
        </is>
      </c>
      <c r="C1108" s="2" t="n">
        <v>10332</v>
      </c>
      <c r="D1108" s="3" t="inlineStr">
        <is>
          <t>Страницы живые</t>
        </is>
      </c>
      <c r="E1108" s="2" t="n">
        <v>1969</v>
      </c>
      <c r="F1108" s="2" t="inlineStr">
        <is>
          <t>фильм-спектакль</t>
        </is>
      </c>
      <c r="G1108" s="2" t="inlineStr">
        <is>
          <t>Гл. ред. лит.-драм. программ</t>
        </is>
      </c>
      <c r="H1108" s="2" t="n">
        <v>107</v>
      </c>
      <c r="I1108" s="2" t="inlineStr"/>
      <c r="J1108" s="2" t="inlineStr">
        <is>
          <t>да</t>
        </is>
      </c>
      <c r="K1108" s="3" t="inlineStr">
        <is>
          <t>Драматическая композиция по переписке К.Маркса и Ф.Энгельса. Включены воспоминания о К.Марксе и Ф.Энгельсе.</t>
        </is>
      </c>
      <c r="L1108" s="2" t="inlineStr">
        <is>
          <t>https://www.kino-teatr.ru/teatr/movie/93061/annot/</t>
        </is>
      </c>
      <c r="M1108" s="2">
        <f>HYPERLINK("https://ru.wikipedia.org/w/index.php?search=%D0%A1%D1%82%D1%80%D0%B0%D0%BD%D0%B8%D1%86%D1%8B%20%D0%B6%D0%B8%D0%B2%D1%8B%D0%B5%201969%20%D1%84%D0%B8%D0%BB%D1%8C%D0%BC","искать")</f>
        <v/>
      </c>
      <c r="N1108" s="3" t="n"/>
      <c r="O1108" s="2" t="n"/>
    </row>
    <row r="1109">
      <c r="A1109" s="2" t="n">
        <v>1108</v>
      </c>
      <c r="B1109" s="2" t="inlineStr">
        <is>
          <t>не сюжет</t>
        </is>
      </c>
      <c r="C1109" s="2" t="n">
        <v>10500</v>
      </c>
      <c r="D1109" s="3" t="inlineStr">
        <is>
          <t>Звёздный час</t>
        </is>
      </c>
      <c r="E1109" s="2" t="n">
        <v>1973</v>
      </c>
      <c r="F1109" s="2" t="inlineStr">
        <is>
          <t>фильм-спектакль</t>
        </is>
      </c>
      <c r="G1109" s="2" t="inlineStr">
        <is>
          <t>Центральное телевидение</t>
        </is>
      </c>
      <c r="H1109" s="2" t="n">
        <v>107</v>
      </c>
      <c r="I1109" s="2" t="inlineStr"/>
      <c r="J1109" s="2" t="inlineStr">
        <is>
          <t>да</t>
        </is>
      </c>
      <c r="K1109" s="3" t="inlineStr">
        <is>
          <t>По пьесе эстонского драматурга Ханса Луйка.
Действие происходит в Петрограде в канун Октябрьской революции.</t>
        </is>
      </c>
      <c r="L1109" s="2" t="inlineStr">
        <is>
          <t>https://www.kino-teatr.ru/teatr/movie/16366/annot/</t>
        </is>
      </c>
      <c r="M1109" s="2">
        <f>HYPERLINK("https://ru.wikipedia.org/w/index.php?search=%D0%97%D0%B2%D1%91%D0%B7%D0%B4%D0%BD%D1%8B%D0%B9%20%D1%87%D0%B0%D1%81%201973%20%D1%84%D0%B8%D0%BB%D1%8C%D0%BC","искать")</f>
        <v/>
      </c>
      <c r="N1109" s="3" t="n"/>
      <c r="O1109" s="2" t="n"/>
    </row>
    <row r="1110">
      <c r="A1110" s="2" t="n">
        <v>1109</v>
      </c>
      <c r="B1110" s="2" t="inlineStr">
        <is>
          <t>не сюжет</t>
        </is>
      </c>
      <c r="C1110" s="2" t="n">
        <v>7470</v>
      </c>
      <c r="D1110" s="3" t="inlineStr">
        <is>
          <t>Далёкий голос кукушки</t>
        </is>
      </c>
      <c r="E1110" s="2" t="n">
        <v>1985</v>
      </c>
      <c r="F1110" s="2" t="inlineStr">
        <is>
          <t>телефильм</t>
        </is>
      </c>
      <c r="G1110" s="2" t="n"/>
      <c r="H1110" s="2" t="n">
        <v>108</v>
      </c>
      <c r="I1110" s="2" t="inlineStr"/>
      <c r="J1110" s="2" t="inlineStr">
        <is>
          <t>да</t>
        </is>
      </c>
      <c r="K1110" s="3" t="inlineStr">
        <is>
          <t>По новеллам Анатолия Колесниченко. Драматические, лирические и производственные проблемы в жизни людей села.</t>
        </is>
      </c>
      <c r="L1110" s="2" t="inlineStr">
        <is>
          <t>Кино_СССР сводный каталог.xlsx: список телефильмов</t>
        </is>
      </c>
      <c r="M1110" s="2">
        <f>HYPERLINK("https://ru.wikipedia.org/w/index.php?search=%D0%94%D0%B0%D0%BB%D1%91%D0%BA%D0%B8%D0%B9%20%D0%B3%D0%BE%D0%BB%D0%BE%D1%81%20%D0%BA%D1%83%D0%BA%D1%83%D1%88%D0%BA%D0%B8%201985%20%D1%84%D0%B8%D0%BB%D1%8C%D0%BC","искать")</f>
        <v/>
      </c>
      <c r="N1110" s="3" t="n"/>
      <c r="O1110" s="2" t="n"/>
    </row>
    <row r="1111">
      <c r="A1111" s="2" t="n">
        <v>1110</v>
      </c>
      <c r="B1111" s="2" t="inlineStr">
        <is>
          <t>не сюжет</t>
        </is>
      </c>
      <c r="C1111" s="2" t="n">
        <v>7540</v>
      </c>
      <c r="D1111" s="3" t="inlineStr">
        <is>
          <t>Дом отца твоего</t>
        </is>
      </c>
      <c r="E1111" s="2" t="n">
        <v>1986</v>
      </c>
      <c r="F1111" s="2" t="inlineStr">
        <is>
          <t>телефильм</t>
        </is>
      </c>
      <c r="G1111" s="2" t="n"/>
      <c r="H1111" s="2" t="n">
        <v>108</v>
      </c>
      <c r="I1111" s="2" t="inlineStr"/>
      <c r="J1111" s="2" t="inlineStr">
        <is>
          <t>да</t>
        </is>
      </c>
      <c r="K1111" s="3" t="inlineStr">
        <is>
          <t>О большой семье, отношения в которой регулируются отцом, человеком честным, но иногда слишком прямолинейным.</t>
        </is>
      </c>
      <c r="L1111" s="2" t="inlineStr">
        <is>
          <t>Кино_СССР сводный каталог.xlsx: список телефильмов</t>
        </is>
      </c>
      <c r="M1111" s="2">
        <f>HYPERLINK("https://ru.wikipedia.org/w/index.php?search=%D0%94%D0%BE%D0%BC%20%D0%BE%D1%82%D1%86%D0%B0%20%D1%82%D0%B2%D0%BE%D0%B5%D0%B3%D0%BE%201986%20%D1%84%D0%B8%D0%BB%D1%8C%D0%BC","искать")</f>
        <v/>
      </c>
      <c r="N1111" s="3" t="n"/>
      <c r="O1111" s="2" t="n"/>
    </row>
    <row r="1112">
      <c r="A1112" s="2" t="n">
        <v>1111</v>
      </c>
      <c r="B1112" s="2" t="inlineStr">
        <is>
          <t>не сюжет</t>
        </is>
      </c>
      <c r="C1112" s="2" t="n">
        <v>8650</v>
      </c>
      <c r="D1112" s="3" t="inlineStr">
        <is>
          <t>Вершины не спят</t>
        </is>
      </c>
      <c r="E1112" s="2" t="n">
        <v>1987</v>
      </c>
      <c r="F1112" s="2" t="inlineStr">
        <is>
          <t>кинофильм</t>
        </is>
      </c>
      <c r="G1112" s="2" t="n"/>
      <c r="H1112" s="2" t="n">
        <v>108</v>
      </c>
      <c r="I1112" s="2" t="inlineStr"/>
      <c r="J1112" s="2" t="inlineStr">
        <is>
          <t>да</t>
        </is>
      </c>
      <c r="K1112" s="3" t="inlineStr">
        <is>
          <t>Экранизация одноимённого романа Алима Кешокова. Действие картины происходит до и во время Гражданской войны.</t>
        </is>
      </c>
      <c r="L1112" s="2" t="inlineStr">
        <is>
          <t>Кино_СССР сводный каталог.xlsx: список фильмов (доп.)</t>
        </is>
      </c>
      <c r="M1112" s="2">
        <f>HYPERLINK("https://ru.wikipedia.org/w/index.php?search=%D0%92%D0%B5%D1%80%D1%88%D0%B8%D0%BD%D1%8B%20%D0%BD%D0%B5%20%D1%81%D0%BF%D1%8F%D1%82%201987%20%D1%84%D0%B8%D0%BB%D1%8C%D0%BC","искать")</f>
        <v/>
      </c>
      <c r="N1112" s="3" t="n"/>
      <c r="O1112" s="2" t="n"/>
    </row>
    <row r="1113">
      <c r="A1113" s="2" t="n">
        <v>1112</v>
      </c>
      <c r="B1113" s="2" t="inlineStr">
        <is>
          <t>не сюжет</t>
        </is>
      </c>
      <c r="C1113" s="2" t="n">
        <v>8965</v>
      </c>
      <c r="D1113" s="3" t="inlineStr">
        <is>
          <t>Посредине мира</t>
        </is>
      </c>
      <c r="E1113" s="2" t="n">
        <v>1990</v>
      </c>
      <c r="F1113" s="2" t="inlineStr">
        <is>
          <t>кинофильм</t>
        </is>
      </c>
      <c r="G1113" s="2" t="n"/>
      <c r="H1113" s="2" t="n">
        <v>108</v>
      </c>
      <c r="I1113" s="2" t="inlineStr"/>
      <c r="J1113" s="2" t="inlineStr">
        <is>
          <t>да</t>
        </is>
      </c>
      <c r="K1113" s="3" t="inlineStr">
        <is>
          <t>Фильм о ценности семьи, о традициях, которые надо беречь и передавать. Консультант фильма Марина Тарковская.</t>
        </is>
      </c>
      <c r="L1113" s="2" t="inlineStr">
        <is>
          <t>Кино_СССР сводный каталог.xlsx: список фильмов (доп.)</t>
        </is>
      </c>
      <c r="M1113" s="2">
        <f>HYPERLINK("https://ru.wikipedia.org/w/index.php?search=%D0%9F%D0%BE%D1%81%D1%80%D0%B5%D0%B4%D0%B8%D0%BD%D0%B5%20%D0%BC%D0%B8%D1%80%D0%B0%201990%20%D1%84%D0%B8%D0%BB%D1%8C%D0%BC","искать")</f>
        <v/>
      </c>
      <c r="N1113" s="3" t="n"/>
      <c r="O1113" s="2" t="n"/>
    </row>
    <row r="1114">
      <c r="A1114" s="2" t="n">
        <v>1113</v>
      </c>
      <c r="B1114" s="2" t="inlineStr">
        <is>
          <t>не сюжет</t>
        </is>
      </c>
      <c r="C1114" s="2" t="n">
        <v>10471</v>
      </c>
      <c r="D1114" s="3" t="inlineStr">
        <is>
          <t>Стихи о Прекрасной даме</t>
        </is>
      </c>
      <c r="E1114" s="2" t="n">
        <v>1972</v>
      </c>
      <c r="F1114" s="2" t="inlineStr">
        <is>
          <t>фильм-спектакль</t>
        </is>
      </c>
      <c r="G1114" s="2" t="n"/>
      <c r="H1114" s="2" t="n">
        <v>108</v>
      </c>
      <c r="I1114" s="2" t="inlineStr"/>
      <c r="J1114" s="2" t="inlineStr">
        <is>
          <t>да</t>
        </is>
      </c>
      <c r="K1114" s="3" t="inlineStr">
        <is>
          <t>Звучат стихи А.Блока, письма и воспоминания Л.Д.менделеевой-Блок, отрывки из книги В.Орлова "Пути и судьбы".</t>
        </is>
      </c>
      <c r="L1114" s="2" t="inlineStr">
        <is>
          <t>https://www.kino-teatr.ru/teatr/movie/93062/annot/</t>
        </is>
      </c>
      <c r="M1114" s="2">
        <f>HYPERLINK("https://ru.wikipedia.org/w/index.php?search=%D0%A1%D1%82%D0%B8%D1%85%D0%B8%20%D0%BE%20%D0%9F%D1%80%D0%B5%D0%BA%D1%80%D0%B0%D1%81%D0%BD%D0%BE%D0%B9%20%D0%B4%D0%B0%D0%BC%D0%B5%201972%20%D1%84%D0%B8%D0%BB%D1%8C%D0%BC","искать")</f>
        <v/>
      </c>
      <c r="N1114" s="3" t="n"/>
      <c r="O1114" s="2" t="n"/>
    </row>
    <row r="1115">
      <c r="A1115" s="2" t="n">
        <v>1114</v>
      </c>
      <c r="B1115" s="2" t="inlineStr">
        <is>
          <t>не сюжет</t>
        </is>
      </c>
      <c r="C1115" s="2" t="n">
        <v>10494</v>
      </c>
      <c r="D1115" s="3" t="inlineStr">
        <is>
          <t>Детство. Отрочество. Юность</t>
        </is>
      </c>
      <c r="E1115" s="2" t="n">
        <v>1973</v>
      </c>
      <c r="F1115" s="2" t="inlineStr">
        <is>
          <t>фильм-спектакль</t>
        </is>
      </c>
      <c r="G1115" s="2" t="n"/>
      <c r="H1115" s="2" t="n">
        <v>108</v>
      </c>
      <c r="I1115" s="2" t="inlineStr"/>
      <c r="J1115" s="2" t="inlineStr">
        <is>
          <t>да</t>
        </is>
      </c>
      <c r="K1115" s="3" t="inlineStr">
        <is>
          <t>По одноименной повести Л.Н. Толстого.
1-я часть — «Детство», 2-я часть — «Отрочество», 3-я часть — «Юность».</t>
        </is>
      </c>
      <c r="L1115" s="2" t="inlineStr">
        <is>
          <t>https://www.kino-teatr.ru/teatr/movie/1810/annot/</t>
        </is>
      </c>
      <c r="M1115" s="2">
        <f>HYPERLINK("https://ru.wikipedia.org/w/index.php?search=%D0%94%D0%B5%D1%82%D1%81%D1%82%D0%B2%D0%BE.%20%D0%9E%D1%82%D1%80%D0%BE%D1%87%D0%B5%D1%81%D1%82%D0%B2%D0%BE.%20%D0%AE%D0%BD%D0%BE%D1%81%D1%82%D1%8C%201973%20%D1%84%D0%B8%D0%BB%D1%8C%D0%BC","искать")</f>
        <v/>
      </c>
      <c r="N1115" s="3" t="n"/>
      <c r="O1115" s="2" t="n"/>
    </row>
    <row r="1116">
      <c r="A1116" s="2" t="n">
        <v>1115</v>
      </c>
      <c r="B1116" s="2" t="inlineStr">
        <is>
          <t>не сюжет</t>
        </is>
      </c>
      <c r="C1116" s="2" t="n">
        <v>10948</v>
      </c>
      <c r="D1116" s="3" t="inlineStr">
        <is>
          <t>Мистерия Буфф</t>
        </is>
      </c>
      <c r="E1116" s="2" t="n">
        <v>1982</v>
      </c>
      <c r="F1116" s="2" t="inlineStr">
        <is>
          <t>фильм-спектакль</t>
        </is>
      </c>
      <c r="G1116" s="2" t="inlineStr">
        <is>
          <t>Экран</t>
        </is>
      </c>
      <c r="H1116" s="2" t="n">
        <v>108</v>
      </c>
      <c r="I1116" s="2" t="inlineStr"/>
      <c r="J1116" s="2" t="inlineStr">
        <is>
          <t>да</t>
        </is>
      </c>
      <c r="K1116" s="3" t="inlineStr">
        <is>
          <t>По одноименной пьесе В.Маяковского в постановке Государственного академического театра имени Евг.Вахтангова.</t>
        </is>
      </c>
      <c r="L1116" s="2" t="inlineStr">
        <is>
          <t>https://www.kino-teatr.ru/teatr/movie/81569/annot/</t>
        </is>
      </c>
      <c r="M1116" s="2">
        <f>HYPERLINK("https://ru.wikipedia.org/w/index.php?search=%D0%9C%D0%B8%D1%81%D1%82%D0%B5%D1%80%D0%B8%D1%8F%20%D0%91%D1%83%D1%84%D1%84%201982%20%D1%84%D0%B8%D0%BB%D1%8C%D0%BC","искать")</f>
        <v/>
      </c>
      <c r="N1116" s="3" t="n"/>
      <c r="O1116" s="2" t="n"/>
    </row>
    <row r="1117">
      <c r="A1117" s="2" t="n">
        <v>1116</v>
      </c>
      <c r="B1117" s="2" t="inlineStr">
        <is>
          <t>не сюжет</t>
        </is>
      </c>
      <c r="C1117" s="2" t="n">
        <v>7217</v>
      </c>
      <c r="D1117" s="3" t="inlineStr">
        <is>
          <t>Аптекарша</t>
        </is>
      </c>
      <c r="E1117" s="2" t="n">
        <v>1963</v>
      </c>
      <c r="F1117" s="2" t="inlineStr">
        <is>
          <t>телефильм</t>
        </is>
      </c>
      <c r="G1117" s="2" t="n"/>
      <c r="H1117" s="2" t="n">
        <v>109</v>
      </c>
      <c r="I1117" s="2" t="inlineStr"/>
      <c r="J1117" s="2" t="inlineStr">
        <is>
          <t>да</t>
        </is>
      </c>
      <c r="K1117" s="3" t="inlineStr">
        <is>
          <t>По мотивам рассказа Владимира Амлинского. О девушке Лене, приехавшей на северную стройку работать аптекаршей.</t>
        </is>
      </c>
      <c r="L1117" s="2" t="inlineStr">
        <is>
          <t>Кино_СССР сводный каталог.xlsx: список телефильмов</t>
        </is>
      </c>
      <c r="M1117" s="2">
        <f>HYPERLINK("https://ru.wikipedia.org/w/index.php?search=%D0%90%D0%BF%D1%82%D0%B5%D0%BA%D0%B0%D1%80%D1%88%D0%B0%201963%20%D1%84%D0%B8%D0%BB%D1%8C%D0%BC","искать")</f>
        <v/>
      </c>
      <c r="N1117" s="3" t="n"/>
      <c r="O1117" s="2" t="n"/>
    </row>
    <row r="1118">
      <c r="A1118" s="2" t="n">
        <v>1117</v>
      </c>
      <c r="B1118" s="2" t="inlineStr">
        <is>
          <t>не сюжет</t>
        </is>
      </c>
      <c r="C1118" s="2" t="n">
        <v>7554</v>
      </c>
      <c r="D1118" s="3" t="inlineStr">
        <is>
          <t>Дорога через руины</t>
        </is>
      </c>
      <c r="E1118" s="2" t="n">
        <v>1989</v>
      </c>
      <c r="F1118" s="2" t="inlineStr">
        <is>
          <t>телефильм</t>
        </is>
      </c>
      <c r="G1118" s="2" t="n"/>
      <c r="H1118" s="2" t="n">
        <v>109</v>
      </c>
      <c r="I1118" s="2" t="inlineStr"/>
      <c r="J1118" s="2" t="inlineStr">
        <is>
          <t>да</t>
        </is>
      </c>
      <c r="K1118" s="3" t="inlineStr">
        <is>
          <t>О драматических событиях на Украине в первые дни чернобыльской трагедии. По мотивам повести Михаила Шевченко.</t>
        </is>
      </c>
      <c r="L1118" s="2" t="inlineStr">
        <is>
          <t>Кино_СССР сводный каталог.xlsx: список телефильмов</t>
        </is>
      </c>
      <c r="M1118" s="2">
        <f>HYPERLINK("https://ru.wikipedia.org/w/index.php?search=%D0%94%D0%BE%D1%80%D0%BE%D0%B3%D0%B0%20%D1%87%D0%B5%D1%80%D0%B5%D0%B7%20%D1%80%D1%83%D0%B8%D0%BD%D1%8B%201989%20%D1%84%D0%B8%D0%BB%D1%8C%D0%BC","искать")</f>
        <v/>
      </c>
      <c r="N1118" s="3" t="n"/>
      <c r="O1118" s="2" t="n"/>
    </row>
    <row r="1119">
      <c r="A1119" s="2" t="n">
        <v>1118</v>
      </c>
      <c r="B1119" s="2" t="inlineStr">
        <is>
          <t>не сюжет</t>
        </is>
      </c>
      <c r="C1119" s="2" t="n">
        <v>10132</v>
      </c>
      <c r="D1119" s="3" t="inlineStr">
        <is>
          <t>Укрощение строптивой</t>
        </is>
      </c>
      <c r="E1119" s="2" t="n">
        <v>1964</v>
      </c>
      <c r="F1119" s="2" t="inlineStr">
        <is>
          <t>фильм-спектакль</t>
        </is>
      </c>
      <c r="G1119" s="2" t="inlineStr">
        <is>
          <t>Главная редакция музыкальных программ ЦТ, Подборки фильмов, экранизации Шекспира</t>
        </is>
      </c>
      <c r="H1119" s="2" t="n">
        <v>109</v>
      </c>
      <c r="I1119" s="2" t="inlineStr"/>
      <c r="J1119" s="2" t="inlineStr">
        <is>
          <t>да</t>
        </is>
      </c>
      <c r="K1119" s="3" t="inlineStr">
        <is>
          <t>Музыкально-драматическая постановка. В основе - фрагменты оперы В.Шебалина по одноименной комедии В.Шекспира.</t>
        </is>
      </c>
      <c r="L1119" s="2" t="inlineStr">
        <is>
          <t>https://www.kino-teatr.ru/teatr/movie/82997/annot/</t>
        </is>
      </c>
      <c r="M1119" s="2">
        <f>HYPERLINK("https://ru.wikipedia.org/w/index.php?search=%D0%A3%D0%BA%D1%80%D0%BE%D1%89%D0%B5%D0%BD%D0%B8%D0%B5%20%D1%81%D1%82%D1%80%D0%BE%D0%BF%D1%82%D0%B8%D0%B2%D0%BE%D0%B9%201964%20%D1%84%D0%B8%D0%BB%D1%8C%D0%BC","искать")</f>
        <v/>
      </c>
      <c r="N1119" s="3" t="n"/>
      <c r="O1119" s="2" t="n"/>
    </row>
    <row r="1120">
      <c r="A1120" s="2" t="n">
        <v>1119</v>
      </c>
      <c r="B1120" s="2" t="inlineStr">
        <is>
          <t>не сюжет</t>
        </is>
      </c>
      <c r="C1120" s="2" t="n">
        <v>10964</v>
      </c>
      <c r="D1120" s="3" t="inlineStr">
        <is>
          <t>Ричард III</t>
        </is>
      </c>
      <c r="E1120" s="2" t="n">
        <v>1982</v>
      </c>
      <c r="F1120" s="2" t="inlineStr">
        <is>
          <t>фильм-спектакль</t>
        </is>
      </c>
      <c r="G1120" s="2" t="inlineStr">
        <is>
          <t>Главная редакция литературно-драматических программ ЦТ</t>
        </is>
      </c>
      <c r="H1120" s="2" t="n">
        <v>109</v>
      </c>
      <c r="I1120" s="2" t="inlineStr"/>
      <c r="J1120" s="2" t="inlineStr">
        <is>
          <t>да</t>
        </is>
      </c>
      <c r="K1120" s="3" t="inlineStr">
        <is>
          <t>Телеспектакль по одноименной пьесе В.Шекспира; перевод - М.Донской.
В основе спектакль театра им. Вахтангова.</t>
        </is>
      </c>
      <c r="L1120" s="2" t="inlineStr">
        <is>
          <t>https://www.kino-teatr.ru/teatr/movie/6012/annot/</t>
        </is>
      </c>
      <c r="M1120" s="2">
        <f>HYPERLINK("https://ru.wikipedia.org/w/index.php?search=%D0%A0%D0%B8%D1%87%D0%B0%D1%80%D0%B4%20III%201982%20%D1%84%D0%B8%D0%BB%D1%8C%D0%BC","искать")</f>
        <v/>
      </c>
      <c r="N1120" s="3" t="n"/>
      <c r="O1120" s="2" t="n"/>
    </row>
    <row r="1121">
      <c r="A1121" s="2" t="n">
        <v>1120</v>
      </c>
      <c r="B1121" s="2" t="inlineStr">
        <is>
          <t>не сюжет</t>
        </is>
      </c>
      <c r="C1121" s="2" t="n">
        <v>7367</v>
      </c>
      <c r="D1121" s="3" t="inlineStr">
        <is>
          <t>Волшебная сила (киноальманах)</t>
        </is>
      </c>
      <c r="E1121" s="2" t="n">
        <v>1970</v>
      </c>
      <c r="F1121" s="2" t="inlineStr">
        <is>
          <t>телефильм</t>
        </is>
      </c>
      <c r="G1121" s="2" t="inlineStr">
        <is>
          <t>Ленфильм</t>
        </is>
      </c>
      <c r="H1121" s="2" t="n">
        <v>110</v>
      </c>
      <c r="I1121" s="2" t="inlineStr"/>
      <c r="J1121" s="2" t="inlineStr">
        <is>
          <t>да</t>
        </is>
      </c>
      <c r="K1121" s="3" t="inlineStr">
        <is>
          <t>Телевизионный фильм в трех новеллах: "Мстители из 2-го "В", "Здравствуй, Пушкин!", "Волшебная сила искусства".</t>
        </is>
      </c>
      <c r="L1121" s="2" t="inlineStr">
        <is>
          <t>Кино_СССР сводный каталог.xlsx: список телефильмов</t>
        </is>
      </c>
      <c r="M1121" s="2">
        <f>HYPERLINK("https://ru.wikipedia.org/w/index.php?search=%D0%92%D0%BE%D0%BB%D1%88%D0%B5%D0%B1%D0%BD%D0%B0%D1%8F%20%D1%81%D0%B8%D0%BB%D0%B0%20%28%D0%BA%D0%B8%D0%BD%D0%BE%D0%B0%D0%BB%D1%8C%D0%BC%D0%B0%D0%BD%D0%B0%D1%85%29%201970%20%D1%84%D0%B8%D0%BB%D1%8C%D0%BC","искать")</f>
        <v/>
      </c>
      <c r="N1121" s="3" t="n"/>
      <c r="O1121" s="2" t="n"/>
    </row>
    <row r="1122">
      <c r="A1122" s="2" t="n">
        <v>1121</v>
      </c>
      <c r="B1122" s="2" t="inlineStr">
        <is>
          <t>не сюжет</t>
        </is>
      </c>
      <c r="C1122" s="2" t="n">
        <v>8284</v>
      </c>
      <c r="D1122" s="3" t="inlineStr">
        <is>
          <t>Россия молодая</t>
        </is>
      </c>
      <c r="E1122" s="2" t="n">
        <v>1981</v>
      </c>
      <c r="F1122" s="2" t="inlineStr">
        <is>
          <t>телефильм</t>
        </is>
      </c>
      <c r="G1122" s="2" t="n"/>
      <c r="H1122" s="2" t="n">
        <v>110</v>
      </c>
      <c r="I1122" s="2" t="inlineStr"/>
      <c r="J1122" s="2" t="inlineStr">
        <is>
          <t>да</t>
        </is>
      </c>
      <c r="K1122" s="3" t="inlineStr">
        <is>
          <t>Экранизация исторического романа Ю. Германа. Телесериал посвящён созданию русского флота на рубеже XVIII века.</t>
        </is>
      </c>
      <c r="L1122" s="2" t="inlineStr">
        <is>
          <t>Кино_СССР сводный каталог.xlsx: список телефильмов</t>
        </is>
      </c>
      <c r="M1122" s="2">
        <f>HYPERLINK("https://ru.wikipedia.org/w/index.php?search=%D0%A0%D0%BE%D1%81%D1%81%D0%B8%D1%8F%20%D0%BC%D0%BE%D0%BB%D0%BE%D0%B4%D0%B0%D1%8F%201981%20%D1%84%D0%B8%D0%BB%D1%8C%D0%BC","искать")</f>
        <v/>
      </c>
      <c r="N1122" s="3" t="n"/>
      <c r="O1122" s="2" t="n"/>
    </row>
    <row r="1123">
      <c r="A1123" s="2" t="n">
        <v>1122</v>
      </c>
      <c r="B1123" s="2" t="inlineStr">
        <is>
          <t>не сюжет</t>
        </is>
      </c>
      <c r="C1123" s="2" t="n">
        <v>8412</v>
      </c>
      <c r="D1123" s="3" t="inlineStr">
        <is>
          <t>Стратегия риска</t>
        </is>
      </c>
      <c r="E1123" s="2" t="n">
        <v>1978</v>
      </c>
      <c r="F1123" s="2" t="inlineStr">
        <is>
          <t>телефильм</t>
        </is>
      </c>
      <c r="G1123" s="2" t="n"/>
      <c r="H1123" s="2" t="n">
        <v>110</v>
      </c>
      <c r="I1123" s="2" t="inlineStr"/>
      <c r="J1123" s="2" t="inlineStr">
        <is>
          <t>да</t>
        </is>
      </c>
      <c r="K1123" s="3" t="inlineStr">
        <is>
          <t>Рассказ о нефтянике, прошедшем путь от руководителя геолого-разведочной экспедиции до главного геолога треста.</t>
        </is>
      </c>
      <c r="L1123" s="2" t="inlineStr">
        <is>
          <t>Кино_СССР сводный каталог.xlsx: список телефильмов</t>
        </is>
      </c>
      <c r="M1123" s="2">
        <f>HYPERLINK("https://ru.wikipedia.org/w/index.php?search=%D0%A1%D1%82%D1%80%D0%B0%D1%82%D0%B5%D0%B3%D0%B8%D1%8F%20%D1%80%D0%B8%D1%81%D0%BA%D0%B0%201978%20%D1%84%D0%B8%D0%BB%D1%8C%D0%BC","искать")</f>
        <v/>
      </c>
      <c r="N1123" s="3" t="n"/>
      <c r="O1123" s="2" t="n"/>
    </row>
    <row r="1124">
      <c r="A1124" s="2" t="n">
        <v>1123</v>
      </c>
      <c r="B1124" s="2" t="inlineStr">
        <is>
          <t>не сюжет</t>
        </is>
      </c>
      <c r="C1124" s="2" t="n">
        <v>10600</v>
      </c>
      <c r="D1124" s="3" t="inlineStr">
        <is>
          <t>Винсент</t>
        </is>
      </c>
      <c r="E1124" s="2" t="n">
        <v>1975</v>
      </c>
      <c r="F1124" s="2" t="inlineStr">
        <is>
          <t>фильм-спектакль</t>
        </is>
      </c>
      <c r="G1124" s="2" t="n"/>
      <c r="H1124" s="2" t="n">
        <v>110</v>
      </c>
      <c r="I1124" s="2" t="inlineStr"/>
      <c r="J1124" s="2" t="inlineStr">
        <is>
          <t>да</t>
        </is>
      </c>
      <c r="K1124" s="3" t="inlineStr">
        <is>
          <t>Спектакль по роману Ирвинга Стоуна "Жажда жизни" рассказывает о жизни знаменитого художника Винсента ван Гога.</t>
        </is>
      </c>
      <c r="L1124" s="2" t="inlineStr">
        <is>
          <t>https://www.kino-teatr.ru/teatr/movie/100597/annot/</t>
        </is>
      </c>
      <c r="M1124" s="2">
        <f>HYPERLINK("https://ru.wikipedia.org/w/index.php?search=%D0%92%D0%B8%D0%BD%D1%81%D0%B5%D0%BD%D1%82%201975%20%D1%84%D0%B8%D0%BB%D1%8C%D0%BC","искать")</f>
        <v/>
      </c>
      <c r="N1124" s="3" t="n"/>
      <c r="O1124" s="2" t="n"/>
    </row>
    <row r="1125">
      <c r="A1125" s="2" t="n">
        <v>1124</v>
      </c>
      <c r="B1125" s="2" t="inlineStr">
        <is>
          <t>не сюжет</t>
        </is>
      </c>
      <c r="C1125" s="2" t="n">
        <v>10756</v>
      </c>
      <c r="D1125" s="3" t="inlineStr">
        <is>
          <t>Месяц длинных дней</t>
        </is>
      </c>
      <c r="E1125" s="2" t="n">
        <v>1978</v>
      </c>
      <c r="F1125" s="2" t="inlineStr">
        <is>
          <t>фильм-спектакль</t>
        </is>
      </c>
      <c r="G1125" s="2" t="inlineStr">
        <is>
          <t>Гл. ред. литературно-драматических программ</t>
        </is>
      </c>
      <c r="H1125" s="2" t="n">
        <v>110</v>
      </c>
      <c r="I1125" s="2" t="inlineStr"/>
      <c r="J1125" s="2" t="inlineStr">
        <is>
          <t>да</t>
        </is>
      </c>
      <c r="K1125" s="3" t="inlineStr">
        <is>
          <t>О работниках типографии, совмещающих труд с лечением и отдыхом в профилактории, о разных человеческих судьбах.</t>
        </is>
      </c>
      <c r="L1125" s="2" t="inlineStr">
        <is>
          <t>https://www.kino-teatr.ru/teatr/movie/3855/annot/</t>
        </is>
      </c>
      <c r="M1125" s="2">
        <f>HYPERLINK("https://ru.wikipedia.org/w/index.php?search=%D0%9C%D0%B5%D1%81%D1%8F%D1%86%20%D0%B4%D0%BB%D0%B8%D0%BD%D0%BD%D1%8B%D1%85%20%D0%B4%D0%BD%D0%B5%D0%B9%201978%20%D1%84%D0%B8%D0%BB%D1%8C%D0%BC","искать")</f>
        <v/>
      </c>
      <c r="N1125" s="3" t="n"/>
      <c r="O1125" s="2" t="n"/>
    </row>
    <row r="1126">
      <c r="A1126" s="2" t="n">
        <v>1125</v>
      </c>
      <c r="B1126" s="2" t="inlineStr">
        <is>
          <t>не сюжет</t>
        </is>
      </c>
      <c r="C1126" s="2" t="n">
        <v>7707</v>
      </c>
      <c r="D1126" s="3" t="inlineStr">
        <is>
          <t>Кандидат</t>
        </is>
      </c>
      <c r="E1126" s="2" t="n">
        <v>1989</v>
      </c>
      <c r="F1126" s="2" t="inlineStr">
        <is>
          <t>телефильм</t>
        </is>
      </c>
      <c r="G1126" s="2" t="n"/>
      <c r="H1126" s="2" t="n">
        <v>111</v>
      </c>
      <c r="I1126" s="2" t="inlineStr"/>
      <c r="J1126" s="2" t="inlineStr">
        <is>
          <t>да</t>
        </is>
      </c>
      <c r="K1126" s="3" t="inlineStr">
        <is>
          <t>Фильм рассказывает, как власть и богатство развращает человека, и в итого он теряет все нравственные ориентиры.</t>
        </is>
      </c>
      <c r="L1126" s="2" t="inlineStr">
        <is>
          <t>Кино_СССР сводный каталог.xlsx: список телефильмов</t>
        </is>
      </c>
      <c r="M1126" s="2">
        <f>HYPERLINK("https://ru.wikipedia.org/w/index.php?search=%D0%9A%D0%B0%D0%BD%D0%B4%D0%B8%D0%B4%D0%B0%D1%82%201989%20%D1%84%D0%B8%D0%BB%D1%8C%D0%BC","искать")</f>
        <v/>
      </c>
      <c r="N1126" s="3" t="n"/>
      <c r="O1126" s="2" t="n"/>
    </row>
    <row r="1127">
      <c r="A1127" s="2" t="n">
        <v>1126</v>
      </c>
      <c r="B1127" s="2" t="inlineStr">
        <is>
          <t>не сюжет</t>
        </is>
      </c>
      <c r="C1127" s="2" t="n">
        <v>7907</v>
      </c>
      <c r="D1127" s="3" t="inlineStr">
        <is>
          <t>Мужские тревоги</t>
        </is>
      </c>
      <c r="E1127" s="2" t="n">
        <v>1986</v>
      </c>
      <c r="F1127" s="2" t="inlineStr">
        <is>
          <t>телефильм</t>
        </is>
      </c>
      <c r="G1127" s="2" t="inlineStr">
        <is>
          <t>ТО «Экран»</t>
        </is>
      </c>
      <c r="H1127" s="2" t="n">
        <v>111</v>
      </c>
      <c r="I1127" s="2" t="inlineStr"/>
      <c r="J1127" s="2" t="inlineStr">
        <is>
          <t>да</t>
        </is>
      </c>
      <c r="K1127" s="3" t="inlineStr">
        <is>
          <t>В центре фильма образ молодого офицера Андрея Киселева - командира акустиков противолодочного корабля "Ловкий".</t>
        </is>
      </c>
      <c r="L1127" s="2" t="inlineStr">
        <is>
          <t>Кино_СССР сводный каталог.xlsx: список телефильмов</t>
        </is>
      </c>
      <c r="M1127" s="2">
        <f>HYPERLINK("https://ru.wikipedia.org/w/index.php?search=%D0%9C%D1%83%D0%B6%D1%81%D0%BA%D0%B8%D0%B5%20%D1%82%D1%80%D0%B5%D0%B2%D0%BE%D0%B3%D0%B8%201986%20%D1%84%D0%B8%D0%BB%D1%8C%D0%BC","искать")</f>
        <v/>
      </c>
      <c r="N1127" s="3" t="n"/>
      <c r="O1127" s="2" t="n"/>
    </row>
    <row r="1128">
      <c r="A1128" s="2" t="n">
        <v>1127</v>
      </c>
      <c r="B1128" s="2" t="inlineStr">
        <is>
          <t>не сюжет</t>
        </is>
      </c>
      <c r="C1128" s="2" t="n">
        <v>9006</v>
      </c>
      <c r="D1128" s="3" t="inlineStr">
        <is>
          <t>Райская птичка</t>
        </is>
      </c>
      <c r="E1128" s="2" t="n">
        <v>1991</v>
      </c>
      <c r="F1128" s="2" t="inlineStr">
        <is>
          <t>кинофильм</t>
        </is>
      </c>
      <c r="G1128" s="2" t="n"/>
      <c r="H1128" s="2" t="n">
        <v>111</v>
      </c>
      <c r="I1128" s="2" t="inlineStr"/>
      <c r="J1128" s="2" t="inlineStr">
        <is>
          <t>да</t>
        </is>
      </c>
      <c r="K1128" s="3" t="inlineStr">
        <is>
          <t>О попытке юной сельской красавицы вырваться из привычного традиционного уклада предопределенной женской судьбы.</t>
        </is>
      </c>
      <c r="L1128" s="2" t="inlineStr">
        <is>
          <t>Кино_СССР сводный каталог.xlsx: список фильмов (доп.)</t>
        </is>
      </c>
      <c r="M1128" s="2">
        <f>HYPERLINK("https://ru.wikipedia.org/w/index.php?search=%D0%A0%D0%B0%D0%B9%D1%81%D0%BA%D0%B0%D1%8F%20%D0%BF%D1%82%D0%B8%D1%87%D0%BA%D0%B0%201991%20%D1%84%D0%B8%D0%BB%D1%8C%D0%BC","искать")</f>
        <v/>
      </c>
      <c r="N1128" s="3" t="n"/>
      <c r="O1128" s="2" t="n"/>
    </row>
    <row r="1129">
      <c r="A1129" s="2" t="n">
        <v>1128</v>
      </c>
      <c r="B1129" s="2" t="inlineStr">
        <is>
          <t>не сюжет</t>
        </is>
      </c>
      <c r="C1129" s="2" t="n">
        <v>9319</v>
      </c>
      <c r="D1129" s="3" t="inlineStr">
        <is>
          <t>Гулящие люди</t>
        </is>
      </c>
      <c r="E1129" s="2" t="n">
        <v>1988</v>
      </c>
      <c r="F1129" s="2" t="inlineStr">
        <is>
          <t>кинофильм</t>
        </is>
      </c>
      <c r="G1129" s="2" t="n"/>
      <c r="H1129" s="2" t="n">
        <v>111</v>
      </c>
      <c r="I1129" s="2" t="inlineStr"/>
      <c r="J1129" s="2" t="inlineStr">
        <is>
          <t>да</t>
        </is>
      </c>
      <c r="K1129" s="3" t="inlineStr">
        <is>
          <t>Cередина 17 века, допетровская Русь. Фильм повествует о полной приключений жизни Семёна. По роману А. Чапыгина.</t>
        </is>
      </c>
      <c r="L1129" s="2" t="inlineStr">
        <is>
          <t>Кино_СССР сводный каталог.xlsx: список фильмов (доп.)</t>
        </is>
      </c>
      <c r="M1129" s="2">
        <f>HYPERLINK("https://ru.wikipedia.org/w/index.php?search=%D0%93%D1%83%D0%BB%D1%8F%D1%89%D0%B8%D0%B5%20%D0%BB%D1%8E%D0%B4%D0%B8%201988%20%D1%84%D0%B8%D0%BB%D1%8C%D0%BC","искать")</f>
        <v/>
      </c>
      <c r="N1129" s="3" t="n"/>
      <c r="O1129" s="2" t="n"/>
    </row>
    <row r="1130">
      <c r="A1130" s="2" t="n">
        <v>1129</v>
      </c>
      <c r="B1130" s="2" t="inlineStr">
        <is>
          <t>не сюжет</t>
        </is>
      </c>
      <c r="C1130" s="2" t="n">
        <v>10145</v>
      </c>
      <c r="D1130" s="3" t="inlineStr">
        <is>
          <t>Мещане</t>
        </is>
      </c>
      <c r="E1130" s="2" t="n">
        <v>1965</v>
      </c>
      <c r="F1130" s="2" t="inlineStr">
        <is>
          <t>фильм-спектакль</t>
        </is>
      </c>
      <c r="G1130" s="2" t="inlineStr">
        <is>
          <t>Главная редакция литературно-драматических программ ЦТ</t>
        </is>
      </c>
      <c r="H1130" s="2" t="n">
        <v>111</v>
      </c>
      <c r="I1130" s="2" t="inlineStr"/>
      <c r="J1130" s="2" t="inlineStr">
        <is>
          <t>да</t>
        </is>
      </c>
      <c r="K1130" s="3" t="inlineStr">
        <is>
          <t>Фильм-спектакль по одноименной пьесе М.Горького в постановке Московского Художественного академического театра.</t>
        </is>
      </c>
      <c r="L1130" s="2" t="inlineStr">
        <is>
          <t>https://www.kino-teatr.ru/teatr/movie/37662/annot/</t>
        </is>
      </c>
      <c r="M1130" s="2">
        <f>HYPERLINK("https://ru.wikipedia.org/w/index.php?search=%D0%9C%D0%B5%D1%89%D0%B0%D0%BD%D0%B5%201965%20%D1%84%D0%B8%D0%BB%D1%8C%D0%BC","искать")</f>
        <v/>
      </c>
      <c r="N1130" s="3" t="n"/>
      <c r="O1130" s="2" t="n"/>
    </row>
    <row r="1131">
      <c r="A1131" s="2" t="n">
        <v>1130</v>
      </c>
      <c r="B1131" s="2" t="inlineStr">
        <is>
          <t>не сюжет</t>
        </is>
      </c>
      <c r="C1131" s="2" t="n">
        <v>10442</v>
      </c>
      <c r="D1131" s="3" t="inlineStr">
        <is>
          <t>Западня</t>
        </is>
      </c>
      <c r="E1131" s="2" t="n">
        <v>1972</v>
      </c>
      <c r="F1131" s="2" t="inlineStr">
        <is>
          <t>фильм-спектакль</t>
        </is>
      </c>
      <c r="G1131" s="2" t="inlineStr">
        <is>
          <t>Главная редакция лит-драматических программ</t>
        </is>
      </c>
      <c r="H1131" s="2" t="n">
        <v>111</v>
      </c>
      <c r="I1131" s="2" t="inlineStr"/>
      <c r="J1131" s="2" t="inlineStr">
        <is>
          <t>да</t>
        </is>
      </c>
      <c r="K1131" s="3" t="inlineStr">
        <is>
          <t>По мотивам одноименного романа Э.Золя в постановке Государственного академического театра имени Евг.Вахтангова.</t>
        </is>
      </c>
      <c r="L1131" s="2" t="inlineStr">
        <is>
          <t>https://www.kino-teatr.ru/teatr/movie/81431/annot/</t>
        </is>
      </c>
      <c r="M1131" s="2">
        <f>HYPERLINK("https://ru.wikipedia.org/w/index.php?search=%D0%97%D0%B0%D0%BF%D0%B0%D0%B4%D0%BD%D1%8F%201972%20%D1%84%D0%B8%D0%BB%D1%8C%D0%BC","искать")</f>
        <v/>
      </c>
      <c r="N1131" s="3" t="n"/>
      <c r="O1131" s="2" t="n"/>
    </row>
    <row r="1132">
      <c r="A1132" s="2" t="n">
        <v>1131</v>
      </c>
      <c r="B1132" s="2" t="inlineStr">
        <is>
          <t>не сюжет</t>
        </is>
      </c>
      <c r="C1132" s="2" t="n">
        <v>10521</v>
      </c>
      <c r="D1132" s="3" t="inlineStr">
        <is>
          <t>Сказки наших дней</t>
        </is>
      </c>
      <c r="E1132" s="2" t="n">
        <v>1973</v>
      </c>
      <c r="F1132" s="2" t="inlineStr">
        <is>
          <t>фильм-спектакль</t>
        </is>
      </c>
      <c r="G1132" s="2" t="inlineStr">
        <is>
          <t>Литовское телевидение</t>
        </is>
      </c>
      <c r="H1132" s="2" t="n">
        <v>111</v>
      </c>
      <c r="I1132" s="2" t="inlineStr"/>
      <c r="J1132" s="2" t="inlineStr">
        <is>
          <t>да</t>
        </is>
      </c>
      <c r="K1132" s="3" t="inlineStr">
        <is>
          <t>Три юмористические картинки из жизни: "Почему у аиста чёрная спина"; "Лягушка-путешественница", "Человек-чёрт".</t>
        </is>
      </c>
      <c r="L1132" s="2" t="inlineStr">
        <is>
          <t>https://www.kino-teatr.ru/teatr/movie/106370/annot/</t>
        </is>
      </c>
      <c r="M1132" s="2">
        <f>HYPERLINK("https://ru.wikipedia.org/w/index.php?search=%D0%A1%D0%BA%D0%B0%D0%B7%D0%BA%D0%B8%20%D0%BD%D0%B0%D1%88%D0%B8%D1%85%20%D0%B4%D0%BD%D0%B5%D0%B9%201973%20%D1%84%D0%B8%D0%BB%D1%8C%D0%BC","искать")</f>
        <v/>
      </c>
      <c r="N1132" s="3" t="n"/>
      <c r="O1132" s="2" t="n"/>
    </row>
    <row r="1133">
      <c r="A1133" s="2" t="n">
        <v>1132</v>
      </c>
      <c r="B1133" s="2" t="inlineStr">
        <is>
          <t>не сюжет</t>
        </is>
      </c>
      <c r="C1133" s="2" t="n">
        <v>10774</v>
      </c>
      <c r="D1133" s="3" t="inlineStr">
        <is>
          <t>Сладкоголосая птица юности</t>
        </is>
      </c>
      <c r="E1133" s="2" t="n">
        <v>1978</v>
      </c>
      <c r="F1133" s="2" t="inlineStr">
        <is>
          <t>фильм-спектакль</t>
        </is>
      </c>
      <c r="G1133" s="2" t="inlineStr">
        <is>
          <t>ТО "Экран"</t>
        </is>
      </c>
      <c r="H1133" s="2" t="n">
        <v>111</v>
      </c>
      <c r="I1133" s="2" t="inlineStr"/>
      <c r="J1133" s="2" t="inlineStr">
        <is>
          <t>да</t>
        </is>
      </c>
      <c r="K1133" s="3" t="inlineStr">
        <is>
          <t>Фильм-спектакль по одноименной пьесе Т.Уильямса в постановке Московского Художественного академического театра.</t>
        </is>
      </c>
      <c r="L1133" s="2" t="inlineStr">
        <is>
          <t>https://www.kino-teatr.ru/teatr/movie/17143/annot/</t>
        </is>
      </c>
      <c r="M1133" s="2">
        <f>HYPERLINK("https://ru.wikipedia.org/w/index.php?search=%D0%A1%D0%BB%D0%B0%D0%B4%D0%BA%D0%BE%D0%B3%D0%BE%D0%BB%D0%BE%D1%81%D0%B0%D1%8F%20%D0%BF%D1%82%D0%B8%D1%86%D0%B0%20%D1%8E%D0%BD%D0%BE%D1%81%D1%82%D0%B8%201978%20%D1%84%D0%B8%D0%BB%D1%8C%D0%BC","искать")</f>
        <v/>
      </c>
      <c r="N1133" s="3" t="n"/>
      <c r="O1133" s="2" t="n"/>
    </row>
    <row r="1134">
      <c r="A1134" s="2" t="n">
        <v>1133</v>
      </c>
      <c r="B1134" s="2" t="inlineStr">
        <is>
          <t>не сюжет</t>
        </is>
      </c>
      <c r="C1134" s="2" t="n">
        <v>10801</v>
      </c>
      <c r="D1134" s="3" t="inlineStr">
        <is>
          <t>Дефицит на Мазаева</t>
        </is>
      </c>
      <c r="E1134" s="2" t="n">
        <v>1979</v>
      </c>
      <c r="F1134" s="2" t="inlineStr">
        <is>
          <t>фильм-спектакль</t>
        </is>
      </c>
      <c r="G1134" s="2" t="inlineStr">
        <is>
          <t>Главная редакция литературно-драматический программ ЦТ</t>
        </is>
      </c>
      <c r="H1134" s="2" t="n">
        <v>111</v>
      </c>
      <c r="I1134" s="2" t="inlineStr"/>
      <c r="J1134" s="2" t="inlineStr">
        <is>
          <t>да</t>
        </is>
      </c>
      <c r="K1134" s="3" t="inlineStr">
        <is>
          <t>Герой - переводчик Мазаев, одинокий чудак, добрый и отзывчивый человек, живущий по законам романтика-идеалиста.</t>
        </is>
      </c>
      <c r="L1134" s="2" t="inlineStr">
        <is>
          <t>https://www.kino-teatr.ru/teatr/movie/1811/annot/</t>
        </is>
      </c>
      <c r="M1134" s="2">
        <f>HYPERLINK("https://ru.wikipedia.org/w/index.php?search=%D0%94%D0%B5%D1%84%D0%B8%D1%86%D0%B8%D1%82%20%D0%BD%D0%B0%20%D0%9C%D0%B0%D0%B7%D0%B0%D0%B5%D0%B2%D0%B0%201979%20%D1%84%D0%B8%D0%BB%D1%8C%D0%BC","искать")</f>
        <v/>
      </c>
      <c r="N1134" s="3" t="n"/>
      <c r="O1134" s="2" t="n"/>
    </row>
    <row r="1135">
      <c r="A1135" s="2" t="n">
        <v>1134</v>
      </c>
      <c r="B1135" s="2" t="inlineStr">
        <is>
          <t>не сюжет</t>
        </is>
      </c>
      <c r="C1135" s="2" t="n">
        <v>7324</v>
      </c>
      <c r="D1135" s="3" t="inlineStr">
        <is>
          <t>Весёлые истории</t>
        </is>
      </c>
      <c r="E1135" s="2" t="n">
        <v>1973</v>
      </c>
      <c r="F1135" s="2" t="inlineStr">
        <is>
          <t>телефильм</t>
        </is>
      </c>
      <c r="G1135" s="2" t="inlineStr">
        <is>
          <t>Литовская к/с</t>
        </is>
      </c>
      <c r="H1135" s="2" t="n">
        <v>112</v>
      </c>
      <c r="I1135" s="2" t="inlineStr"/>
      <c r="J1135" s="2" t="inlineStr">
        <is>
          <t>да</t>
        </is>
      </c>
      <c r="K1135" s="3" t="inlineStr">
        <is>
          <t>Телефильм по рассказам Николая Носова.О жизни школьников начала 70-х. Новеллы "Непоседа", "Плутишка", "Телефон".</t>
        </is>
      </c>
      <c r="L1135" s="2" t="inlineStr">
        <is>
          <t>Кино_СССР сводный каталог.xlsx: список телефильмов</t>
        </is>
      </c>
      <c r="M1135" s="2">
        <f>HYPERLINK("https://ru.wikipedia.org/w/index.php?search=%D0%92%D0%B5%D1%81%D1%91%D0%BB%D1%8B%D0%B5%20%D0%B8%D1%81%D1%82%D0%BE%D1%80%D0%B8%D0%B8%201973%20%D1%84%D0%B8%D0%BB%D1%8C%D0%BC","искать")</f>
        <v/>
      </c>
      <c r="N1135" s="3" t="n"/>
      <c r="O1135" s="2" t="n"/>
    </row>
    <row r="1136">
      <c r="A1136" s="2" t="n">
        <v>1135</v>
      </c>
      <c r="B1136" s="2" t="inlineStr">
        <is>
          <t>не сюжет</t>
        </is>
      </c>
      <c r="C1136" s="2" t="n">
        <v>7598</v>
      </c>
      <c r="D1136" s="3" t="inlineStr">
        <is>
          <t>Жизнь и бессмертие Сергея Лазо</t>
        </is>
      </c>
      <c r="E1136" s="2" t="n">
        <v>1985</v>
      </c>
      <c r="F1136" s="2" t="inlineStr">
        <is>
          <t>телефильм</t>
        </is>
      </c>
      <c r="G1136" s="2" t="n"/>
      <c r="H1136" s="2" t="n">
        <v>112</v>
      </c>
      <c r="I1136" s="2" t="inlineStr"/>
      <c r="J1136" s="2" t="inlineStr">
        <is>
          <t>да</t>
        </is>
      </c>
      <c r="K1136" s="3" t="inlineStr">
        <is>
          <t>Сериал рассказывает о жизненном пути героя гражданской войны Сергея Лазо, со дня крещения и до последней минуты.</t>
        </is>
      </c>
      <c r="L1136" s="2" t="inlineStr">
        <is>
          <t>Кино_СССР сводный каталог.xlsx: список телефильмов</t>
        </is>
      </c>
      <c r="M1136" s="2">
        <f>HYPERLINK("https://ru.wikipedia.org/w/index.php?search=%D0%96%D0%B8%D0%B7%D0%BD%D1%8C%20%D0%B8%20%D0%B1%D0%B5%D1%81%D1%81%D0%BC%D0%B5%D1%80%D1%82%D0%B8%D0%B5%20%D0%A1%D0%B5%D1%80%D0%B3%D0%B5%D1%8F%20%D0%9B%D0%B0%D0%B7%D0%BE%201985%20%D1%84%D0%B8%D0%BB%D1%8C%D0%BC","искать")</f>
        <v/>
      </c>
      <c r="N1136" s="3" t="n"/>
      <c r="O1136" s="2" t="n"/>
    </row>
    <row r="1137">
      <c r="A1137" s="2" t="n">
        <v>1136</v>
      </c>
      <c r="B1137" s="2" t="inlineStr">
        <is>
          <t>не сюжет</t>
        </is>
      </c>
      <c r="C1137" s="2" t="n">
        <v>8634</v>
      </c>
      <c r="D1137" s="3" t="inlineStr">
        <is>
          <t>Боль любви</t>
        </is>
      </c>
      <c r="E1137" s="2" t="n">
        <v>1989</v>
      </c>
      <c r="F1137" s="2" t="inlineStr">
        <is>
          <t>кинофильм</t>
        </is>
      </c>
      <c r="G1137" s="2" t="n"/>
      <c r="H1137" s="2" t="n">
        <v>112</v>
      </c>
      <c r="I1137" s="2" t="inlineStr"/>
      <c r="J1137" s="2" t="inlineStr">
        <is>
          <t>да</t>
        </is>
      </c>
      <c r="K1137" s="3" t="inlineStr">
        <is>
          <t>По мотивам одноименной повести Караматулло Мирзоева. История любви, рассказанная таджикскими кинематографистами.</t>
        </is>
      </c>
      <c r="L1137" s="2" t="inlineStr">
        <is>
          <t>Кино_СССР сводный каталог.xlsx: список фильмов (доп.)</t>
        </is>
      </c>
      <c r="M1137" s="2">
        <f>HYPERLINK("https://ru.wikipedia.org/w/index.php?search=%D0%91%D0%BE%D0%BB%D1%8C%20%D0%BB%D1%8E%D0%B1%D0%B2%D0%B8%201989%20%D1%84%D0%B8%D0%BB%D1%8C%D0%BC","искать")</f>
        <v/>
      </c>
      <c r="N1137" s="3" t="n"/>
      <c r="O1137" s="2" t="n"/>
    </row>
    <row r="1138">
      <c r="A1138" s="2" t="n">
        <v>1137</v>
      </c>
      <c r="B1138" s="2" t="inlineStr">
        <is>
          <t>не сюжет</t>
        </is>
      </c>
      <c r="C1138" s="2" t="n">
        <v>8789</v>
      </c>
      <c r="D1138" s="3" t="inlineStr">
        <is>
          <t>Лампа Аладдина</t>
        </is>
      </c>
      <c r="E1138" s="2" t="n">
        <v>1938</v>
      </c>
      <c r="F1138" s="2" t="inlineStr">
        <is>
          <t>кинофильм</t>
        </is>
      </c>
      <c r="G1138" s="2" t="n"/>
      <c r="H1138" s="2" t="n">
        <v>112</v>
      </c>
      <c r="I1138" s="2" t="inlineStr"/>
      <c r="J1138" s="2" t="inlineStr">
        <is>
          <t>да</t>
        </is>
      </c>
      <c r="K1138" s="3" t="inlineStr">
        <is>
          <t>По мотивам сказок "1001 ночи". Фильм снимался в цвете. Незакончен в связи с ориентацией на современную тематику.</t>
        </is>
      </c>
      <c r="L1138" s="2" t="inlineStr">
        <is>
          <t>Кино_СССР сводный каталог.xlsx: список фильмов (доп.)</t>
        </is>
      </c>
      <c r="M1138" s="2">
        <f>HYPERLINK("https://ru.wikipedia.org/w/index.php?search=%D0%9B%D0%B0%D0%BC%D0%BF%D0%B0%20%D0%90%D0%BB%D0%B0%D0%B4%D0%B4%D0%B8%D0%BD%D0%B0%201938%20%D1%84%D0%B8%D0%BB%D1%8C%D0%BC","искать")</f>
        <v/>
      </c>
      <c r="N1138" s="3" t="n"/>
      <c r="O1138" s="2" t="n"/>
    </row>
    <row r="1139">
      <c r="A1139" s="2" t="n">
        <v>1138</v>
      </c>
      <c r="B1139" s="2" t="inlineStr">
        <is>
          <t>не сюжет</t>
        </is>
      </c>
      <c r="C1139" s="2" t="n">
        <v>9291</v>
      </c>
      <c r="D1139" s="3" t="inlineStr">
        <is>
          <t>Второй караван</t>
        </is>
      </c>
      <c r="E1139" s="2" t="n">
        <v>1950</v>
      </c>
      <c r="F1139" s="2" t="inlineStr">
        <is>
          <t>кинофильм</t>
        </is>
      </c>
      <c r="G1139" s="2" t="n"/>
      <c r="H1139" s="2" t="n">
        <v>112</v>
      </c>
      <c r="I1139" s="2" t="inlineStr"/>
      <c r="J1139" s="2" t="inlineStr">
        <is>
          <t>да</t>
        </is>
      </c>
      <c r="K1139" s="3" t="inlineStr">
        <is>
          <t>Незавершенный производством фильм о репатриации зарубежных армян в Советскую Армению после Второй мировой войны.</t>
        </is>
      </c>
      <c r="L1139" s="2" t="inlineStr">
        <is>
          <t>Кино_СССР сводный каталог.xlsx: список фильмов (доп.)</t>
        </is>
      </c>
      <c r="M1139" s="2">
        <f>HYPERLINK("https://ru.wikipedia.org/w/index.php?search=%D0%92%D1%82%D0%BE%D1%80%D0%BE%D0%B9%20%D0%BA%D0%B0%D1%80%D0%B0%D0%B2%D0%B0%D0%BD%201950%20%D1%84%D0%B8%D0%BB%D1%8C%D0%BC","искать")</f>
        <v/>
      </c>
      <c r="N1139" s="3" t="n"/>
      <c r="O1139" s="2" t="n"/>
    </row>
    <row r="1140">
      <c r="A1140" s="2" t="n">
        <v>1139</v>
      </c>
      <c r="B1140" s="2" t="inlineStr">
        <is>
          <t>не сюжет</t>
        </is>
      </c>
      <c r="C1140" s="2" t="n">
        <v>10441</v>
      </c>
      <c r="D1140" s="3" t="inlineStr">
        <is>
          <t>Жизнь Сент-Экзюпери</t>
        </is>
      </c>
      <c r="E1140" s="2" t="n">
        <v>1972</v>
      </c>
      <c r="F1140" s="2" t="inlineStr">
        <is>
          <t>фильм-спектакль</t>
        </is>
      </c>
      <c r="G1140" s="2" t="inlineStr">
        <is>
          <t>Ленинградское телевидение</t>
        </is>
      </c>
      <c r="H1140" s="2" t="n">
        <v>112</v>
      </c>
      <c r="I1140" s="2" t="inlineStr"/>
      <c r="J1140" s="2" t="inlineStr">
        <is>
          <t>да</t>
        </is>
      </c>
      <c r="K1140" s="3" t="inlineStr">
        <is>
          <t>Сцены из спектакля Ленинградского Академического театра имени Пушкина о жизни писателя Антуана де Сент-Экзюпери.</t>
        </is>
      </c>
      <c r="L1140" s="2" t="inlineStr">
        <is>
          <t>https://www.kino-teatr.ru/teatr/movie/83210/annot/</t>
        </is>
      </c>
      <c r="M1140" s="2">
        <f>HYPERLINK("https://ru.wikipedia.org/w/index.php?search=%D0%96%D0%B8%D0%B7%D0%BD%D1%8C%20%D0%A1%D0%B5%D0%BD%D1%82-%D0%AD%D0%BA%D0%B7%D1%8E%D0%BF%D0%B5%D1%80%D0%B8%201972%20%D1%84%D0%B8%D0%BB%D1%8C%D0%BC","искать")</f>
        <v/>
      </c>
      <c r="N1140" s="3" t="n"/>
      <c r="O1140" s="2" t="n"/>
    </row>
    <row r="1141">
      <c r="A1141" s="2" t="n">
        <v>1140</v>
      </c>
      <c r="B1141" s="2" t="inlineStr">
        <is>
          <t>не сюжет</t>
        </is>
      </c>
      <c r="C1141" s="2" t="n">
        <v>10482</v>
      </c>
      <c r="D1141" s="3" t="inlineStr">
        <is>
          <t>12 писем из Дальногорска</t>
        </is>
      </c>
      <c r="E1141" s="2" t="n">
        <v>1973</v>
      </c>
      <c r="F1141" s="2" t="inlineStr">
        <is>
          <t>фильм-спектакль</t>
        </is>
      </c>
      <c r="G1141" s="2" t="inlineStr">
        <is>
          <t>Ленинградское ТВ</t>
        </is>
      </c>
      <c r="H1141" s="2" t="n">
        <v>112</v>
      </c>
      <c r="I1141" s="2" t="inlineStr"/>
      <c r="J1141" s="2" t="inlineStr">
        <is>
          <t>да</t>
        </is>
      </c>
      <c r="K1141" s="3" t="inlineStr">
        <is>
          <t>Музыкальный телеспектакль по оперетте Андрея Петрова (либретто Б.Рацера и В.Константинова) "Мы хотим танцевать".</t>
        </is>
      </c>
      <c r="L1141" s="2" t="inlineStr">
        <is>
          <t>https://www.kino-teatr.ru/teatr/movie/121571/annot/</t>
        </is>
      </c>
      <c r="M1141" s="2">
        <f>HYPERLINK("https://ru.wikipedia.org/w/index.php?search=12%20%D0%BF%D0%B8%D1%81%D0%B5%D0%BC%20%D0%B8%D0%B7%20%D0%94%D0%B0%D0%BB%D1%8C%D0%BD%D0%BE%D0%B3%D0%BE%D1%80%D1%81%D0%BA%D0%B0%201973%20%D1%84%D0%B8%D0%BB%D1%8C%D0%BC","искать")</f>
        <v/>
      </c>
      <c r="N1141" s="3" t="n"/>
      <c r="O1141" s="2" t="n"/>
    </row>
    <row r="1142">
      <c r="A1142" s="2" t="n">
        <v>1141</v>
      </c>
      <c r="B1142" s="2" t="inlineStr">
        <is>
          <t>не сюжет</t>
        </is>
      </c>
      <c r="C1142" s="2" t="n">
        <v>7524</v>
      </c>
      <c r="D1142" s="3" t="inlineStr">
        <is>
          <t>Доверие</t>
        </is>
      </c>
      <c r="E1142" s="2" t="n">
        <v>1972</v>
      </c>
      <c r="F1142" s="2" t="inlineStr">
        <is>
          <t>телефильм</t>
        </is>
      </c>
      <c r="G1142" s="2" t="n"/>
      <c r="H1142" s="2" t="n">
        <v>113</v>
      </c>
      <c r="I1142" s="2" t="inlineStr"/>
      <c r="J1142" s="2" t="inlineStr">
        <is>
          <t>да</t>
        </is>
      </c>
      <c r="K1142" s="3" t="inlineStr">
        <is>
          <t>Телефильм. Деревенская история. В центре сюжета - проблемы современного села и хозяйственное использование земли.</t>
        </is>
      </c>
      <c r="L1142" s="2" t="inlineStr">
        <is>
          <t>Кино_СССР сводный каталог.xlsx: список телефильмов</t>
        </is>
      </c>
      <c r="M1142" s="2">
        <f>HYPERLINK("https://ru.wikipedia.org/w/index.php?search=%D0%94%D0%BE%D0%B2%D0%B5%D1%80%D0%B8%D0%B5%201972%20%D1%84%D0%B8%D0%BB%D1%8C%D0%BC","искать")</f>
        <v/>
      </c>
      <c r="N1142" s="3" t="n"/>
      <c r="O1142" s="2" t="n"/>
    </row>
    <row r="1143">
      <c r="A1143" s="2" t="n">
        <v>1142</v>
      </c>
      <c r="B1143" s="2" t="inlineStr">
        <is>
          <t>не сюжет</t>
        </is>
      </c>
      <c r="C1143" s="2" t="n">
        <v>7974</v>
      </c>
      <c r="D1143" s="3" t="inlineStr">
        <is>
          <t>Незавершённые шедевры</t>
        </is>
      </c>
      <c r="E1143" s="2" t="n">
        <v>1984</v>
      </c>
      <c r="F1143" s="2" t="inlineStr">
        <is>
          <t>телефильм</t>
        </is>
      </c>
      <c r="G1143" s="2" t="n"/>
      <c r="H1143" s="2" t="n">
        <v>113</v>
      </c>
      <c r="I1143" s="2" t="inlineStr"/>
      <c r="J1143" s="2" t="inlineStr">
        <is>
          <t>да</t>
        </is>
      </c>
      <c r="K1143" s="3" t="inlineStr">
        <is>
          <t>Телевизионный фильм о жизни и творчестве великого русского композитора Модеста Петровича Мусоргского (1839-1881).</t>
        </is>
      </c>
      <c r="L1143" s="2" t="inlineStr">
        <is>
          <t>Кино_СССР сводный каталог.xlsx: список телефильмов</t>
        </is>
      </c>
      <c r="M1143" s="2">
        <f>HYPERLINK("https://ru.wikipedia.org/w/index.php?search=%D0%9D%D0%B5%D0%B7%D0%B0%D0%B2%D0%B5%D1%80%D1%88%D1%91%D0%BD%D0%BD%D1%8B%D0%B5%20%D1%88%D0%B5%D0%B4%D0%B5%D0%B2%D1%80%D1%8B%201984%20%D1%84%D0%B8%D0%BB%D1%8C%D0%BC","искать")</f>
        <v/>
      </c>
      <c r="N1143" s="3" t="n"/>
      <c r="O1143" s="2" t="n"/>
    </row>
    <row r="1144">
      <c r="A1144" s="2" t="n">
        <v>1143</v>
      </c>
      <c r="B1144" s="2" t="inlineStr">
        <is>
          <t>не сюжет</t>
        </is>
      </c>
      <c r="C1144" s="2" t="n">
        <v>8636</v>
      </c>
      <c r="D1144" s="3" t="inlineStr">
        <is>
          <t>Боярышник</t>
        </is>
      </c>
      <c r="E1144" s="2" t="n">
        <v>1981</v>
      </c>
      <c r="F1144" s="2" t="inlineStr">
        <is>
          <t>кинофильм</t>
        </is>
      </c>
      <c r="G1144" s="2" t="inlineStr">
        <is>
          <t>Казахфильм</t>
        </is>
      </c>
      <c r="H1144" s="2" t="n">
        <v>113</v>
      </c>
      <c r="I1144" s="2" t="inlineStr"/>
      <c r="J1144" s="2" t="inlineStr">
        <is>
          <t>да</t>
        </is>
      </c>
      <c r="K1144" s="3" t="inlineStr">
        <is>
          <t>По мотивам рассказа  О. Сарсенбаева «Спи спокойно, ревизор». О человеке, о его честности, непримиримости со злом.</t>
        </is>
      </c>
      <c r="L1144" s="2" t="inlineStr">
        <is>
          <t>Кино_СССР сводный каталог.xlsx: список фильмов (доп.)</t>
        </is>
      </c>
      <c r="M1144" s="2">
        <f>HYPERLINK("https://ru.wikipedia.org/w/index.php?search=%D0%91%D0%BE%D1%8F%D1%80%D1%8B%D1%88%D0%BD%D0%B8%D0%BA%201981%20%D1%84%D0%B8%D0%BB%D1%8C%D0%BC","искать")</f>
        <v/>
      </c>
      <c r="N1144" s="3" t="n"/>
      <c r="O1144" s="2" t="n"/>
    </row>
    <row r="1145">
      <c r="A1145" s="2" t="n">
        <v>1144</v>
      </c>
      <c r="B1145" s="2" t="inlineStr">
        <is>
          <t>не сюжет</t>
        </is>
      </c>
      <c r="C1145" s="2" t="n">
        <v>9129</v>
      </c>
      <c r="D1145" s="3" t="inlineStr">
        <is>
          <t>Улыбка актрисы</t>
        </is>
      </c>
      <c r="E1145" s="2" t="n">
        <v>1974</v>
      </c>
      <c r="F1145" s="2" t="inlineStr">
        <is>
          <t>кинофильм</t>
        </is>
      </c>
      <c r="G1145" s="2" t="n"/>
      <c r="H1145" s="2" t="n">
        <v>113</v>
      </c>
      <c r="I1145" s="2" t="inlineStr"/>
      <c r="J1145" s="2" t="inlineStr">
        <is>
          <t>да</t>
        </is>
      </c>
      <c r="K1145" s="3" t="inlineStr">
        <is>
          <t>Фильм посвящен выдающейся актрисе, народной артистке республики Насибе Зейналовой и ее богатому творческому пути.</t>
        </is>
      </c>
      <c r="L1145" s="2" t="inlineStr">
        <is>
          <t>Кино_СССР сводный каталог.xlsx: список фильмов (доп.)</t>
        </is>
      </c>
      <c r="M1145" s="2">
        <f>HYPERLINK("https://ru.wikipedia.org/w/index.php?search=%D0%A3%D0%BB%D1%8B%D0%B1%D0%BA%D0%B0%20%D0%B0%D0%BA%D1%82%D1%80%D0%B8%D1%81%D1%8B%201974%20%D1%84%D0%B8%D0%BB%D1%8C%D0%BC","искать")</f>
        <v/>
      </c>
      <c r="N1145" s="3" t="n"/>
      <c r="O1145" s="2" t="n"/>
    </row>
    <row r="1146">
      <c r="A1146" s="2" t="n">
        <v>1145</v>
      </c>
      <c r="B1146" s="2" t="inlineStr">
        <is>
          <t>не сюжет</t>
        </is>
      </c>
      <c r="C1146" s="2" t="n">
        <v>9185</v>
      </c>
      <c r="D1146" s="3" t="inlineStr">
        <is>
          <t>Этот чудак Андерсен</t>
        </is>
      </c>
      <c r="E1146" s="2" t="n">
        <v>1974</v>
      </c>
      <c r="F1146" s="2" t="inlineStr">
        <is>
          <t>кинофильм</t>
        </is>
      </c>
      <c r="G1146" s="2" t="n"/>
      <c r="H1146" s="2" t="n">
        <v>113</v>
      </c>
      <c r="I1146" s="2" t="inlineStr"/>
      <c r="J1146" s="2" t="inlineStr">
        <is>
          <t>да</t>
        </is>
      </c>
      <c r="K1146" s="3" t="inlineStr">
        <is>
          <t>Состоит из четырех новелл: "Ночной дилижанс", "Ах, мой милый Августин", "Андерсен и тень", "Этот чудак Андерсен".</t>
        </is>
      </c>
      <c r="L1146" s="2" t="inlineStr">
        <is>
          <t>Кино_СССР сводный каталог.xlsx: список фильмов (доп.)</t>
        </is>
      </c>
      <c r="M1146" s="2">
        <f>HYPERLINK("https://ru.wikipedia.org/w/index.php?search=%D0%AD%D1%82%D0%BE%D1%82%20%D1%87%D1%83%D0%B4%D0%B0%D0%BA%20%D0%90%D0%BD%D0%B4%D0%B5%D1%80%D1%81%D0%B5%D0%BD%201974%20%D1%84%D0%B8%D0%BB%D1%8C%D0%BC","искать")</f>
        <v/>
      </c>
      <c r="N1146" s="3" t="n"/>
      <c r="O1146" s="2" t="n"/>
    </row>
    <row r="1147">
      <c r="A1147" s="2" t="n">
        <v>1146</v>
      </c>
      <c r="B1147" s="2" t="inlineStr">
        <is>
          <t>не сюжет</t>
        </is>
      </c>
      <c r="C1147" s="2" t="n">
        <v>9662</v>
      </c>
      <c r="D1147" s="3" t="inlineStr">
        <is>
          <t>Солнце на повороте</t>
        </is>
      </c>
      <c r="E1147" s="2" t="n">
        <v>1929</v>
      </c>
      <c r="F1147" s="2" t="inlineStr">
        <is>
          <t>кинофильм</t>
        </is>
      </c>
      <c r="G1147" s="2" t="inlineStr">
        <is>
          <t>Арменкино</t>
        </is>
      </c>
      <c r="H1147" s="2" t="n">
        <v>113</v>
      </c>
      <c r="I1147" s="2" t="inlineStr"/>
      <c r="J1147" s="2" t="inlineStr">
        <is>
          <t>да</t>
        </is>
      </c>
      <c r="K1147" s="3" t="inlineStr">
        <is>
          <t>Агитпропфильм о политике коллективизации. Заключение ГРК разыскать не удалось. В ГФФ копия фильма не сохранилась.</t>
        </is>
      </c>
      <c r="L1147" s="2" t="inlineStr">
        <is>
          <t>Кино_СССР сводный каталог.xlsx: список фильмов (доп.)</t>
        </is>
      </c>
      <c r="M1147" s="2">
        <f>HYPERLINK("https://ru.wikipedia.org/w/index.php?search=%D0%A1%D0%BE%D0%BB%D0%BD%D1%86%D0%B5%20%D0%BD%D0%B0%20%D0%BF%D0%BE%D0%B2%D0%BE%D1%80%D0%BE%D1%82%D0%B5%201929%20%D1%84%D0%B8%D0%BB%D1%8C%D0%BC","искать")</f>
        <v/>
      </c>
      <c r="N1147" s="3" t="n"/>
      <c r="O1147" s="2" t="n"/>
    </row>
    <row r="1148">
      <c r="A1148" s="2" t="n">
        <v>1147</v>
      </c>
      <c r="B1148" s="2" t="inlineStr">
        <is>
          <t>не сюжет</t>
        </is>
      </c>
      <c r="C1148" s="2" t="n">
        <v>10127</v>
      </c>
      <c r="D1148" s="3" t="inlineStr">
        <is>
          <t>Порт-Артур</t>
        </is>
      </c>
      <c r="E1148" s="2" t="n">
        <v>1964</v>
      </c>
      <c r="F1148" s="2" t="inlineStr">
        <is>
          <t>фильм-спектакль</t>
        </is>
      </c>
      <c r="G1148" s="2" t="n"/>
      <c r="H1148" s="2" t="n">
        <v>113</v>
      </c>
      <c r="I1148" s="2" t="inlineStr"/>
      <c r="J1148" s="2" t="inlineStr">
        <is>
          <t>да</t>
        </is>
      </c>
      <c r="K1148" s="3" t="inlineStr">
        <is>
          <t>По одноименной пьесе И.Попова и Л.Степанова в постановке Государственного академического Малого театра Союза ССР.</t>
        </is>
      </c>
      <c r="L1148" s="2" t="inlineStr">
        <is>
          <t>https://www.kino-teatr.ru/teatr/movie/80981/annot/</t>
        </is>
      </c>
      <c r="M1148" s="2">
        <f>HYPERLINK("https://ru.wikipedia.org/w/index.php?search=%D0%9F%D0%BE%D1%80%D1%82-%D0%90%D1%80%D1%82%D1%83%D1%80%201964%20%D1%84%D0%B8%D0%BB%D1%8C%D0%BC","искать")</f>
        <v/>
      </c>
      <c r="N1148" s="3" t="n"/>
      <c r="O1148" s="2" t="n"/>
    </row>
    <row r="1149">
      <c r="A1149" s="2" t="n">
        <v>1148</v>
      </c>
      <c r="B1149" s="2" t="inlineStr">
        <is>
          <t>не сюжет</t>
        </is>
      </c>
      <c r="C1149" s="2" t="n">
        <v>10350</v>
      </c>
      <c r="D1149" s="3" t="inlineStr">
        <is>
          <t>Боян Чонос</t>
        </is>
      </c>
      <c r="E1149" s="2" t="n">
        <v>1970</v>
      </c>
      <c r="F1149" s="2" t="inlineStr">
        <is>
          <t>фильм-спектакль</t>
        </is>
      </c>
      <c r="G1149" s="2" t="inlineStr">
        <is>
          <t>Центральное телевидение</t>
        </is>
      </c>
      <c r="H1149" s="2" t="n">
        <v>113</v>
      </c>
      <c r="I1149" s="2" t="inlineStr"/>
      <c r="J1149" s="2" t="inlineStr">
        <is>
          <t>да</t>
        </is>
      </c>
      <c r="K1149" s="3" t="inlineStr">
        <is>
          <t>О жизни и деятельности болгарского героя-партизана Бояна Чоноса.
Действие происходит в годы второй мировой войны.</t>
        </is>
      </c>
      <c r="L1149" s="2" t="inlineStr">
        <is>
          <t>https://www.kino-teatr.ru/teatr/movie/107238/annot/</t>
        </is>
      </c>
      <c r="M1149" s="2">
        <f>HYPERLINK("https://ru.wikipedia.org/w/index.php?search=%D0%91%D0%BE%D1%8F%D0%BD%20%D0%A7%D0%BE%D0%BD%D0%BE%D1%81%201970%20%D1%84%D0%B8%D0%BB%D1%8C%D0%BC","искать")</f>
        <v/>
      </c>
      <c r="N1149" s="3" t="n"/>
      <c r="O1149" s="2" t="n"/>
    </row>
    <row r="1150">
      <c r="A1150" s="2" t="n">
        <v>1149</v>
      </c>
      <c r="B1150" s="2" t="inlineStr">
        <is>
          <t>не сюжет</t>
        </is>
      </c>
      <c r="C1150" s="2" t="n">
        <v>10379</v>
      </c>
      <c r="D1150" s="3" t="inlineStr">
        <is>
          <t>Алексей и Ольга</t>
        </is>
      </c>
      <c r="E1150" s="2" t="n">
        <v>1971</v>
      </c>
      <c r="F1150" s="2" t="inlineStr">
        <is>
          <t>фильм-спектакль</t>
        </is>
      </c>
      <c r="G1150" s="2" t="inlineStr">
        <is>
          <t>Ленинградское телевидение</t>
        </is>
      </c>
      <c r="H1150" s="2" t="n">
        <v>113</v>
      </c>
      <c r="I1150" s="2" t="inlineStr"/>
      <c r="J1150" s="2" t="inlineStr">
        <is>
          <t>да</t>
        </is>
      </c>
      <c r="K1150" s="3" t="inlineStr">
        <is>
          <t>Спектакль ленинградского театра им. Ленинского Комсомола по повести о войне Иосифа Герасимова "Пять дней отдыха".</t>
        </is>
      </c>
      <c r="L1150" s="2" t="inlineStr">
        <is>
          <t>https://www.kino-teatr.ru/teatr/movie/136434/annot/</t>
        </is>
      </c>
      <c r="M1150" s="2">
        <f>HYPERLINK("https://ru.wikipedia.org/w/index.php?search=%D0%90%D0%BB%D0%B5%D0%BA%D1%81%D0%B5%D0%B9%20%D0%B8%20%D0%9E%D0%BB%D1%8C%D0%B3%D0%B0%201971%20%D1%84%D0%B8%D0%BB%D1%8C%D0%BC","искать")</f>
        <v/>
      </c>
      <c r="N1150" s="3" t="n"/>
      <c r="O1150" s="2" t="n"/>
    </row>
    <row r="1151">
      <c r="A1151" s="2" t="n">
        <v>1150</v>
      </c>
      <c r="B1151" s="2" t="inlineStr">
        <is>
          <t>не сюжет</t>
        </is>
      </c>
      <c r="C1151" s="2" t="n">
        <v>10729</v>
      </c>
      <c r="D1151" s="3" t="inlineStr">
        <is>
          <t>Васса Железнова</t>
        </is>
      </c>
      <c r="E1151" s="2" t="n">
        <v>1978</v>
      </c>
      <c r="F1151" s="2" t="inlineStr">
        <is>
          <t>фильм-спектакль</t>
        </is>
      </c>
      <c r="G1151" s="2" t="inlineStr">
        <is>
          <t>Центральный Академический Театр Советской армии и Творческое объединение "Экран"</t>
        </is>
      </c>
      <c r="H1151" s="2" t="n">
        <v>113</v>
      </c>
      <c r="I1151" s="2" t="inlineStr"/>
      <c r="J1151" s="2" t="inlineStr">
        <is>
          <t>да</t>
        </is>
      </c>
      <c r="K1151" s="3" t="inlineStr">
        <is>
          <t>Фильм-спектакль по одноименной пьесе М.Горького, в постановке Центрального академического театра Советской армии.</t>
        </is>
      </c>
      <c r="L1151" s="2" t="inlineStr">
        <is>
          <t>https://www.kino-teatr.ru/teatr/movie/81386/annot/</t>
        </is>
      </c>
      <c r="M1151" s="2">
        <f>HYPERLINK("https://ru.wikipedia.org/w/index.php?search=%D0%92%D0%B0%D1%81%D1%81%D0%B0%20%D0%96%D0%B5%D0%BB%D0%B5%D0%B7%D0%BD%D0%BE%D0%B2%D0%B0%201978%20%D1%84%D0%B8%D0%BB%D1%8C%D0%BC","искать")</f>
        <v/>
      </c>
      <c r="N1151" s="3" t="n"/>
      <c r="O1151" s="2" t="n"/>
    </row>
    <row r="1152">
      <c r="A1152" s="2" t="n">
        <v>1151</v>
      </c>
      <c r="B1152" s="2" t="inlineStr">
        <is>
          <t>не сюжет</t>
        </is>
      </c>
      <c r="C1152" s="2" t="n">
        <v>10913</v>
      </c>
      <c r="D1152" s="3" t="inlineStr">
        <is>
          <t>Сказку эту поведаю теперь я свету...</t>
        </is>
      </c>
      <c r="E1152" s="2" t="n">
        <v>1981</v>
      </c>
      <c r="F1152" s="2" t="inlineStr">
        <is>
          <t>фильм-спектакль</t>
        </is>
      </c>
      <c r="G1152" s="2" t="inlineStr">
        <is>
          <t>Лентелефильм</t>
        </is>
      </c>
      <c r="H1152" s="2" t="n">
        <v>113</v>
      </c>
      <c r="I1152" s="2" t="inlineStr"/>
      <c r="J1152" s="2" t="inlineStr">
        <is>
          <t>да</t>
        </is>
      </c>
      <c r="K1152" s="3" t="inlineStr">
        <is>
          <t>Музыкальная композиция по поэме А.С.Пушкина "Руслан и Людмила", звучат фрагменты из одноименной оперы М.И.Глинки.</t>
        </is>
      </c>
      <c r="L1152" s="2" t="inlineStr">
        <is>
          <t>https://www.kino-teatr.ru/teatr/movie/114002/annot/</t>
        </is>
      </c>
      <c r="M1152" s="2">
        <f>HYPERLINK("https://ru.wikipedia.org/w/index.php?search=%D0%A1%D0%BA%D0%B0%D0%B7%D0%BA%D1%83%20%D1%8D%D1%82%D1%83%20%D0%BF%D0%BE%D0%B2%D0%B5%D0%B4%D0%B0%D1%8E%20%D1%82%D0%B5%D0%BF%D0%B5%D1%80%D1%8C%20%D1%8F%20%D1%81%D0%B2%D0%B5%D1%82%D1%83...%201981%20%D1%84%D0%B8%D0%BB%D1%8C%D0%BC","искать")</f>
        <v/>
      </c>
      <c r="N1152" s="3" t="n"/>
      <c r="O1152" s="2" t="n"/>
    </row>
    <row r="1153">
      <c r="A1153" s="2" t="n">
        <v>1152</v>
      </c>
      <c r="B1153" s="2" t="inlineStr">
        <is>
          <t>не сюжет</t>
        </is>
      </c>
      <c r="C1153" s="2" t="n">
        <v>11136</v>
      </c>
      <c r="D1153" s="3" t="inlineStr">
        <is>
          <t>Театр И.С. Тургенева</t>
        </is>
      </c>
      <c r="E1153" s="2" t="n">
        <v>1986</v>
      </c>
      <c r="F1153" s="2" t="inlineStr">
        <is>
          <t>фильм-спектакль</t>
        </is>
      </c>
      <c r="G1153" s="2" t="inlineStr">
        <is>
          <t>Главная редакция научно-популярных и учебных программ ЦТ</t>
        </is>
      </c>
      <c r="H1153" s="2" t="n">
        <v>113</v>
      </c>
      <c r="I1153" s="2" t="inlineStr"/>
      <c r="J1153" s="2" t="inlineStr">
        <is>
          <t>да</t>
        </is>
      </c>
      <c r="K1153" s="3" t="inlineStr">
        <is>
          <t>Из цикла "Драматургия и театр".
О своеобразии и значении театра И.С. Тургенева, о связи его драматургии с прозой.</t>
        </is>
      </c>
      <c r="L1153" s="2" t="inlineStr">
        <is>
          <t>https://www.kino-teatr.ru/teatr/movie/82955/annot/</t>
        </is>
      </c>
      <c r="M1153" s="2">
        <f>HYPERLINK("https://ru.wikipedia.org/w/index.php?search=%D0%A2%D0%B5%D0%B0%D1%82%D1%80%20%D0%98.%D0%A1.%20%D0%A2%D1%83%D1%80%D0%B3%D0%B5%D0%BD%D0%B5%D0%B2%D0%B0%201986%20%D1%84%D0%B8%D0%BB%D1%8C%D0%BC","искать")</f>
        <v/>
      </c>
      <c r="N1153" s="3" t="n"/>
      <c r="O1153" s="2" t="n"/>
    </row>
    <row r="1154">
      <c r="A1154" s="2" t="n">
        <v>1153</v>
      </c>
      <c r="B1154" s="2" t="inlineStr">
        <is>
          <t>не сюжет</t>
        </is>
      </c>
      <c r="C1154" s="2" t="n">
        <v>7332</v>
      </c>
      <c r="D1154" s="3" t="inlineStr">
        <is>
          <t>Вечера на хуторе близ Диканьки</t>
        </is>
      </c>
      <c r="E1154" s="2" t="n">
        <v>1983</v>
      </c>
      <c r="F1154" s="2" t="inlineStr">
        <is>
          <t>телефильм</t>
        </is>
      </c>
      <c r="G1154" s="2" t="n"/>
      <c r="H1154" s="2" t="n">
        <v>114</v>
      </c>
      <c r="I1154" s="2" t="inlineStr"/>
      <c r="J1154" s="2" t="inlineStr">
        <is>
          <t>да</t>
        </is>
      </c>
      <c r="K1154" s="3" t="inlineStr">
        <is>
          <t>Фильм, в котором очень удачно переплетены истории, написанные Н.В.Гоголем с драматической судьбой самого писателя.</t>
        </is>
      </c>
      <c r="L1154" s="2" t="inlineStr">
        <is>
          <t>Кино_СССР сводный каталог.xlsx: список телефильмов</t>
        </is>
      </c>
      <c r="M1154" s="2">
        <f>HYPERLINK("https://ru.wikipedia.org/w/index.php?search=%D0%92%D0%B5%D1%87%D0%B5%D1%80%D0%B0%20%D0%BD%D0%B0%20%D1%85%D1%83%D1%82%D0%BE%D1%80%D0%B5%20%D0%B1%D0%BB%D0%B8%D0%B7%20%D0%94%D0%B8%D0%BA%D0%B0%D0%BD%D1%8C%D0%BA%D0%B8%201983%20%D1%84%D0%B8%D0%BB%D1%8C%D0%BC","искать")</f>
        <v/>
      </c>
      <c r="N1154" s="3" t="n"/>
      <c r="O1154" s="2" t="n"/>
    </row>
    <row r="1155">
      <c r="A1155" s="2" t="n">
        <v>1154</v>
      </c>
      <c r="B1155" s="2" t="inlineStr">
        <is>
          <t>не сюжет</t>
        </is>
      </c>
      <c r="C1155" s="2" t="n">
        <v>7754</v>
      </c>
      <c r="D1155" s="3" t="inlineStr">
        <is>
          <t>Корни травы</t>
        </is>
      </c>
      <c r="E1155" s="2" t="n">
        <v>1988</v>
      </c>
      <c r="F1155" s="2" t="inlineStr">
        <is>
          <t>телефильм</t>
        </is>
      </c>
      <c r="G1155" s="2" t="n"/>
      <c r="H1155" s="2" t="n">
        <v>114</v>
      </c>
      <c r="I1155" s="2" t="inlineStr"/>
      <c r="J1155" s="2" t="inlineStr">
        <is>
          <t>да</t>
        </is>
      </c>
      <c r="K1155" s="3" t="inlineStr">
        <is>
          <t>По мотивам одноименного произведения литовской писательницы Видманте Ясукайтите о судьбах женщин в конце XIX века.</t>
        </is>
      </c>
      <c r="L1155" s="2" t="inlineStr">
        <is>
          <t>Кино_СССР сводный каталог.xlsx: список телефильмов</t>
        </is>
      </c>
      <c r="M1155" s="2">
        <f>HYPERLINK("https://ru.wikipedia.org/w/index.php?search=%D0%9A%D0%BE%D1%80%D0%BD%D0%B8%20%D1%82%D1%80%D0%B0%D0%B2%D1%8B%201988%20%D1%84%D0%B8%D0%BB%D1%8C%D0%BC","искать")</f>
        <v/>
      </c>
      <c r="N1155" s="3" t="n"/>
      <c r="O1155" s="2" t="n"/>
    </row>
    <row r="1156">
      <c r="A1156" s="2" t="n">
        <v>1155</v>
      </c>
      <c r="B1156" s="2" t="inlineStr">
        <is>
          <t>не сюжет</t>
        </is>
      </c>
      <c r="C1156" s="2" t="n">
        <v>10227</v>
      </c>
      <c r="D1156" s="3" t="inlineStr">
        <is>
          <t>Астронавты</t>
        </is>
      </c>
      <c r="E1156" s="2" t="n">
        <v>1968</v>
      </c>
      <c r="F1156" s="2" t="inlineStr">
        <is>
          <t>фильм-спектакль</t>
        </is>
      </c>
      <c r="G1156" s="2" t="inlineStr">
        <is>
          <t>Центральное телевидение</t>
        </is>
      </c>
      <c r="H1156" s="2" t="n">
        <v>114</v>
      </c>
      <c r="I1156" s="2" t="inlineStr"/>
      <c r="J1156" s="2" t="inlineStr">
        <is>
          <t>да</t>
        </is>
      </c>
      <c r="K1156" s="3" t="inlineStr">
        <is>
          <t>Телеспектакль состоит из фантастических рассказов В.Журавлевой "Астронавты" и Г.Альтова "Полигон "Звездная река"".</t>
        </is>
      </c>
      <c r="L1156" s="2" t="inlineStr">
        <is>
          <t>https://www.kino-teatr.ru/teatr/movie/136480/annot/</t>
        </is>
      </c>
      <c r="M1156" s="2">
        <f>HYPERLINK("https://ru.wikipedia.org/w/index.php?search=%D0%90%D1%81%D1%82%D1%80%D0%BE%D0%BD%D0%B0%D0%B2%D1%82%D1%8B%201968%20%D1%84%D0%B8%D0%BB%D1%8C%D0%BC","искать")</f>
        <v/>
      </c>
      <c r="N1156" s="3" t="n"/>
      <c r="O1156" s="2" t="n"/>
    </row>
    <row r="1157">
      <c r="A1157" s="2" t="n">
        <v>1156</v>
      </c>
      <c r="B1157" s="2" t="inlineStr">
        <is>
          <t>не сюжет</t>
        </is>
      </c>
      <c r="C1157" s="2" t="n">
        <v>10327</v>
      </c>
      <c r="D1157" s="3" t="inlineStr">
        <is>
          <t>С первого взгляда</t>
        </is>
      </c>
      <c r="E1157" s="2" t="n">
        <v>1969</v>
      </c>
      <c r="F1157" s="2" t="inlineStr">
        <is>
          <t>фильм-спектакль</t>
        </is>
      </c>
      <c r="G1157" s="2" t="inlineStr">
        <is>
          <t>Центральное телевидение</t>
        </is>
      </c>
      <c r="H1157" s="2" t="n">
        <v>114</v>
      </c>
      <c r="I1157" s="2" t="inlineStr"/>
      <c r="J1157" s="2" t="inlineStr">
        <is>
          <t>да</t>
        </is>
      </c>
      <c r="K1157" s="3" t="inlineStr">
        <is>
          <t>Телеспектакль в жанре ревю-балет поставлен по песням из музыкальной комедии Виктора Купревича "С первого взгляда".</t>
        </is>
      </c>
      <c r="L1157" s="2" t="inlineStr">
        <is>
          <t>https://www.kino-teatr.ru/teatr/movie/107846/annot/</t>
        </is>
      </c>
      <c r="M1157" s="2">
        <f>HYPERLINK("https://ru.wikipedia.org/w/index.php?search=%D0%A1%20%D0%BF%D0%B5%D1%80%D0%B2%D0%BE%D0%B3%D0%BE%20%D0%B2%D0%B7%D0%B3%D0%BB%D1%8F%D0%B4%D0%B0%201969%20%D1%84%D0%B8%D0%BB%D1%8C%D0%BC","искать")</f>
        <v/>
      </c>
      <c r="N1157" s="3" t="n"/>
      <c r="O1157" s="2" t="n"/>
    </row>
    <row r="1158">
      <c r="A1158" s="2" t="n">
        <v>1157</v>
      </c>
      <c r="B1158" s="2" t="inlineStr">
        <is>
          <t>не сюжет</t>
        </is>
      </c>
      <c r="C1158" s="2" t="n">
        <v>10485</v>
      </c>
      <c r="D1158" s="3" t="inlineStr">
        <is>
          <t>Безумный день, или Женитьба Фигаро</t>
        </is>
      </c>
      <c r="E1158" s="2" t="n">
        <v>1973</v>
      </c>
      <c r="F1158" s="2" t="inlineStr">
        <is>
          <t>фильм-спектакль</t>
        </is>
      </c>
      <c r="G1158" s="2" t="inlineStr">
        <is>
          <t>ЦТ, Театр Сатиры</t>
        </is>
      </c>
      <c r="H1158" s="2" t="n">
        <v>114</v>
      </c>
      <c r="I1158" s="2" t="inlineStr"/>
      <c r="J1158" s="2" t="inlineStr">
        <is>
          <t>да</t>
        </is>
      </c>
      <c r="K1158" s="3" t="inlineStr">
        <is>
          <t>По одноименной пьесе Пьера Бомарше.
Спектакль Московского академического Театра сатиры. Запись 1973 года.
2 части.</t>
        </is>
      </c>
      <c r="L1158" s="2" t="inlineStr">
        <is>
          <t>https://www.kino-teatr.ru/teatr/movie/457/annot/</t>
        </is>
      </c>
      <c r="M1158" s="2">
        <f>HYPERLINK("https://ru.wikipedia.org/w/index.php?search=%D0%91%D0%B5%D0%B7%D1%83%D0%BC%D0%BD%D1%8B%D0%B9%20%D0%B4%D0%B5%D0%BD%D1%8C%2C%20%D0%B8%D0%BB%D0%B8%20%D0%96%D0%B5%D0%BD%D0%B8%D1%82%D1%8C%D0%B1%D0%B0%20%D0%A4%D0%B8%D0%B3%D0%B0%D1%80%D0%BE%201973%20%D1%84%D0%B8%D0%BB%D1%8C%D0%BC","искать")</f>
        <v/>
      </c>
      <c r="N1158" s="3" t="n"/>
      <c r="O1158" s="2" t="n"/>
    </row>
    <row r="1159">
      <c r="A1159" s="2" t="n">
        <v>1158</v>
      </c>
      <c r="B1159" s="2" t="inlineStr">
        <is>
          <t>не сюжет</t>
        </is>
      </c>
      <c r="C1159" s="2" t="n">
        <v>8024</v>
      </c>
      <c r="D1159" s="3" t="inlineStr">
        <is>
          <t>Объективные обстоятельства</t>
        </is>
      </c>
      <c r="E1159" s="2" t="n">
        <v>1988</v>
      </c>
      <c r="F1159" s="2" t="inlineStr">
        <is>
          <t>телефильм</t>
        </is>
      </c>
      <c r="G1159" s="2" t="n"/>
      <c r="H1159" s="2" t="n">
        <v>115</v>
      </c>
      <c r="I1159" s="2" t="inlineStr"/>
      <c r="J1159" s="2" t="inlineStr">
        <is>
          <t>да</t>
        </is>
      </c>
      <c r="K1159" s="3" t="inlineStr">
        <is>
          <t>Телевизионный фильм по одноименной пьесе Александра Борина о проблемах теплоснабжения в одном из небольших городов.</t>
        </is>
      </c>
      <c r="L1159" s="2" t="inlineStr">
        <is>
          <t>Кино_СССР сводный каталог.xlsx: список телефильмов</t>
        </is>
      </c>
      <c r="M1159" s="2">
        <f>HYPERLINK("https://ru.wikipedia.org/w/index.php?search=%D0%9E%D0%B1%D1%8A%D0%B5%D0%BA%D1%82%D0%B8%D0%B2%D0%BD%D1%8B%D0%B5%20%D0%BE%D0%B1%D1%81%D1%82%D0%BE%D1%8F%D1%82%D0%B5%D0%BB%D1%8C%D1%81%D1%82%D0%B2%D0%B0%201988%20%D1%84%D0%B8%D0%BB%D1%8C%D0%BC","искать")</f>
        <v/>
      </c>
      <c r="N1159" s="3" t="n"/>
      <c r="O1159" s="2" t="n"/>
    </row>
    <row r="1160">
      <c r="A1160" s="2" t="n">
        <v>1159</v>
      </c>
      <c r="B1160" s="2" t="inlineStr">
        <is>
          <t>не сюжет</t>
        </is>
      </c>
      <c r="C1160" s="2" t="n">
        <v>9500</v>
      </c>
      <c r="D1160" s="3" t="inlineStr">
        <is>
          <t>Неизвестные страницы из жизни разведчика</t>
        </is>
      </c>
      <c r="E1160" s="2" t="n">
        <v>1990</v>
      </c>
      <c r="F1160" s="2" t="inlineStr">
        <is>
          <t>кинофильм</t>
        </is>
      </c>
      <c r="G1160" s="2" t="n"/>
      <c r="H1160" s="2" t="n">
        <v>115</v>
      </c>
      <c r="I1160" s="2" t="inlineStr"/>
      <c r="J1160" s="2" t="inlineStr">
        <is>
          <t>да</t>
        </is>
      </c>
      <c r="K1160" s="3" t="inlineStr">
        <is>
          <t>По мотивам повести Анатолия Азольского "Лишний". События происходят в канун и в период Великой Отечественной войны.</t>
        </is>
      </c>
      <c r="L1160" s="2" t="inlineStr">
        <is>
          <t>Кино_СССР сводный каталог.xlsx: список фильмов (доп.)</t>
        </is>
      </c>
      <c r="M1160" s="2">
        <f>HYPERLINK("https://ru.wikipedia.org/w/index.php?search=%D0%9D%D0%B5%D0%B8%D0%B7%D0%B2%D0%B5%D1%81%D1%82%D0%BD%D1%8B%D0%B5%20%D1%81%D1%82%D1%80%D0%B0%D0%BD%D0%B8%D1%86%D1%8B%20%D0%B8%D0%B7%20%D0%B6%D0%B8%D0%B7%D0%BD%D0%B8%20%D1%80%D0%B0%D0%B7%D0%B2%D0%B5%D0%B4%D1%87%D0%B8%D0%BA%D0%B0%201990%20%D1%84%D0%B8%D0%BB%D1%8C%D0%BC","искать")</f>
        <v/>
      </c>
      <c r="N1160" s="3" t="n"/>
      <c r="O1160" s="2" t="n"/>
    </row>
    <row r="1161">
      <c r="A1161" s="2" t="n">
        <v>1160</v>
      </c>
      <c r="B1161" s="2" t="inlineStr">
        <is>
          <t>не сюжет</t>
        </is>
      </c>
      <c r="C1161" s="2" t="n">
        <v>10842</v>
      </c>
      <c r="D1161" s="3" t="inlineStr">
        <is>
          <t>Дон Карлос</t>
        </is>
      </c>
      <c r="E1161" s="2" t="n">
        <v>1980</v>
      </c>
      <c r="F1161" s="2" t="inlineStr">
        <is>
          <t>фильм-спектакль</t>
        </is>
      </c>
      <c r="G1161" s="2" t="inlineStr">
        <is>
          <t>ТО "Экран"</t>
        </is>
      </c>
      <c r="H1161" s="2" t="n">
        <v>115</v>
      </c>
      <c r="I1161" s="2" t="inlineStr"/>
      <c r="J1161" s="2" t="inlineStr">
        <is>
          <t>да</t>
        </is>
      </c>
      <c r="K1161" s="3" t="inlineStr">
        <is>
          <t>Фильм-спектакль по одноименной драме Ф.Шиллера в постановке Государственного академического театра имени Моссовета.</t>
        </is>
      </c>
      <c r="L1161" s="2" t="inlineStr">
        <is>
          <t>https://www.kino-teatr.ru/teatr/movie/79963/annot/</t>
        </is>
      </c>
      <c r="M1161" s="2">
        <f>HYPERLINK("https://ru.wikipedia.org/w/index.php?search=%D0%94%D0%BE%D0%BD%20%D0%9A%D0%B0%D1%80%D0%BB%D0%BE%D1%81%201980%20%D1%84%D0%B8%D0%BB%D1%8C%D0%BC","искать")</f>
        <v/>
      </c>
      <c r="N1161" s="3" t="n"/>
      <c r="O1161" s="2" t="n"/>
    </row>
    <row r="1162">
      <c r="A1162" s="2" t="n">
        <v>1161</v>
      </c>
      <c r="B1162" s="2" t="inlineStr">
        <is>
          <t>не сюжет</t>
        </is>
      </c>
      <c r="C1162" s="2" t="n">
        <v>10858</v>
      </c>
      <c r="D1162" s="3" t="inlineStr">
        <is>
          <t>Перед ужином</t>
        </is>
      </c>
      <c r="E1162" s="2" t="n">
        <v>1980</v>
      </c>
      <c r="F1162" s="2" t="inlineStr">
        <is>
          <t>фильм-спектакль</t>
        </is>
      </c>
      <c r="G1162" s="2" t="inlineStr">
        <is>
          <t>Главная редакция литературно-драматических программ ЦТ</t>
        </is>
      </c>
      <c r="H1162" s="2" t="n">
        <v>115</v>
      </c>
      <c r="I1162" s="2" t="inlineStr"/>
      <c r="J1162" s="2" t="inlineStr">
        <is>
          <t>да</t>
        </is>
      </c>
      <c r="K1162" s="3" t="inlineStr">
        <is>
          <t>Телеэкранизация одноименной пьесы Виктора Розова.Один день из общественной и личной жизни главного инженера завода.</t>
        </is>
      </c>
      <c r="L1162" s="2" t="inlineStr">
        <is>
          <t>https://www.kino-teatr.ru/teatr/movie/13854/annot/</t>
        </is>
      </c>
      <c r="M1162" s="2">
        <f>HYPERLINK("https://ru.wikipedia.org/w/index.php?search=%D0%9F%D0%B5%D1%80%D0%B5%D0%B4%20%D1%83%D0%B6%D0%B8%D0%BD%D0%BE%D0%BC%201980%20%D1%84%D0%B8%D0%BB%D1%8C%D0%BC","искать")</f>
        <v/>
      </c>
      <c r="N1162" s="3" t="n"/>
      <c r="O1162" s="2" t="n"/>
    </row>
    <row r="1163">
      <c r="A1163" s="2" t="n">
        <v>1162</v>
      </c>
      <c r="B1163" s="2" t="inlineStr">
        <is>
          <t>не сюжет</t>
        </is>
      </c>
      <c r="C1163" s="2" t="n">
        <v>7523</v>
      </c>
      <c r="D1163" s="3" t="inlineStr">
        <is>
          <t>До свидания, лето...</t>
        </is>
      </c>
      <c r="E1163" s="2" t="n">
        <v>1980</v>
      </c>
      <c r="F1163" s="2" t="inlineStr">
        <is>
          <t>телефильм</t>
        </is>
      </c>
      <c r="G1163" s="2" t="n"/>
      <c r="H1163" s="2" t="n">
        <v>116</v>
      </c>
      <c r="I1163" s="2" t="inlineStr"/>
      <c r="J1163" s="2" t="inlineStr">
        <is>
          <t>да</t>
        </is>
      </c>
      <c r="K1163" s="3" t="inlineStr">
        <is>
          <t>Учебно-видовой телефильм, производства Гостелерадио СССР и ВВС ТV для англоязычных зрителей, изучающих русский язык.</t>
        </is>
      </c>
      <c r="L1163" s="2" t="inlineStr">
        <is>
          <t>Кино_СССР сводный каталог.xlsx: список телефильмов</t>
        </is>
      </c>
      <c r="M1163" s="2">
        <f>HYPERLINK("https://ru.wikipedia.org/w/index.php?search=%D0%94%D0%BE%20%D1%81%D0%B2%D0%B8%D0%B4%D0%B0%D0%BD%D0%B8%D1%8F%2C%20%D0%BB%D0%B5%D1%82%D0%BE...%201980%20%D1%84%D0%B8%D0%BB%D1%8C%D0%BC","искать")</f>
        <v/>
      </c>
      <c r="N1163" s="3" t="n"/>
      <c r="O1163" s="2" t="n"/>
    </row>
    <row r="1164">
      <c r="A1164" s="2" t="n">
        <v>1163</v>
      </c>
      <c r="B1164" s="2" t="inlineStr">
        <is>
          <t>не сюжет</t>
        </is>
      </c>
      <c r="C1164" s="2" t="n">
        <v>7909</v>
      </c>
      <c r="D1164" s="3" t="inlineStr">
        <is>
          <t>Мужчина в доме</t>
        </is>
      </c>
      <c r="E1164" s="2" t="n">
        <v>1978</v>
      </c>
      <c r="F1164" s="2" t="inlineStr">
        <is>
          <t>телефильм</t>
        </is>
      </c>
      <c r="G1164" s="2" t="n"/>
      <c r="H1164" s="2" t="n">
        <v>116</v>
      </c>
      <c r="I1164" s="2" t="inlineStr"/>
      <c r="J1164" s="2" t="inlineStr">
        <is>
          <t>да</t>
        </is>
      </c>
      <c r="K1164" s="3" t="inlineStr">
        <is>
          <t>Телевизионный фильм. Повествует о формировании молодого человека, как личность на фоне социальных проблем в деревне.</t>
        </is>
      </c>
      <c r="L1164" s="2" t="inlineStr">
        <is>
          <t>Кино_СССР сводный каталог.xlsx: список телефильмов</t>
        </is>
      </c>
      <c r="M1164" s="2">
        <f>HYPERLINK("https://ru.wikipedia.org/w/index.php?search=%D0%9C%D1%83%D0%B6%D1%87%D0%B8%D0%BD%D0%B0%20%D0%B2%20%D0%B4%D0%BE%D0%BC%D0%B5%201978%20%D1%84%D0%B8%D0%BB%D1%8C%D0%BC","искать")</f>
        <v/>
      </c>
      <c r="N1164" s="3" t="n"/>
      <c r="O1164" s="2" t="n"/>
    </row>
    <row r="1165">
      <c r="A1165" s="2" t="n">
        <v>1164</v>
      </c>
      <c r="B1165" s="2" t="inlineStr">
        <is>
          <t>не сюжет</t>
        </is>
      </c>
      <c r="C1165" s="2" t="n">
        <v>8437</v>
      </c>
      <c r="D1165" s="3" t="inlineStr">
        <is>
          <t>Такая короткая долгая жизнь</t>
        </is>
      </c>
      <c r="E1165" s="2" t="n">
        <v>1975</v>
      </c>
      <c r="F1165" s="2" t="inlineStr">
        <is>
          <t>телефильм</t>
        </is>
      </c>
      <c r="G1165" s="2" t="n"/>
      <c r="H1165" s="2" t="n">
        <v>116</v>
      </c>
      <c r="I1165" s="2" t="inlineStr"/>
      <c r="J1165" s="2" t="inlineStr">
        <is>
          <t>да</t>
        </is>
      </c>
      <c r="K1165" s="3" t="inlineStr">
        <is>
          <t>По роману Иосифа Ольшанского. История нескольких семей, начиная с предвоенных лет и заканчивая 60-ми годами ХХ века.</t>
        </is>
      </c>
      <c r="L1165" s="2" t="inlineStr">
        <is>
          <t>Кино_СССР сводный каталог.xlsx: список телефильмов</t>
        </is>
      </c>
      <c r="M1165" s="2">
        <f>HYPERLINK("https://ru.wikipedia.org/w/index.php?search=%D0%A2%D0%B0%D0%BA%D0%B0%D1%8F%20%D0%BA%D0%BE%D1%80%D0%BE%D1%82%D0%BA%D0%B0%D1%8F%20%D0%B4%D0%BE%D0%BB%D0%B3%D0%B0%D1%8F%20%D0%B6%D0%B8%D0%B7%D0%BD%D1%8C%201975%20%D1%84%D0%B8%D0%BB%D1%8C%D0%BC","искать")</f>
        <v/>
      </c>
      <c r="N1165" s="3" t="n"/>
      <c r="O1165" s="2" t="n"/>
    </row>
    <row r="1166">
      <c r="A1166" s="2" t="n">
        <v>1165</v>
      </c>
      <c r="B1166" s="2" t="inlineStr">
        <is>
          <t>не сюжет</t>
        </is>
      </c>
      <c r="C1166" s="2" t="n">
        <v>8724</v>
      </c>
      <c r="D1166" s="3" t="inlineStr">
        <is>
          <t>Жизнь как она есть</t>
        </is>
      </c>
      <c r="E1166" s="2" t="n">
        <v>1925</v>
      </c>
      <c r="F1166" s="2" t="inlineStr">
        <is>
          <t>кинофильм</t>
        </is>
      </c>
      <c r="G1166" s="2" t="n"/>
      <c r="H1166" s="2" t="n">
        <v>116</v>
      </c>
      <c r="I1166" s="2" t="inlineStr"/>
      <c r="J1166" s="2" t="inlineStr">
        <is>
          <t>да</t>
        </is>
      </c>
      <c r="K1166" s="3" t="inlineStr">
        <is>
          <t>Научно-художественный фильм о борьбе с туберкулёзом. Картина снята в естественно обстановке без актёров и декораций.</t>
        </is>
      </c>
      <c r="L1166" s="2" t="inlineStr">
        <is>
          <t>Кино_СССР сводный каталог.xlsx: список фильмов (доп.)</t>
        </is>
      </c>
      <c r="M1166" s="2">
        <f>HYPERLINK("https://ru.wikipedia.org/w/index.php?search=%D0%96%D0%B8%D0%B7%D0%BD%D1%8C%20%D0%BA%D0%B0%D0%BA%20%D0%BE%D0%BD%D0%B0%20%D0%B5%D1%81%D1%82%D1%8C%201925%20%D1%84%D0%B8%D0%BB%D1%8C%D0%BC","искать")</f>
        <v/>
      </c>
      <c r="N1166" s="3" t="n"/>
      <c r="O1166" s="2" t="n"/>
    </row>
    <row r="1167">
      <c r="A1167" s="2" t="n">
        <v>1166</v>
      </c>
      <c r="B1167" s="2" t="inlineStr">
        <is>
          <t>не сюжет</t>
        </is>
      </c>
      <c r="C1167" s="2" t="n">
        <v>10426</v>
      </c>
      <c r="D1167" s="3" t="inlineStr">
        <is>
          <t>Френсис Дрейк</t>
        </is>
      </c>
      <c r="E1167" s="2" t="n">
        <v>1971</v>
      </c>
      <c r="F1167" s="2" t="inlineStr">
        <is>
          <t>фильм-спектакль</t>
        </is>
      </c>
      <c r="G1167" s="2" t="inlineStr">
        <is>
          <t>Центральное телевидение СССР</t>
        </is>
      </c>
      <c r="H1167" s="2" t="n">
        <v>116</v>
      </c>
      <c r="I1167" s="2" t="inlineStr"/>
      <c r="J1167" s="2" t="inlineStr">
        <is>
          <t>да</t>
        </is>
      </c>
      <c r="K1167" s="3" t="inlineStr">
        <is>
          <t>О борьбе Англии и Испании за морское владычество. Главный герой телеспектакля - английский флибустьер Френсис Дрейк.</t>
        </is>
      </c>
      <c r="L1167" s="2" t="inlineStr">
        <is>
          <t>https://www.kino-teatr.ru/teatr/movie/104166/annot/</t>
        </is>
      </c>
      <c r="M1167" s="2">
        <f>HYPERLINK("https://ru.wikipedia.org/w/index.php?search=%D0%A4%D1%80%D0%B5%D0%BD%D1%81%D0%B8%D1%81%20%D0%94%D1%80%D0%B5%D0%B9%D0%BA%201971%20%D1%84%D0%B8%D0%BB%D1%8C%D0%BC","искать")</f>
        <v/>
      </c>
      <c r="N1167" s="3" t="n"/>
      <c r="O1167" s="2" t="n"/>
    </row>
    <row r="1168">
      <c r="A1168" s="2" t="n">
        <v>1167</v>
      </c>
      <c r="B1168" s="2" t="inlineStr">
        <is>
          <t>не сюжет</t>
        </is>
      </c>
      <c r="C1168" s="2" t="n">
        <v>10813</v>
      </c>
      <c r="D1168" s="3" t="inlineStr">
        <is>
          <t>Мэри Поппинс</t>
        </is>
      </c>
      <c r="E1168" s="2" t="n">
        <v>1979</v>
      </c>
      <c r="F1168" s="2" t="inlineStr">
        <is>
          <t>фильм-спектакль</t>
        </is>
      </c>
      <c r="G1168" s="2" t="inlineStr">
        <is>
          <t>ТО "Экран"</t>
        </is>
      </c>
      <c r="H1168" s="2" t="n">
        <v>116</v>
      </c>
      <c r="I1168" s="2" t="inlineStr"/>
      <c r="J1168" s="2" t="inlineStr">
        <is>
          <t>да</t>
        </is>
      </c>
      <c r="K1168" s="3" t="inlineStr">
        <is>
          <t>По мотивам сказок П.Трэверс (авторы пьесы Б.Заходер и В.Климовский) в постановке Московского театра имени Ермоловой.</t>
        </is>
      </c>
      <c r="L1168" s="2" t="inlineStr">
        <is>
          <t>https://www.kino-teatr.ru/teatr/movie/93013/annot/</t>
        </is>
      </c>
      <c r="M1168" s="2">
        <f>HYPERLINK("https://ru.wikipedia.org/w/index.php?search=%D0%9C%D1%8D%D1%80%D0%B8%20%D0%9F%D0%BE%D0%BF%D0%BF%D0%B8%D0%BD%D1%81%201979%20%D1%84%D0%B8%D0%BB%D1%8C%D0%BC","искать")</f>
        <v/>
      </c>
      <c r="N1168" s="3" t="n"/>
      <c r="O1168" s="2" t="n"/>
    </row>
    <row r="1169">
      <c r="A1169" s="2" t="n">
        <v>1168</v>
      </c>
      <c r="B1169" s="2" t="inlineStr">
        <is>
          <t>не сюжет</t>
        </is>
      </c>
      <c r="C1169" s="2" t="n">
        <v>7794</v>
      </c>
      <c r="D1169" s="3" t="inlineStr">
        <is>
          <t>Ленин в Швейцарии</t>
        </is>
      </c>
      <c r="E1169" s="2" t="n">
        <v>1965</v>
      </c>
      <c r="F1169" s="2" t="inlineStr">
        <is>
          <t>телефильм</t>
        </is>
      </c>
      <c r="G1169" s="2" t="n"/>
      <c r="H1169" s="2" t="n">
        <v>117</v>
      </c>
      <c r="I1169" s="2" t="inlineStr"/>
      <c r="J1169" s="2" t="inlineStr">
        <is>
          <t>да</t>
        </is>
      </c>
      <c r="K1169" s="3" t="inlineStr">
        <is>
          <t>Телефильм. Художественно - документальное повествование о пребывании Владимира Ильича Ленина в эмиграции в Швейцарии.</t>
        </is>
      </c>
      <c r="L1169" s="2" t="inlineStr">
        <is>
          <t>Кино_СССР сводный каталог.xlsx: список телефильмов</t>
        </is>
      </c>
      <c r="M1169" s="2">
        <f>HYPERLINK("https://ru.wikipedia.org/w/index.php?search=%D0%9B%D0%B5%D0%BD%D0%B8%D0%BD%20%D0%B2%20%D0%A8%D0%B2%D0%B5%D0%B9%D1%86%D0%B0%D1%80%D0%B8%D0%B8%201965%20%D1%84%D0%B8%D0%BB%D1%8C%D0%BC","искать")</f>
        <v/>
      </c>
      <c r="N1169" s="3" t="n"/>
      <c r="O1169" s="2" t="n"/>
    </row>
    <row r="1170">
      <c r="A1170" s="2" t="n">
        <v>1169</v>
      </c>
      <c r="B1170" s="2" t="inlineStr">
        <is>
          <t>не сюжет</t>
        </is>
      </c>
      <c r="C1170" s="2" t="n">
        <v>9016</v>
      </c>
      <c r="D1170" s="3" t="inlineStr">
        <is>
          <t>Родимые пятна (киноальманах)</t>
        </is>
      </c>
      <c r="E1170" s="2" t="n">
        <v>1954</v>
      </c>
      <c r="F1170" s="2" t="inlineStr">
        <is>
          <t>кинофильм</t>
        </is>
      </c>
      <c r="G1170" s="2" t="n"/>
      <c r="H1170" s="2" t="n">
        <v>117</v>
      </c>
      <c r="I1170" s="2" t="inlineStr"/>
      <c r="J1170" s="2" t="inlineStr">
        <is>
          <t>да</t>
        </is>
      </c>
      <c r="K1170" s="3" t="inlineStr">
        <is>
          <t>Альманах состоит из новелл: "Ревизоры поневоле","Я ничего не помню", "Злодейка с наклейкой" и "Подпись неразборчива".</t>
        </is>
      </c>
      <c r="L1170" s="2" t="inlineStr">
        <is>
          <t>Кино_СССР сводный каталог.xlsx: список фильмов (доп.)</t>
        </is>
      </c>
      <c r="M1170" s="2">
        <f>HYPERLINK("https://ru.wikipedia.org/w/index.php?search=%D0%A0%D0%BE%D0%B4%D0%B8%D0%BC%D1%8B%D0%B5%20%D0%BF%D1%8F%D1%82%D0%BD%D0%B0%20%28%D0%BA%D0%B8%D0%BD%D0%BE%D0%B0%D0%BB%D1%8C%D0%BC%D0%B0%D0%BD%D0%B0%D1%85%29%201954%20%D1%84%D0%B8%D0%BB%D1%8C%D0%BC","искать")</f>
        <v/>
      </c>
      <c r="N1170" s="3" t="n"/>
      <c r="O1170" s="2" t="n"/>
    </row>
    <row r="1171">
      <c r="A1171" s="2" t="n">
        <v>1170</v>
      </c>
      <c r="B1171" s="2" t="inlineStr">
        <is>
          <t>не сюжет</t>
        </is>
      </c>
      <c r="C1171" s="2" t="n">
        <v>10060</v>
      </c>
      <c r="D1171" s="3" t="inlineStr">
        <is>
          <t>Варвары. Сцены в уездном городе</t>
        </is>
      </c>
      <c r="E1171" s="2" t="n">
        <v>1953</v>
      </c>
      <c r="F1171" s="2" t="inlineStr">
        <is>
          <t>фильм-спектакль</t>
        </is>
      </c>
      <c r="G1171" s="2" t="inlineStr">
        <is>
          <t>К/ст им. Горького</t>
        </is>
      </c>
      <c r="H1171" s="2" t="n">
        <v>117</v>
      </c>
      <c r="I1171" s="2" t="inlineStr"/>
      <c r="J1171" s="2" t="inlineStr">
        <is>
          <t>да</t>
        </is>
      </c>
      <c r="K1171" s="3" t="inlineStr">
        <is>
          <t>Фильм-спектакль по одноименной пьесе М.Горького.
Спектакль Малого театра СССР. Режиссер спектакля — Константин Зубов.</t>
        </is>
      </c>
      <c r="L1171" s="2" t="inlineStr">
        <is>
          <t>https://www.kino-teatr.ru/teatr/movie/8821/annot/</t>
        </is>
      </c>
      <c r="M1171" s="2">
        <f>HYPERLINK("https://ru.wikipedia.org/w/index.php?search=%D0%92%D0%B0%D1%80%D0%B2%D0%B0%D1%80%D1%8B.%20%D0%A1%D1%86%D0%B5%D0%BD%D1%8B%20%D0%B2%20%D1%83%D0%B5%D0%B7%D0%B4%D0%BD%D0%BE%D0%BC%20%D0%B3%D0%BE%D1%80%D0%BE%D0%B4%D0%B5%201953%20%D1%84%D0%B8%D0%BB%D1%8C%D0%BC","искать")</f>
        <v/>
      </c>
      <c r="N1171" s="3" t="n"/>
      <c r="O1171" s="2" t="n"/>
    </row>
    <row r="1172">
      <c r="A1172" s="2" t="n">
        <v>1171</v>
      </c>
      <c r="B1172" s="2" t="inlineStr">
        <is>
          <t>не сюжет</t>
        </is>
      </c>
      <c r="C1172" s="2" t="n">
        <v>10370</v>
      </c>
      <c r="D1172" s="3" t="inlineStr">
        <is>
          <t>Сказка о четырёх близнецах</t>
        </is>
      </c>
      <c r="E1172" s="2" t="n">
        <v>1970</v>
      </c>
      <c r="F1172" s="2" t="inlineStr">
        <is>
          <t>фильм-спектакль</t>
        </is>
      </c>
      <c r="G1172" s="2" t="inlineStr">
        <is>
          <t>Ленинградское телевидение</t>
        </is>
      </c>
      <c r="H1172" s="2" t="n">
        <v>117</v>
      </c>
      <c r="I1172" s="2" t="inlineStr"/>
      <c r="J1172" s="2" t="inlineStr">
        <is>
          <t>да</t>
        </is>
      </c>
      <c r="K1172" s="3" t="inlineStr">
        <is>
          <t>По пьесе Панчо Панчева.
Ленинградский театр им. Комиссаржевской был первым в СССР, поставившим эту пьесу в 1968 году.</t>
        </is>
      </c>
      <c r="L1172" s="2" t="inlineStr">
        <is>
          <t>https://www.kino-teatr.ru/teatr/movie/137009/annot/</t>
        </is>
      </c>
      <c r="M1172" s="2">
        <f>HYPERLINK("https://ru.wikipedia.org/w/index.php?search=%D0%A1%D0%BA%D0%B0%D0%B7%D0%BA%D0%B0%20%D0%BE%20%D1%87%D0%B5%D1%82%D1%8B%D1%80%D1%91%D1%85%20%D0%B1%D0%BB%D0%B8%D0%B7%D0%BD%D0%B5%D1%86%D0%B0%D1%85%201970%20%D1%84%D0%B8%D0%BB%D1%8C%D0%BC","искать")</f>
        <v/>
      </c>
      <c r="N1172" s="3" t="n"/>
      <c r="O1172" s="2" t="n"/>
    </row>
    <row r="1173">
      <c r="A1173" s="2" t="n">
        <v>1172</v>
      </c>
      <c r="B1173" s="2" t="inlineStr">
        <is>
          <t>не сюжет</t>
        </is>
      </c>
      <c r="C1173" s="2" t="n">
        <v>10928</v>
      </c>
      <c r="D1173" s="3" t="inlineStr">
        <is>
          <t>Этот фантастический мир. Выпуск 6</t>
        </is>
      </c>
      <c r="E1173" s="2" t="n">
        <v>1981</v>
      </c>
      <c r="F1173" s="2" t="inlineStr">
        <is>
          <t>фильм-спектакль</t>
        </is>
      </c>
      <c r="G1173" s="2" t="inlineStr">
        <is>
          <t>Главная редакция программ для детей и юношества ЦТ</t>
        </is>
      </c>
      <c r="H1173" s="2" t="n">
        <v>117</v>
      </c>
      <c r="I1173" s="2" t="inlineStr"/>
      <c r="J1173" s="2" t="inlineStr">
        <is>
          <t>да</t>
        </is>
      </c>
      <c r="K1173" s="3" t="inlineStr">
        <is>
          <t>Экранизация двух произведений писателей-фантастов: "Уровень шума" Раймонда Джоунса и "Тень минувшего" Ивана Ефремова.</t>
        </is>
      </c>
      <c r="L1173" s="2" t="inlineStr">
        <is>
          <t>https://www.kino-teatr.ru/teatr/movie/16962/annot/</t>
        </is>
      </c>
      <c r="M1173" s="2">
        <f>HYPERLINK("https://ru.wikipedia.org/w/index.php?search=%D0%AD%D1%82%D0%BE%D1%82%20%D1%84%D0%B0%D0%BD%D1%82%D0%B0%D1%81%D1%82%D0%B8%D1%87%D0%B5%D1%81%D0%BA%D0%B8%D0%B9%20%D0%BC%D0%B8%D1%80.%20%D0%92%D1%8B%D0%BF%D1%83%D1%81%D0%BA%206%201981%20%D1%84%D0%B8%D0%BB%D1%8C%D0%BC","искать")</f>
        <v/>
      </c>
      <c r="N1173" s="3" t="n"/>
      <c r="O1173" s="2" t="n"/>
    </row>
    <row r="1174">
      <c r="A1174" s="2" t="n">
        <v>1173</v>
      </c>
      <c r="B1174" s="2" t="inlineStr">
        <is>
          <t>не сюжет</t>
        </is>
      </c>
      <c r="C1174" s="2" t="n">
        <v>7458</v>
      </c>
      <c r="D1174" s="3" t="inlineStr">
        <is>
          <t>Госпожа министерша</t>
        </is>
      </c>
      <c r="E1174" s="2" t="n">
        <v>1984</v>
      </c>
      <c r="F1174" s="2" t="inlineStr">
        <is>
          <t>телефильм</t>
        </is>
      </c>
      <c r="G1174" s="2" t="inlineStr">
        <is>
          <t>Ленинградское телевидение, главная редакция музыкальных программ</t>
        </is>
      </c>
      <c r="H1174" s="2" t="n">
        <v>118</v>
      </c>
      <c r="I1174" s="2" t="inlineStr"/>
      <c r="J1174" s="2" t="inlineStr">
        <is>
          <t>да</t>
        </is>
      </c>
      <c r="K1174" s="3" t="inlineStr">
        <is>
          <t>По мотивам одноименной комедии сербского писателя Бронислава Нушича. Действие происходит на рубеже 19-го и 20-го веков</t>
        </is>
      </c>
      <c r="L1174" s="2" t="inlineStr">
        <is>
          <t>Кино_СССР сводный каталог.xlsx: список телефильмов</t>
        </is>
      </c>
      <c r="M1174" s="2">
        <f>HYPERLINK("https://ru.wikipedia.org/w/index.php?search=%D0%93%D0%BE%D1%81%D0%BF%D0%BE%D0%B6%D0%B0%20%D0%BC%D0%B8%D0%BD%D0%B8%D1%81%D1%82%D0%B5%D1%80%D1%88%D0%B0%201984%20%D1%84%D0%B8%D0%BB%D1%8C%D0%BC","искать")</f>
        <v/>
      </c>
      <c r="N1174" s="3" t="n"/>
      <c r="O1174" s="2" t="n"/>
    </row>
    <row r="1175">
      <c r="A1175" s="2" t="n">
        <v>1174</v>
      </c>
      <c r="B1175" s="2" t="inlineStr">
        <is>
          <t>не сюжет</t>
        </is>
      </c>
      <c r="C1175" s="2" t="n">
        <v>7565</v>
      </c>
      <c r="D1175" s="3" t="inlineStr">
        <is>
          <t>Дульсинея Тобосская</t>
        </is>
      </c>
      <c r="E1175" s="2" t="n">
        <v>1980</v>
      </c>
      <c r="F1175" s="2" t="inlineStr">
        <is>
          <t>телефильм</t>
        </is>
      </c>
      <c r="G1175" s="2" t="n"/>
      <c r="H1175" s="2" t="n">
        <v>118</v>
      </c>
      <c r="I1175" s="2" t="inlineStr"/>
      <c r="J1175" s="2" t="inlineStr">
        <is>
          <t>да</t>
        </is>
      </c>
      <c r="K1175" s="3" t="inlineStr">
        <is>
          <t>Музыкальная экранизация пьесы Александра Володина о судьбах Дульсинеи Тобосской и Санчо Пансы после смерти Дон Кихота.</t>
        </is>
      </c>
      <c r="L1175" s="2" t="inlineStr">
        <is>
          <t>Кино_СССР сводный каталог.xlsx: список телефильмов</t>
        </is>
      </c>
      <c r="M1175" s="2">
        <f>HYPERLINK("https://ru.wikipedia.org/w/index.php?search=%D0%94%D1%83%D0%BB%D1%8C%D1%81%D0%B8%D0%BD%D0%B5%D1%8F%20%D0%A2%D0%BE%D0%B1%D0%BE%D1%81%D1%81%D0%BA%D0%B0%D1%8F%201980%20%D1%84%D0%B8%D0%BB%D1%8C%D0%BC","искать")</f>
        <v/>
      </c>
      <c r="N1175" s="3" t="n"/>
      <c r="O1175" s="2" t="n"/>
    </row>
    <row r="1176">
      <c r="A1176" s="2" t="n">
        <v>1175</v>
      </c>
      <c r="B1176" s="2" t="inlineStr">
        <is>
          <t>не сюжет</t>
        </is>
      </c>
      <c r="C1176" s="2" t="n">
        <v>8287</v>
      </c>
      <c r="D1176" s="3" t="inlineStr">
        <is>
          <t>Русалочьи отмели</t>
        </is>
      </c>
      <c r="E1176" s="2" t="n">
        <v>1987</v>
      </c>
      <c r="F1176" s="2" t="inlineStr">
        <is>
          <t>телефильм</t>
        </is>
      </c>
      <c r="G1176" s="2" t="n"/>
      <c r="H1176" s="2" t="n">
        <v>118</v>
      </c>
      <c r="I1176" s="2" t="inlineStr"/>
      <c r="J1176" s="2" t="inlineStr">
        <is>
          <t>да</t>
        </is>
      </c>
      <c r="K1176" s="3" t="inlineStr">
        <is>
          <t>Историко-приключенческий фильм по мотивам одноименного романа Хермана Серго, события которого происходят в XVIII веке.</t>
        </is>
      </c>
      <c r="L1176" s="2" t="inlineStr">
        <is>
          <t>Кино_СССР сводный каталог.xlsx: список телефильмов</t>
        </is>
      </c>
      <c r="M1176" s="2">
        <f>HYPERLINK("https://ru.wikipedia.org/w/index.php?search=%D0%A0%D1%83%D1%81%D0%B0%D0%BB%D0%BE%D1%87%D1%8C%D0%B8%20%D0%BE%D1%82%D0%BC%D0%B5%D0%BB%D0%B8%201987%20%D1%84%D0%B8%D0%BB%D1%8C%D0%BC","искать")</f>
        <v/>
      </c>
      <c r="N1176" s="3" t="n"/>
      <c r="O1176" s="2" t="n"/>
    </row>
    <row r="1177">
      <c r="A1177" s="2" t="n">
        <v>1176</v>
      </c>
      <c r="B1177" s="2" t="inlineStr">
        <is>
          <t>не сюжет</t>
        </is>
      </c>
      <c r="C1177" s="2" t="n">
        <v>9973</v>
      </c>
      <c r="D1177" s="3" t="inlineStr">
        <is>
          <t>Отель «Бабушка»</t>
        </is>
      </c>
      <c r="E1177" s="2" t="n">
        <v>1981</v>
      </c>
      <c r="F1177" s="2" t="inlineStr">
        <is>
          <t>кинофильм</t>
        </is>
      </c>
      <c r="G1177" s="2" t="inlineStr">
        <is>
          <t>Арменфильм</t>
        </is>
      </c>
      <c r="H1177" s="2" t="n">
        <v>118</v>
      </c>
      <c r="I1177" s="2" t="inlineStr"/>
      <c r="J1177" s="2" t="inlineStr">
        <is>
          <t>да</t>
        </is>
      </c>
      <c r="K1177" s="3" t="inlineStr">
        <is>
          <t>Герой фильма – “белая ворона” среди сверстников-студентов, живущих в мире ложных ценностей и сиюминутных удовольствий.</t>
        </is>
      </c>
      <c r="L1177" s="2" t="inlineStr">
        <is>
          <t>https://www.kino-teatr.ru/short/movie/sov/14435/annot/</t>
        </is>
      </c>
      <c r="M1177" s="2">
        <f>HYPERLINK("https://ru.wikipedia.org/w/index.php?search=%D0%9E%D1%82%D0%B5%D0%BB%D1%8C%20%C2%AB%D0%91%D0%B0%D0%B1%D1%83%D1%88%D0%BA%D0%B0%C2%BB%201981%20%D1%84%D0%B8%D0%BB%D1%8C%D0%BC","искать")</f>
        <v/>
      </c>
      <c r="N1177" s="3" t="n"/>
      <c r="O1177" s="2" t="n"/>
    </row>
    <row r="1178">
      <c r="A1178" s="2" t="n">
        <v>1177</v>
      </c>
      <c r="B1178" s="2" t="inlineStr">
        <is>
          <t>не сюжет</t>
        </is>
      </c>
      <c r="C1178" s="2" t="n">
        <v>10056</v>
      </c>
      <c r="D1178" s="3" t="inlineStr">
        <is>
          <t>Последние</t>
        </is>
      </c>
      <c r="E1178" s="2" t="n">
        <v>1991</v>
      </c>
      <c r="F1178" s="2" t="inlineStr">
        <is>
          <t>кинофильм</t>
        </is>
      </c>
      <c r="G1178" s="2" t="inlineStr">
        <is>
          <t>Мосфильм</t>
        </is>
      </c>
      <c r="H1178" s="2" t="n">
        <v>118</v>
      </c>
      <c r="I1178" s="2" t="inlineStr"/>
      <c r="J1178" s="2" t="inlineStr">
        <is>
          <t>да</t>
        </is>
      </c>
      <c r="K1178" s="3" t="inlineStr">
        <is>
          <t>Философский этюд об ушедшем поколении. Фильм воспроизводит эстетику фотографий семейных альбомов дореволюционной поры.</t>
        </is>
      </c>
      <c r="L1178" s="2" t="inlineStr">
        <is>
          <t>https://www.kino-teatr.ru/short/movie/sov/10139/annot/</t>
        </is>
      </c>
      <c r="M1178" s="2">
        <f>HYPERLINK("https://ru.wikipedia.org/w/index.php?search=%D0%9F%D0%BE%D1%81%D0%BB%D0%B5%D0%B4%D0%BD%D0%B8%D0%B5%201991%20%D1%84%D0%B8%D0%BB%D1%8C%D0%BC","искать")</f>
        <v/>
      </c>
      <c r="N1178" s="3" t="n"/>
      <c r="O1178" s="2" t="n"/>
    </row>
    <row r="1179">
      <c r="A1179" s="2" t="n">
        <v>1178</v>
      </c>
      <c r="B1179" s="2" t="inlineStr">
        <is>
          <t>не сюжет</t>
        </is>
      </c>
      <c r="C1179" s="2" t="n">
        <v>10063</v>
      </c>
      <c r="D1179" s="3" t="inlineStr">
        <is>
          <t>Любовь на рассвете</t>
        </is>
      </c>
      <c r="E1179" s="2" t="n">
        <v>1957</v>
      </c>
      <c r="F1179" s="2" t="inlineStr">
        <is>
          <t>фильм-спектакль</t>
        </is>
      </c>
      <c r="G1179" s="2" t="inlineStr">
        <is>
          <t>Киевская киностудия</t>
        </is>
      </c>
      <c r="H1179" s="2" t="n">
        <v>118</v>
      </c>
      <c r="I1179" s="2" t="inlineStr"/>
      <c r="J1179" s="2" t="inlineStr">
        <is>
          <t>да</t>
        </is>
      </c>
      <c r="K1179" s="3" t="inlineStr">
        <is>
          <t>Фильм-спектакль по пьесе Ярослава Галана в постановке Харьковского украинского драматического театра им. Т.Г.Шевченко.</t>
        </is>
      </c>
      <c r="L1179" s="2" t="inlineStr">
        <is>
          <t>https://www.kino-teatr.ru/teatr/movie/13392/annot/</t>
        </is>
      </c>
      <c r="M1179" s="2">
        <f>HYPERLINK("https://ru.wikipedia.org/w/index.php?search=%D0%9B%D1%8E%D0%B1%D0%BE%D0%B2%D1%8C%20%D0%BD%D0%B0%20%D1%80%D0%B0%D1%81%D1%81%D0%B2%D0%B5%D1%82%D0%B5%201957%20%D1%84%D0%B8%D0%BB%D1%8C%D0%BC","искать")</f>
        <v/>
      </c>
      <c r="N1179" s="3" t="n"/>
      <c r="O1179" s="2" t="n"/>
    </row>
    <row r="1180">
      <c r="A1180" s="2" t="n">
        <v>1179</v>
      </c>
      <c r="B1180" s="2" t="inlineStr">
        <is>
          <t>не сюжет</t>
        </is>
      </c>
      <c r="C1180" s="2" t="n">
        <v>11111</v>
      </c>
      <c r="D1180" s="3" t="inlineStr">
        <is>
          <t>Жизнь Клима Самгина</t>
        </is>
      </c>
      <c r="E1180" s="2" t="n">
        <v>1986</v>
      </c>
      <c r="F1180" s="2" t="inlineStr">
        <is>
          <t>фильм-спектакль</t>
        </is>
      </c>
      <c r="G1180" s="2" t="inlineStr">
        <is>
          <t>Главная редакция литературно-драматических программ ЦТ</t>
        </is>
      </c>
      <c r="H1180" s="2" t="n">
        <v>118</v>
      </c>
      <c r="I1180" s="2" t="inlineStr"/>
      <c r="J1180" s="2" t="inlineStr">
        <is>
          <t>да</t>
        </is>
      </c>
      <c r="K1180" s="3" t="inlineStr">
        <is>
          <t>Телеспектакль по одноимённому роману М. Горького в постановке Московского академического театра имени Вл. Маяковского.</t>
        </is>
      </c>
      <c r="L1180" s="2" t="inlineStr">
        <is>
          <t>https://www.kino-teatr.ru/teatr/movie/12120/annot/</t>
        </is>
      </c>
      <c r="M1180" s="2">
        <f>HYPERLINK("https://ru.wikipedia.org/w/index.php?search=%D0%96%D0%B8%D0%B7%D0%BD%D1%8C%20%D0%9A%D0%BB%D0%B8%D0%BC%D0%B0%20%D0%A1%D0%B0%D0%BC%D0%B3%D0%B8%D0%BD%D0%B0%201986%20%D1%84%D0%B8%D0%BB%D1%8C%D0%BC","искать")</f>
        <v/>
      </c>
      <c r="N1180" s="3" t="n"/>
      <c r="O1180" s="2" t="n"/>
    </row>
    <row r="1181">
      <c r="A1181" s="2" t="n">
        <v>1180</v>
      </c>
      <c r="B1181" s="2" t="inlineStr">
        <is>
          <t>не сюжет</t>
        </is>
      </c>
      <c r="C1181" s="2" t="n">
        <v>9679</v>
      </c>
      <c r="D1181" s="3" t="inlineStr">
        <is>
          <t>Сукины дети</t>
        </is>
      </c>
      <c r="E1181" s="2" t="n">
        <v>1990</v>
      </c>
      <c r="F1181" s="2" t="inlineStr">
        <is>
          <t>кинофильм</t>
        </is>
      </c>
      <c r="G1181" s="2" t="n"/>
      <c r="H1181" s="2" t="n">
        <v>119</v>
      </c>
      <c r="I1181" s="2" t="inlineStr"/>
      <c r="J1181" s="2" t="inlineStr">
        <is>
          <t>да</t>
        </is>
      </c>
      <c r="K1181" s="3" t="inlineStr">
        <is>
          <t>Истории из закулисной жизни театра, полные забавных сцен и пикантных ситуаций, мастерски сыгранные блестящими актёрами.</t>
        </is>
      </c>
      <c r="L1181" s="2" t="inlineStr">
        <is>
          <t>Кино_СССР сводный каталог.xlsx: список фильмов (доп.)</t>
        </is>
      </c>
      <c r="M1181" s="2">
        <f>HYPERLINK("https://ru.wikipedia.org/w/index.php?search=%D0%A1%D1%83%D0%BA%D0%B8%D0%BD%D1%8B%20%D0%B4%D0%B5%D1%82%D0%B8%201990%20%D1%84%D0%B8%D0%BB%D1%8C%D0%BC","искать")</f>
        <v/>
      </c>
      <c r="N1181" s="3" t="n"/>
      <c r="O1181" s="2" t="n"/>
    </row>
    <row r="1182">
      <c r="A1182" s="2" t="n">
        <v>1181</v>
      </c>
      <c r="B1182" s="2" t="inlineStr">
        <is>
          <t>не сюжет</t>
        </is>
      </c>
      <c r="C1182" s="2" t="n">
        <v>9891</v>
      </c>
      <c r="D1182" s="3" t="inlineStr">
        <is>
          <t>Хлеб</t>
        </is>
      </c>
      <c r="E1182" s="2" t="n">
        <v>1971</v>
      </c>
      <c r="F1182" s="2" t="inlineStr">
        <is>
          <t>телефильм</t>
        </is>
      </c>
      <c r="G1182" s="2" t="inlineStr">
        <is>
          <t>Ереванское ТВ</t>
        </is>
      </c>
      <c r="H1182" s="2" t="n">
        <v>119</v>
      </c>
      <c r="I1182" s="2" t="inlineStr"/>
      <c r="J1182" s="2" t="inlineStr">
        <is>
          <t>да</t>
        </is>
      </c>
      <c r="K1182" s="3" t="inlineStr">
        <is>
          <t>Фильм о дружбе армянина, обремененного большой семьей, и русского, которая помогла им выстоять в голодные военные годы.</t>
        </is>
      </c>
      <c r="L1182" s="2" t="inlineStr">
        <is>
          <t>https://www.kino-teatr.ru/short/movie/sov/85312/annot/</t>
        </is>
      </c>
      <c r="M1182" s="2">
        <f>HYPERLINK("https://ru.wikipedia.org/w/index.php?search=%D0%A5%D0%BB%D0%B5%D0%B1%201971%20%D1%84%D0%B8%D0%BB%D1%8C%D0%BC","искать")</f>
        <v/>
      </c>
      <c r="N1182" s="3" t="n"/>
      <c r="O1182" s="2" t="n"/>
    </row>
    <row r="1183">
      <c r="A1183" s="2" t="n">
        <v>1182</v>
      </c>
      <c r="B1183" s="2" t="inlineStr">
        <is>
          <t>не сюжет</t>
        </is>
      </c>
      <c r="C1183" s="2" t="n">
        <v>10490</v>
      </c>
      <c r="D1183" s="3" t="inlineStr">
        <is>
          <t>Во весь голос</t>
        </is>
      </c>
      <c r="E1183" s="2" t="n">
        <v>1973</v>
      </c>
      <c r="F1183" s="2" t="inlineStr">
        <is>
          <t>фильм-спектакль</t>
        </is>
      </c>
      <c r="G1183" s="2" t="inlineStr">
        <is>
          <t>Центральное телевидение</t>
        </is>
      </c>
      <c r="H1183" s="2" t="n">
        <v>119</v>
      </c>
      <c r="I1183" s="2" t="inlineStr"/>
      <c r="J1183" s="2" t="inlineStr">
        <is>
          <t>да</t>
        </is>
      </c>
      <c r="K1183" s="3" t="inlineStr">
        <is>
          <t>По одноименной поэме В.В. Маяковского.
В телеспектакле использованы стихотворения, письма, фрагменты поэм и пьес поэта.</t>
        </is>
      </c>
      <c r="L1183" s="2" t="inlineStr">
        <is>
          <t>https://www.kino-teatr.ru/teatr/movie/79964/annot/</t>
        </is>
      </c>
      <c r="M1183" s="2">
        <f>HYPERLINK("https://ru.wikipedia.org/w/index.php?search=%D0%92%D0%BE%20%D0%B2%D0%B5%D1%81%D1%8C%20%D0%B3%D0%BE%D0%BB%D0%BE%D1%81%201973%20%D1%84%D0%B8%D0%BB%D1%8C%D0%BC","искать")</f>
        <v/>
      </c>
      <c r="N1183" s="3" t="n"/>
      <c r="O1183" s="2" t="n"/>
    </row>
    <row r="1184">
      <c r="A1184" s="2" t="n">
        <v>1183</v>
      </c>
      <c r="B1184" s="2" t="inlineStr">
        <is>
          <t>не сюжет</t>
        </is>
      </c>
      <c r="C1184" s="2" t="n">
        <v>10656</v>
      </c>
      <c r="D1184" s="3" t="inlineStr">
        <is>
          <t>Милый лжец</t>
        </is>
      </c>
      <c r="E1184" s="2" t="n">
        <v>1976</v>
      </c>
      <c r="F1184" s="2" t="inlineStr">
        <is>
          <t>фильм-спектакль</t>
        </is>
      </c>
      <c r="G1184" s="2" t="inlineStr">
        <is>
          <t>Главная редакция лит-драм. программ ЦТ</t>
        </is>
      </c>
      <c r="H1184" s="2" t="n">
        <v>119</v>
      </c>
      <c r="I1184" s="2" t="inlineStr"/>
      <c r="J1184" s="2" t="inlineStr">
        <is>
          <t>да</t>
        </is>
      </c>
      <c r="K1184" s="3" t="inlineStr">
        <is>
          <t>Лирическая драма, телеспектакль по одноименной пьесе Джерома Килти.
В основе — спектакль МХАТ (постановщик И.Раевский).</t>
        </is>
      </c>
      <c r="L1184" s="2" t="inlineStr">
        <is>
          <t>https://www.kino-teatr.ru/teatr/movie/3885/annot/</t>
        </is>
      </c>
      <c r="M1184" s="2">
        <f>HYPERLINK("https://ru.wikipedia.org/w/index.php?search=%D0%9C%D0%B8%D0%BB%D1%8B%D0%B9%20%D0%BB%D0%B6%D0%B5%D1%86%201976%20%D1%84%D0%B8%D0%BB%D1%8C%D0%BC","искать")</f>
        <v/>
      </c>
      <c r="N1184" s="3" t="n"/>
      <c r="O1184" s="2" t="n"/>
    </row>
    <row r="1185">
      <c r="A1185" s="2" t="n">
        <v>1184</v>
      </c>
      <c r="B1185" s="2" t="inlineStr">
        <is>
          <t>не сюжет</t>
        </is>
      </c>
      <c r="C1185" s="2" t="n">
        <v>11112</v>
      </c>
      <c r="D1185" s="3" t="inlineStr">
        <is>
          <t>И дольше века длится день</t>
        </is>
      </c>
      <c r="E1185" s="2" t="n">
        <v>1986</v>
      </c>
      <c r="F1185" s="2" t="inlineStr">
        <is>
          <t>фильм-спектакль</t>
        </is>
      </c>
      <c r="G1185" s="2" t="inlineStr">
        <is>
          <t>СИНТЕЗ, СОЮЗТЕАТР, ФОНД СТД СССР, Подборки фильмов, экранизации Чингиза Айтматова</t>
        </is>
      </c>
      <c r="H1185" s="2" t="n">
        <v>119</v>
      </c>
      <c r="I1185" s="2" t="inlineStr"/>
      <c r="J1185" s="2" t="inlineStr">
        <is>
          <t>да</t>
        </is>
      </c>
      <c r="K1185" s="3" t="inlineStr">
        <is>
          <t>Спектакль по одноименному роману Ч.Айтматова.
Видеозапись спектакля Государственного молодежного театра Литовской СССР.</t>
        </is>
      </c>
      <c r="L1185" s="2" t="inlineStr">
        <is>
          <t>https://www.kino-teatr.ru/teatr/movie/12046/annot/</t>
        </is>
      </c>
      <c r="M1185" s="2">
        <f>HYPERLINK("https://ru.wikipedia.org/w/index.php?search=%D0%98%20%D0%B4%D0%BE%D0%BB%D1%8C%D1%88%D0%B5%20%D0%B2%D0%B5%D0%BA%D0%B0%20%D0%B4%D0%BB%D0%B8%D1%82%D1%81%D1%8F%20%D0%B4%D0%B5%D0%BD%D1%8C%201986%20%D1%84%D0%B8%D0%BB%D1%8C%D0%BC","искать")</f>
        <v/>
      </c>
      <c r="N1185" s="3" t="n"/>
      <c r="O1185" s="2" t="n"/>
    </row>
    <row r="1186">
      <c r="A1186" s="2" t="n">
        <v>1185</v>
      </c>
      <c r="B1186" s="2" t="inlineStr">
        <is>
          <t>не сюжет</t>
        </is>
      </c>
      <c r="C1186" s="2" t="n">
        <v>9848</v>
      </c>
      <c r="D1186" s="3" t="inlineStr">
        <is>
          <t>Испытание</t>
        </is>
      </c>
      <c r="E1186" s="2" t="n">
        <v>1968</v>
      </c>
      <c r="F1186" s="2" t="inlineStr">
        <is>
          <t>кинофильм</t>
        </is>
      </c>
      <c r="G1186" s="2" t="inlineStr">
        <is>
          <t>Центрнаучфильм, Подборки фильмов, экранизации Станислава Лема</t>
        </is>
      </c>
      <c r="H1186" s="2" t="n">
        <v>120</v>
      </c>
      <c r="I1186" s="2" t="inlineStr"/>
      <c r="J1186" s="2" t="inlineStr">
        <is>
          <t>да</t>
        </is>
      </c>
      <c r="K1186" s="3" t="inlineStr">
        <is>
          <t>Короткометражный фильм в выпуске киножурнала «Горизонт» № 3.
По одноименному рассказу писателя-фантаста Станислава Лема.</t>
        </is>
      </c>
      <c r="L1186" s="2" t="inlineStr">
        <is>
          <t>https://www.kino-teatr.ru/short/movie/sov/86563/annot/</t>
        </is>
      </c>
      <c r="M1186" s="2">
        <f>HYPERLINK("https://ru.wikipedia.org/w/index.php?search=%D0%98%D1%81%D0%BF%D1%8B%D1%82%D0%B0%D0%BD%D0%B8%D0%B5%201968%20%D1%84%D0%B8%D0%BB%D1%8C%D0%BC","искать")</f>
        <v/>
      </c>
      <c r="N1186" s="3" t="n"/>
      <c r="O1186" s="2" t="n"/>
    </row>
    <row r="1187">
      <c r="A1187" s="2" t="n">
        <v>1186</v>
      </c>
      <c r="B1187" s="2" t="inlineStr">
        <is>
          <t>не сюжет</t>
        </is>
      </c>
      <c r="C1187" s="2" t="n">
        <v>10453</v>
      </c>
      <c r="D1187" s="3" t="inlineStr">
        <is>
          <t>Морская душа</t>
        </is>
      </c>
      <c r="E1187" s="2" t="n">
        <v>1972</v>
      </c>
      <c r="F1187" s="2" t="inlineStr">
        <is>
          <t>фильм-спектакль</t>
        </is>
      </c>
      <c r="G1187" s="2" t="inlineStr">
        <is>
          <t>Гл. ред. лит.-драм. программ</t>
        </is>
      </c>
      <c r="H1187" s="2" t="n">
        <v>120</v>
      </c>
      <c r="I1187" s="2" t="inlineStr"/>
      <c r="J1187" s="2" t="inlineStr">
        <is>
          <t>да</t>
        </is>
      </c>
      <c r="K1187" s="3" t="inlineStr">
        <is>
          <t>Литературная композиция по рассказам Леонида Соболева.
О стойкости советских моряков в годы Великой Отечественной войны.</t>
        </is>
      </c>
      <c r="L1187" s="2" t="inlineStr">
        <is>
          <t>https://www.kino-teatr.ru/teatr/movie/93051/annot/</t>
        </is>
      </c>
      <c r="M1187" s="2">
        <f>HYPERLINK("https://ru.wikipedia.org/w/index.php?search=%D0%9C%D0%BE%D1%80%D1%81%D0%BA%D0%B0%D1%8F%20%D0%B4%D1%83%D1%88%D0%B0%201972%20%D1%84%D0%B8%D0%BB%D1%8C%D0%BC","искать")</f>
        <v/>
      </c>
      <c r="N1187" s="3" t="n"/>
      <c r="O1187" s="2" t="n"/>
    </row>
    <row r="1188">
      <c r="A1188" s="2" t="n">
        <v>1187</v>
      </c>
      <c r="B1188" s="2" t="inlineStr">
        <is>
          <t>не сюжет</t>
        </is>
      </c>
      <c r="C1188" s="2" t="n">
        <v>10578</v>
      </c>
      <c r="D1188" s="3" t="inlineStr">
        <is>
          <t>Отцы и дети</t>
        </is>
      </c>
      <c r="E1188" s="2" t="n">
        <v>1974</v>
      </c>
      <c r="F1188" s="2" t="inlineStr">
        <is>
          <t>фильм-спектакль</t>
        </is>
      </c>
      <c r="G1188" s="2" t="inlineStr">
        <is>
          <t>Гл. ред. литературно-драматических программ, Подборки фильмов, экранизации Тургенева</t>
        </is>
      </c>
      <c r="H1188" s="2" t="n">
        <v>120</v>
      </c>
      <c r="I1188" s="2" t="inlineStr"/>
      <c r="J1188" s="2" t="inlineStr">
        <is>
          <t>да</t>
        </is>
      </c>
      <c r="K1188" s="3" t="inlineStr">
        <is>
          <t>Фильм-спектакль оо одноименному роману И.Тургенева в постановке Государственного академического Малого театра Союза ССР.</t>
        </is>
      </c>
      <c r="L1188" s="2" t="inlineStr">
        <is>
          <t>https://www.kino-teatr.ru/teatr/movie/15074/annot/</t>
        </is>
      </c>
      <c r="M1188" s="2">
        <f>HYPERLINK("https://ru.wikipedia.org/w/index.php?search=%D0%9E%D1%82%D1%86%D1%8B%20%D0%B8%20%D0%B4%D0%B5%D1%82%D0%B8%201974%20%D1%84%D0%B8%D0%BB%D1%8C%D0%BC","искать")</f>
        <v/>
      </c>
      <c r="N1188" s="3" t="n"/>
      <c r="O1188" s="2" t="n"/>
    </row>
    <row r="1189">
      <c r="A1189" s="2" t="n">
        <v>1188</v>
      </c>
      <c r="B1189" s="2" t="inlineStr">
        <is>
          <t>не сюжет</t>
        </is>
      </c>
      <c r="C1189" s="2" t="n">
        <v>8032</v>
      </c>
      <c r="D1189" s="3" t="inlineStr">
        <is>
          <t>Огненные дороги</t>
        </is>
      </c>
      <c r="E1189" s="2" t="n">
        <v>1977</v>
      </c>
      <c r="F1189" s="2" t="inlineStr">
        <is>
          <t>телефильм</t>
        </is>
      </c>
      <c r="G1189" s="2" t="n"/>
      <c r="H1189" s="2" t="n">
        <v>121</v>
      </c>
      <c r="I1189" s="2" t="inlineStr"/>
      <c r="J1189" s="2" t="inlineStr">
        <is>
          <t>да</t>
        </is>
      </c>
      <c r="K1189" s="3" t="inlineStr">
        <is>
          <t>Сериал о жизни и деятельности узбекского писателя, композитора, музыканта, просветителя и революционера Хамзы Хаким-заде.</t>
        </is>
      </c>
      <c r="L1189" s="2" t="inlineStr">
        <is>
          <t>Кино_СССР сводный каталог.xlsx: список телефильмов</t>
        </is>
      </c>
      <c r="M1189" s="2">
        <f>HYPERLINK("https://ru.wikipedia.org/w/index.php?search=%D0%9E%D0%B3%D0%BD%D0%B5%D0%BD%D0%BD%D1%8B%D0%B5%20%D0%B4%D0%BE%D1%80%D0%BE%D0%B3%D0%B8%201977%20%D1%84%D0%B8%D0%BB%D1%8C%D0%BC","искать")</f>
        <v/>
      </c>
      <c r="N1189" s="3" t="n"/>
      <c r="O1189" s="2" t="n"/>
    </row>
    <row r="1190">
      <c r="A1190" s="2" t="n">
        <v>1189</v>
      </c>
      <c r="B1190" s="2" t="inlineStr">
        <is>
          <t>не сюжет</t>
        </is>
      </c>
      <c r="C1190" s="2" t="n">
        <v>8791</v>
      </c>
      <c r="D1190" s="3" t="inlineStr">
        <is>
          <t>Ласточки и воробьи</t>
        </is>
      </c>
      <c r="E1190" s="2" t="n">
        <v>1991</v>
      </c>
      <c r="F1190" s="2" t="inlineStr">
        <is>
          <t>кинофильм</t>
        </is>
      </c>
      <c r="G1190" s="2" t="n"/>
      <c r="H1190" s="2" t="n">
        <v>121</v>
      </c>
      <c r="I1190" s="2" t="inlineStr"/>
      <c r="J1190" s="2" t="inlineStr">
        <is>
          <t>да</t>
        </is>
      </c>
      <c r="K1190" s="3" t="inlineStr">
        <is>
          <t>В приморском грузинском городе идет обычная курортная жизнь. Но уже в воздухе носятся что-то новое - на пороге 90-е годы.</t>
        </is>
      </c>
      <c r="L1190" s="2" t="inlineStr">
        <is>
          <t>Кино_СССР сводный каталог.xlsx: список фильмов (доп.)</t>
        </is>
      </c>
      <c r="M1190" s="2">
        <f>HYPERLINK("https://ru.wikipedia.org/w/index.php?search=%D0%9B%D0%B0%D1%81%D1%82%D0%BE%D1%87%D0%BA%D0%B8%20%D0%B8%20%D0%B2%D0%BE%D1%80%D0%BE%D0%B1%D1%8C%D0%B8%201991%20%D1%84%D0%B8%D0%BB%D1%8C%D0%BC","искать")</f>
        <v/>
      </c>
      <c r="N1190" s="3" t="n"/>
      <c r="O1190" s="2" t="n"/>
    </row>
    <row r="1191">
      <c r="A1191" s="2" t="n">
        <v>1190</v>
      </c>
      <c r="B1191" s="2" t="inlineStr">
        <is>
          <t>не сюжет</t>
        </is>
      </c>
      <c r="C1191" s="2" t="n">
        <v>9661</v>
      </c>
      <c r="D1191" s="3" t="inlineStr">
        <is>
          <t>Солнечной тропой</t>
        </is>
      </c>
      <c r="E1191" s="2" t="n">
        <v>1932</v>
      </c>
      <c r="F1191" s="2" t="inlineStr">
        <is>
          <t>кинофильм</t>
        </is>
      </c>
      <c r="G1191" s="2" t="inlineStr">
        <is>
          <t>Госкинпром Грузии</t>
        </is>
      </c>
      <c r="H1191" s="2" t="n">
        <v>121</v>
      </c>
      <c r="I1191" s="2" t="inlineStr"/>
      <c r="J1191" s="2" t="inlineStr">
        <is>
          <t>да</t>
        </is>
      </c>
      <c r="K1191" s="3" t="inlineStr">
        <is>
          <t>Агитпропфильм о воспитательной роли Красной Армии. Заключение ГРК разыскать не удалось. В ГФФ копия фильма не сохранилась</t>
        </is>
      </c>
      <c r="L1191" s="2" t="inlineStr">
        <is>
          <t>Кино_СССР сводный каталог.xlsx: список фильмов (доп.)</t>
        </is>
      </c>
      <c r="M1191" s="2">
        <f>HYPERLINK("https://ru.wikipedia.org/w/index.php?search=%D0%A1%D0%BE%D0%BB%D0%BD%D0%B5%D1%87%D0%BD%D0%BE%D0%B9%20%D1%82%D1%80%D0%BE%D0%BF%D0%BE%D0%B9%201932%20%D1%84%D0%B8%D0%BB%D1%8C%D0%BC","искать")</f>
        <v/>
      </c>
      <c r="N1191" s="3" t="n"/>
      <c r="O1191" s="2" t="n"/>
    </row>
    <row r="1192">
      <c r="A1192" s="2" t="n">
        <v>1191</v>
      </c>
      <c r="B1192" s="2" t="inlineStr">
        <is>
          <t>не сюжет</t>
        </is>
      </c>
      <c r="C1192" s="2" t="n">
        <v>10474</v>
      </c>
      <c r="D1192" s="3" t="inlineStr">
        <is>
          <t>Том Кенти</t>
        </is>
      </c>
      <c r="E1192" s="2" t="n">
        <v>1972</v>
      </c>
      <c r="F1192" s="2" t="inlineStr">
        <is>
          <t>фильм-спектакль</t>
        </is>
      </c>
      <c r="G1192" s="2" t="inlineStr">
        <is>
          <t>Главная редакция программ для детей и юношества ЦТ</t>
        </is>
      </c>
      <c r="H1192" s="2" t="n">
        <v>121</v>
      </c>
      <c r="I1192" s="2" t="inlineStr"/>
      <c r="J1192" s="2" t="inlineStr">
        <is>
          <t>да</t>
        </is>
      </c>
      <c r="K1192" s="3" t="inlineStr">
        <is>
          <t>По мотивам повести американского писателя М.Твена “Принц и нищий” в исполнении артистов Московского театра юного зрителя.</t>
        </is>
      </c>
      <c r="L1192" s="2" t="inlineStr">
        <is>
          <t>https://www.kino-teatr.ru/teatr/movie/94549/annot/</t>
        </is>
      </c>
      <c r="M1192" s="2">
        <f>HYPERLINK("https://ru.wikipedia.org/w/index.php?search=%D0%A2%D0%BE%D0%BC%20%D0%9A%D0%B5%D0%BD%D1%82%D0%B8%201972%20%D1%84%D0%B8%D0%BB%D1%8C%D0%BC","искать")</f>
        <v/>
      </c>
      <c r="N1192" s="3" t="n"/>
      <c r="O1192" s="2" t="n"/>
    </row>
    <row r="1193">
      <c r="A1193" s="2" t="n">
        <v>1192</v>
      </c>
      <c r="B1193" s="2" t="inlineStr">
        <is>
          <t>не сюжет</t>
        </is>
      </c>
      <c r="C1193" s="2" t="n">
        <v>7804</v>
      </c>
      <c r="D1193" s="3" t="inlineStr">
        <is>
          <t>Лето на память</t>
        </is>
      </c>
      <c r="E1193" s="2" t="n">
        <v>1987</v>
      </c>
      <c r="F1193" s="2" t="inlineStr">
        <is>
          <t>телефильм</t>
        </is>
      </c>
      <c r="G1193" s="2" t="n"/>
      <c r="H1193" s="2" t="n">
        <v>122</v>
      </c>
      <c r="I1193" s="2" t="inlineStr"/>
      <c r="J1193" s="2" t="inlineStr">
        <is>
          <t>да</t>
        </is>
      </c>
      <c r="K1193" s="3" t="inlineStr">
        <is>
          <t>По мотивам рассказов Аркадия Гайдара "Голубая чашка", "Четвертый блиндаж", "Горячий камень", дневникам и письмам писателя.</t>
        </is>
      </c>
      <c r="L1193" s="2" t="inlineStr">
        <is>
          <t>Кино_СССР сводный каталог.xlsx: список телефильмов</t>
        </is>
      </c>
      <c r="M1193" s="2">
        <f>HYPERLINK("https://ru.wikipedia.org/w/index.php?search=%D0%9B%D0%B5%D1%82%D0%BE%20%D0%BD%D0%B0%20%D0%BF%D0%B0%D0%BC%D1%8F%D1%82%D1%8C%201987%20%D1%84%D0%B8%D0%BB%D1%8C%D0%BC","искать")</f>
        <v/>
      </c>
      <c r="N1193" s="3" t="n"/>
      <c r="O1193" s="2" t="n"/>
    </row>
    <row r="1194">
      <c r="A1194" s="2" t="n">
        <v>1193</v>
      </c>
      <c r="B1194" s="2" t="inlineStr">
        <is>
          <t>не сюжет</t>
        </is>
      </c>
      <c r="C1194" s="2" t="n">
        <v>7947</v>
      </c>
      <c r="D1194" s="3" t="inlineStr">
        <is>
          <t>Нам здесь жить</t>
        </is>
      </c>
      <c r="E1194" s="2" t="n">
        <v>1982</v>
      </c>
      <c r="F1194" s="2" t="inlineStr">
        <is>
          <t>телефильм</t>
        </is>
      </c>
      <c r="G1194" s="2" t="n"/>
      <c r="H1194" s="2" t="n">
        <v>122</v>
      </c>
      <c r="I1194" s="2" t="inlineStr"/>
      <c r="J1194" s="2" t="inlineStr">
        <is>
          <t>да</t>
        </is>
      </c>
      <c r="K1194" s="3" t="inlineStr">
        <is>
          <t>Телефильм, события которого разворачиваются на БАМе в изыскательской партии и в поселке, по которому должна пройти трасса.</t>
        </is>
      </c>
      <c r="L1194" s="2" t="inlineStr">
        <is>
          <t>Кино_СССР сводный каталог.xlsx: список телефильмов</t>
        </is>
      </c>
      <c r="M1194" s="2">
        <f>HYPERLINK("https://ru.wikipedia.org/w/index.php?search=%D0%9D%D0%B0%D0%BC%20%D0%B7%D0%B4%D0%B5%D1%81%D1%8C%20%D0%B6%D0%B8%D1%82%D1%8C%201982%20%D1%84%D0%B8%D0%BB%D1%8C%D0%BC","искать")</f>
        <v/>
      </c>
      <c r="N1194" s="3" t="n"/>
      <c r="O1194" s="2" t="n"/>
    </row>
    <row r="1195">
      <c r="A1195" s="2" t="n">
        <v>1194</v>
      </c>
      <c r="B1195" s="2" t="inlineStr">
        <is>
          <t>не сюжет</t>
        </is>
      </c>
      <c r="C1195" s="2" t="n">
        <v>8111</v>
      </c>
      <c r="D1195" s="3" t="inlineStr">
        <is>
          <t>Печники</t>
        </is>
      </c>
      <c r="E1195" s="2" t="n">
        <v>1982</v>
      </c>
      <c r="F1195" s="2" t="inlineStr">
        <is>
          <t>телефильм</t>
        </is>
      </c>
      <c r="G1195" s="2" t="n"/>
      <c r="H1195" s="2" t="n">
        <v>122</v>
      </c>
      <c r="I1195" s="2" t="inlineStr"/>
      <c r="J1195" s="2" t="inlineStr">
        <is>
          <t>да</t>
        </is>
      </c>
      <c r="K1195" s="3" t="inlineStr">
        <is>
          <t>По мотивам рассказов А.Т.Твардовского. В фильме использованы рассказы "Погляжу, какой ты милый", "Возвращение", "Печники".</t>
        </is>
      </c>
      <c r="L1195" s="2" t="inlineStr">
        <is>
          <t>Кино_СССР сводный каталог.xlsx: список телефильмов</t>
        </is>
      </c>
      <c r="M1195" s="2">
        <f>HYPERLINK("https://ru.wikipedia.org/w/index.php?search=%D0%9F%D0%B5%D1%87%D0%BD%D0%B8%D0%BA%D0%B8%201982%20%D1%84%D0%B8%D0%BB%D1%8C%D0%BC","искать")</f>
        <v/>
      </c>
      <c r="N1195" s="3" t="n"/>
      <c r="O1195" s="2" t="n"/>
    </row>
    <row r="1196">
      <c r="A1196" s="2" t="n">
        <v>1195</v>
      </c>
      <c r="B1196" s="2" t="inlineStr">
        <is>
          <t>не сюжет</t>
        </is>
      </c>
      <c r="C1196" s="2" t="n">
        <v>8595</v>
      </c>
      <c r="D1196" s="3" t="inlineStr">
        <is>
          <t>Эти разные, разные, разные лица</t>
        </is>
      </c>
      <c r="E1196" s="2" t="n">
        <v>1971</v>
      </c>
      <c r="F1196" s="2" t="inlineStr">
        <is>
          <t>телефильм</t>
        </is>
      </c>
      <c r="G1196" s="2" t="n"/>
      <c r="H1196" s="2" t="n">
        <v>122</v>
      </c>
      <c r="I1196" s="2" t="inlineStr"/>
      <c r="J1196" s="2" t="inlineStr">
        <is>
          <t>да</t>
        </is>
      </c>
      <c r="K1196" s="3" t="inlineStr">
        <is>
          <t>По мотивам рассказов "Смерть чиновника", "Пересолил", "Оратор", "Ночь перед судом", "Дочь Альбиона", "Сапоги", "Хамелеон".</t>
        </is>
      </c>
      <c r="L1196" s="2" t="inlineStr">
        <is>
          <t>Кино_СССР сводный каталог.xlsx: список телефильмов</t>
        </is>
      </c>
      <c r="M1196" s="2">
        <f>HYPERLINK("https://ru.wikipedia.org/w/index.php?search=%D0%AD%D1%82%D0%B8%20%D1%80%D0%B0%D0%B7%D0%BD%D1%8B%D0%B5%2C%20%D1%80%D0%B0%D0%B7%D0%BD%D1%8B%D0%B5%2C%20%D1%80%D0%B0%D0%B7%D0%BD%D1%8B%D0%B5%20%D0%BB%D0%B8%D1%86%D0%B0%201971%20%D1%84%D0%B8%D0%BB%D1%8C%D0%BC","искать")</f>
        <v/>
      </c>
      <c r="N1196" s="3" t="n"/>
      <c r="O1196" s="2" t="n"/>
    </row>
    <row r="1197">
      <c r="A1197" s="2" t="n">
        <v>1196</v>
      </c>
      <c r="B1197" s="2" t="inlineStr">
        <is>
          <t>не сюжет</t>
        </is>
      </c>
      <c r="C1197" s="2" t="n">
        <v>10565</v>
      </c>
      <c r="D1197" s="3" t="inlineStr">
        <is>
          <t>Лунная соната</t>
        </is>
      </c>
      <c r="E1197" s="2" t="n">
        <v>1974</v>
      </c>
      <c r="F1197" s="2" t="inlineStr">
        <is>
          <t>фильм-спектакль</t>
        </is>
      </c>
      <c r="G1197" s="2" t="n"/>
      <c r="H1197" s="2" t="n">
        <v>122</v>
      </c>
      <c r="I1197" s="2" t="inlineStr"/>
      <c r="J1197" s="2" t="inlineStr">
        <is>
          <t>да</t>
        </is>
      </c>
      <c r="K1197" s="3" t="inlineStr">
        <is>
          <t>По пьесе Ариадны Тур "Лунная соната" ("Я ищу отца").
Фильм-спектакль Московского драматического театра имени М.Н.Ермоловой</t>
        </is>
      </c>
      <c r="L1197" s="2" t="inlineStr">
        <is>
          <t>https://www.kino-teatr.ru/teatr/movie/104099/annot/</t>
        </is>
      </c>
      <c r="M1197" s="2">
        <f>HYPERLINK("https://ru.wikipedia.org/w/index.php?search=%D0%9B%D1%83%D0%BD%D0%BD%D0%B0%D1%8F%20%D1%81%D0%BE%D0%BD%D0%B0%D1%82%D0%B0%201974%20%D1%84%D0%B8%D0%BB%D1%8C%D0%BC","искать")</f>
        <v/>
      </c>
      <c r="N1197" s="3" t="n"/>
      <c r="O1197" s="2" t="n"/>
    </row>
    <row r="1198">
      <c r="A1198" s="2" t="n">
        <v>1197</v>
      </c>
      <c r="B1198" s="2" t="inlineStr">
        <is>
          <t>не сюжет</t>
        </is>
      </c>
      <c r="C1198" s="2" t="n">
        <v>10717</v>
      </c>
      <c r="D1198" s="3" t="inlineStr">
        <is>
          <t>Спартак (фильм-балет)</t>
        </is>
      </c>
      <c r="E1198" s="2" t="n">
        <v>1977</v>
      </c>
      <c r="F1198" s="2" t="inlineStr">
        <is>
          <t>фильм-спектакль</t>
        </is>
      </c>
      <c r="G1198" s="2" t="inlineStr">
        <is>
          <t>Мосфильм</t>
        </is>
      </c>
      <c r="H1198" s="2" t="n">
        <v>122</v>
      </c>
      <c r="I1198" s="2" t="inlineStr"/>
      <c r="J1198" s="2" t="inlineStr">
        <is>
          <t>да</t>
        </is>
      </c>
      <c r="K1198" s="3" t="inlineStr">
        <is>
          <t>Фильм по одноименному балету А.Хачатуряна в исполнении артистов Государственного академического Большого театра Союза ССР.</t>
        </is>
      </c>
      <c r="L1198" s="2" t="inlineStr">
        <is>
          <t>https://www.kino-teatr.ru/teatr/movie/10040/annot/</t>
        </is>
      </c>
      <c r="M1198" s="2">
        <f>HYPERLINK("https://ru.wikipedia.org/w/index.php?search=%D0%A1%D0%BF%D0%B0%D1%80%D1%82%D0%B0%D0%BA%20%28%D1%84%D0%B8%D0%BB%D1%8C%D0%BC-%D0%B1%D0%B0%D0%BB%D0%B5%D1%82%29%201977%20%D1%84%D0%B8%D0%BB%D1%8C%D0%BC","искать")</f>
        <v/>
      </c>
      <c r="N1198" s="3" t="n"/>
      <c r="O1198" s="2" t="n"/>
    </row>
    <row r="1199">
      <c r="A1199" s="2" t="n">
        <v>1198</v>
      </c>
      <c r="B1199" s="2" t="inlineStr">
        <is>
          <t>не сюжет</t>
        </is>
      </c>
      <c r="C1199" s="2" t="n">
        <v>11137</v>
      </c>
      <c r="D1199" s="3" t="inlineStr">
        <is>
          <t>Мизантроп (1986-1987)</t>
        </is>
      </c>
      <c r="E1199" s="2" t="n">
        <v>1986</v>
      </c>
      <c r="F1199" s="2" t="inlineStr">
        <is>
          <t>фильм-спектакль</t>
        </is>
      </c>
      <c r="G1199" s="2" t="n"/>
      <c r="H1199" s="2" t="n">
        <v>122</v>
      </c>
      <c r="I1199" s="2" t="inlineStr"/>
      <c r="J1199" s="2" t="inlineStr">
        <is>
          <t>да</t>
        </is>
      </c>
      <c r="K1199" s="3" t="inlineStr">
        <is>
          <t>Спектакль театра на Таганке по пьесе Мольера.
Последняя работа Анатолия Эфроса.
В спектакле звучит музыка Дюка Эллингтона.</t>
        </is>
      </c>
      <c r="L1199" s="2" t="inlineStr">
        <is>
          <t>https://www.kino-teatr.ru/teatr/movie/138495/annot/</t>
        </is>
      </c>
      <c r="M1199" s="2">
        <f>HYPERLINK("https://ru.wikipedia.org/w/index.php?search=%D0%9C%D0%B8%D0%B7%D0%B0%D0%BD%D1%82%D1%80%D0%BE%D0%BF%20%281986-1987%29%201986%20%D1%84%D0%B8%D0%BB%D1%8C%D0%BC","искать")</f>
        <v/>
      </c>
      <c r="N1199" s="3" t="n"/>
      <c r="O1199" s="2" t="n"/>
    </row>
    <row r="1200">
      <c r="A1200" s="2" t="n">
        <v>1199</v>
      </c>
      <c r="B1200" s="2" t="inlineStr">
        <is>
          <t>не сюжет</t>
        </is>
      </c>
      <c r="C1200" s="2" t="n">
        <v>7300</v>
      </c>
      <c r="D1200" s="3" t="inlineStr">
        <is>
          <t>В семье Пятрайтисов</t>
        </is>
      </c>
      <c r="E1200" s="2" t="n">
        <v>1964</v>
      </c>
      <c r="F1200" s="2" t="inlineStr">
        <is>
          <t>телефильм</t>
        </is>
      </c>
      <c r="G1200" s="2" t="n"/>
      <c r="H1200" s="2" t="n">
        <v>123</v>
      </c>
      <c r="I1200" s="2" t="inlineStr"/>
      <c r="J1200" s="2" t="inlineStr">
        <is>
          <t>да</t>
        </is>
      </c>
      <c r="K1200" s="3" t="inlineStr">
        <is>
          <t>Первый многосерийный литовский телевизионный фильм. Рассказывает в комическом ключе о буднях семьи Пятрайтисов и их друзей.</t>
        </is>
      </c>
      <c r="L1200" s="2" t="inlineStr">
        <is>
          <t>Кино_СССР сводный каталог.xlsx: список телефильмов</t>
        </is>
      </c>
      <c r="M1200" s="2">
        <f>HYPERLINK("https://ru.wikipedia.org/w/index.php?search=%D0%92%20%D1%81%D0%B5%D0%BC%D1%8C%D0%B5%20%D0%9F%D1%8F%D1%82%D1%80%D0%B0%D0%B9%D1%82%D0%B8%D1%81%D0%BE%D0%B2%201964%20%D1%84%D0%B8%D0%BB%D1%8C%D0%BC","искать")</f>
        <v/>
      </c>
      <c r="N1200" s="3" t="n"/>
      <c r="O1200" s="2" t="n"/>
    </row>
    <row r="1201">
      <c r="A1201" s="2" t="n">
        <v>1200</v>
      </c>
      <c r="B1201" s="2" t="inlineStr">
        <is>
          <t>не сюжет</t>
        </is>
      </c>
      <c r="C1201" s="2" t="n">
        <v>9878</v>
      </c>
      <c r="D1201" s="3" t="inlineStr">
        <is>
          <t>На даче</t>
        </is>
      </c>
      <c r="E1201" s="2" t="n">
        <v>1970</v>
      </c>
      <c r="F1201" s="2" t="inlineStr">
        <is>
          <t>телефильм</t>
        </is>
      </c>
      <c r="G1201" s="2" t="inlineStr">
        <is>
          <t>Ленинградское телевидение</t>
        </is>
      </c>
      <c r="H1201" s="2" t="n">
        <v>123</v>
      </c>
      <c r="I1201" s="2" t="inlineStr"/>
      <c r="J1201" s="2" t="inlineStr">
        <is>
          <t>да</t>
        </is>
      </c>
      <c r="K1201" s="3" t="inlineStr">
        <is>
          <t>По одноименному рассказу А.П.Чехова.
Входит в состав трилогии "Чеховские рассказы" ("На даче", "Экзамен на чин", "Юбилей").</t>
        </is>
      </c>
      <c r="L1201" s="2" t="inlineStr">
        <is>
          <t>https://www.kino-teatr.ru/short/movie/sov/9043/annot/</t>
        </is>
      </c>
      <c r="M1201" s="2">
        <f>HYPERLINK("https://ru.wikipedia.org/w/index.php?search=%D0%9D%D0%B0%20%D0%B4%D0%B0%D1%87%D0%B5%201970%20%D1%84%D0%B8%D0%BB%D1%8C%D0%BC","искать")</f>
        <v/>
      </c>
      <c r="N1201" s="3" t="n"/>
      <c r="O1201" s="2" t="n"/>
    </row>
    <row r="1202">
      <c r="A1202" s="2" t="n">
        <v>1201</v>
      </c>
      <c r="B1202" s="2" t="inlineStr">
        <is>
          <t>не сюжет</t>
        </is>
      </c>
      <c r="C1202" s="2" t="n">
        <v>10088</v>
      </c>
      <c r="D1202" s="3" t="inlineStr">
        <is>
          <t>Пёстрые рассказы</t>
        </is>
      </c>
      <c r="E1202" s="2" t="n">
        <v>1961</v>
      </c>
      <c r="F1202" s="2" t="inlineStr">
        <is>
          <t>фильм-спектакль</t>
        </is>
      </c>
      <c r="G1202" s="2" t="inlineStr">
        <is>
          <t>Ленфильм, Центральное телевидение</t>
        </is>
      </c>
      <c r="H1202" s="2" t="n">
        <v>123</v>
      </c>
      <c r="I1202" s="2" t="inlineStr"/>
      <c r="J1202" s="2" t="inlineStr">
        <is>
          <t>да</t>
        </is>
      </c>
      <c r="K1202" s="3" t="inlineStr">
        <is>
          <t>По рассказам А.П.Чехова.
Телеэкранизация спектакля Ленинградского театра комедии в постановке и декорациях Николая Акимова.</t>
        </is>
      </c>
      <c r="L1202" s="2" t="inlineStr">
        <is>
          <t>https://www.kino-teatr.ru/teatr/movie/5102/annot/</t>
        </is>
      </c>
      <c r="M1202" s="2">
        <f>HYPERLINK("https://ru.wikipedia.org/w/index.php?search=%D0%9F%D1%91%D1%81%D1%82%D1%80%D1%8B%D0%B5%20%D1%80%D0%B0%D1%81%D1%81%D0%BA%D0%B0%D0%B7%D1%8B%201961%20%D1%84%D0%B8%D0%BB%D1%8C%D0%BC","искать")</f>
        <v/>
      </c>
      <c r="N1202" s="3" t="n"/>
      <c r="O1202" s="2" t="n"/>
    </row>
    <row r="1203">
      <c r="A1203" s="2" t="n">
        <v>1202</v>
      </c>
      <c r="B1203" s="2" t="inlineStr">
        <is>
          <t>не сюжет</t>
        </is>
      </c>
      <c r="C1203" s="2" t="n">
        <v>10289</v>
      </c>
      <c r="D1203" s="3" t="inlineStr">
        <is>
          <t>Бабье лето 1918 года</t>
        </is>
      </c>
      <c r="E1203" s="2" t="n">
        <v>1969</v>
      </c>
      <c r="F1203" s="2" t="inlineStr">
        <is>
          <t>фильм-спектакль</t>
        </is>
      </c>
      <c r="G1203" s="2" t="inlineStr">
        <is>
          <t>Центральное телевидение</t>
        </is>
      </c>
      <c r="H1203" s="2" t="n">
        <v>123</v>
      </c>
      <c r="I1203" s="2" t="inlineStr"/>
      <c r="J1203" s="2" t="inlineStr">
        <is>
          <t>да</t>
        </is>
      </c>
      <c r="K1203" s="3" t="inlineStr">
        <is>
          <t>Сценарист Алексей Леонтьев посвятил эту пьесу памяти Маши Путиловой, ценой жизни раскрывшей офицерский заговор в 1918 году.</t>
        </is>
      </c>
      <c r="L1203" s="2" t="inlineStr">
        <is>
          <t>https://www.kino-teatr.ru/teatr/movie/136793/annot/</t>
        </is>
      </c>
      <c r="M1203" s="2">
        <f>HYPERLINK("https://ru.wikipedia.org/w/index.php?search=%D0%91%D0%B0%D0%B1%D1%8C%D0%B5%20%D0%BB%D0%B5%D1%82%D0%BE%201918%20%D0%B3%D0%BE%D0%B4%D0%B0%201969%20%D1%84%D0%B8%D0%BB%D1%8C%D0%BC","искать")</f>
        <v/>
      </c>
      <c r="N1203" s="3" t="n"/>
      <c r="O1203" s="2" t="n"/>
    </row>
    <row r="1204">
      <c r="A1204" s="2" t="n">
        <v>1203</v>
      </c>
      <c r="B1204" s="2" t="inlineStr">
        <is>
          <t>не сюжет</t>
        </is>
      </c>
      <c r="C1204" s="2" t="n">
        <v>10444</v>
      </c>
      <c r="D1204" s="3" t="inlineStr">
        <is>
          <t>Золото, золото - сердце народное</t>
        </is>
      </c>
      <c r="E1204" s="2" t="n">
        <v>1972</v>
      </c>
      <c r="F1204" s="2" t="inlineStr">
        <is>
          <t>фильм-спектакль</t>
        </is>
      </c>
      <c r="G1204" s="2" t="inlineStr">
        <is>
          <t>Гл. ред. лит-драм программ</t>
        </is>
      </c>
      <c r="H1204" s="2" t="n">
        <v>123</v>
      </c>
      <c r="I1204" s="2" t="inlineStr"/>
      <c r="J1204" s="2" t="inlineStr">
        <is>
          <t>да</t>
        </is>
      </c>
      <c r="K1204" s="3" t="inlineStr">
        <is>
          <t>Литературная композиция по произведениям Н.А.Некрасова в постановке Государственного академического театра имени Моссовета.</t>
        </is>
      </c>
      <c r="L1204" s="2" t="inlineStr">
        <is>
          <t>https://www.kino-teatr.ru/teatr/movie/15394/annot/</t>
        </is>
      </c>
      <c r="M1204" s="2">
        <f>HYPERLINK("https://ru.wikipedia.org/w/index.php?search=%D0%97%D0%BE%D0%BB%D0%BE%D1%82%D0%BE%2C%20%D0%B7%D0%BE%D0%BB%D0%BE%D1%82%D0%BE%20-%20%D1%81%D0%B5%D1%80%D0%B4%D1%86%D0%B5%20%D0%BD%D0%B0%D1%80%D0%BE%D0%B4%D0%BD%D0%BE%D0%B5%201972%20%D1%84%D0%B8%D0%BB%D1%8C%D0%BC","искать")</f>
        <v/>
      </c>
      <c r="N1204" s="3" t="n"/>
      <c r="O1204" s="2" t="n"/>
    </row>
    <row r="1205">
      <c r="A1205" s="2" t="n">
        <v>1204</v>
      </c>
      <c r="B1205" s="2" t="inlineStr">
        <is>
          <t>не сюжет</t>
        </is>
      </c>
      <c r="C1205" s="2" t="n">
        <v>10831</v>
      </c>
      <c r="D1205" s="3" t="inlineStr">
        <is>
          <t>Антоний и Клеопатра</t>
        </is>
      </c>
      <c r="E1205" s="2" t="n">
        <v>1980</v>
      </c>
      <c r="F1205" s="2" t="inlineStr">
        <is>
          <t>фильм-спектакль</t>
        </is>
      </c>
      <c r="G1205" s="2" t="inlineStr">
        <is>
          <t>Творческое объединение «Экран»</t>
        </is>
      </c>
      <c r="H1205" s="2" t="n">
        <v>123</v>
      </c>
      <c r="I1205" s="2" t="inlineStr"/>
      <c r="J1205" s="2" t="inlineStr">
        <is>
          <t>да</t>
        </is>
      </c>
      <c r="K1205" s="3" t="inlineStr">
        <is>
          <t>Фильм - спектакль по одноименной драме У.Шекспира в постановке Государственного академического театра имени Евг.Вахтангова.</t>
        </is>
      </c>
      <c r="L1205" s="2" t="inlineStr">
        <is>
          <t>https://www.kino-teatr.ru/teatr/movie/11419/annot/</t>
        </is>
      </c>
      <c r="M1205" s="2">
        <f>HYPERLINK("https://ru.wikipedia.org/w/index.php?search=%D0%90%D0%BD%D1%82%D0%BE%D0%BD%D0%B8%D0%B9%20%D0%B8%20%D0%9A%D0%BB%D0%B5%D0%BE%D0%BF%D0%B0%D1%82%D1%80%D0%B0%201980%20%D1%84%D0%B8%D0%BB%D1%8C%D0%BC","искать")</f>
        <v/>
      </c>
      <c r="N1205" s="3" t="n"/>
      <c r="O1205" s="2" t="n"/>
    </row>
    <row r="1206">
      <c r="A1206" s="2" t="n">
        <v>1205</v>
      </c>
      <c r="B1206" s="2" t="inlineStr">
        <is>
          <t>не сюжет</t>
        </is>
      </c>
      <c r="C1206" s="2" t="n">
        <v>7827</v>
      </c>
      <c r="D1206" s="3" t="inlineStr">
        <is>
          <t>Любовь к ближнему</t>
        </is>
      </c>
      <c r="E1206" s="2" t="n">
        <v>1988</v>
      </c>
      <c r="F1206" s="2" t="inlineStr">
        <is>
          <t>телефильм</t>
        </is>
      </c>
      <c r="G1206" s="2" t="n"/>
      <c r="H1206" s="2" t="n">
        <v>124</v>
      </c>
      <c r="I1206" s="2" t="inlineStr"/>
      <c r="J1206" s="2" t="inlineStr">
        <is>
          <t>да</t>
        </is>
      </c>
      <c r="K1206" s="3" t="inlineStr">
        <is>
          <t>По мотивам пьес Л.Андреева "Монумент" и "Любовь к ближнему". Фильм состоит их двух новелл: «Монумент» и «Любовь к ближнему».</t>
        </is>
      </c>
      <c r="L1206" s="2" t="inlineStr">
        <is>
          <t>Кино_СССР сводный каталог.xlsx: список телефильмов</t>
        </is>
      </c>
      <c r="M1206" s="2">
        <f>HYPERLINK("https://ru.wikipedia.org/w/index.php?search=%D0%9B%D1%8E%D0%B1%D0%BE%D0%B2%D1%8C%20%D0%BA%20%D0%B1%D0%BB%D0%B8%D0%B6%D0%BD%D0%B5%D0%BC%D1%83%201988%20%D1%84%D0%B8%D0%BB%D1%8C%D0%BC","искать")</f>
        <v/>
      </c>
      <c r="N1206" s="3" t="n"/>
      <c r="O1206" s="2" t="n"/>
    </row>
    <row r="1207">
      <c r="A1207" s="2" t="n">
        <v>1206</v>
      </c>
      <c r="B1207" s="2" t="inlineStr">
        <is>
          <t>не сюжет</t>
        </is>
      </c>
      <c r="C1207" s="2" t="n">
        <v>8355</v>
      </c>
      <c r="D1207" s="3" t="inlineStr">
        <is>
          <t>Славные шутники</t>
        </is>
      </c>
      <c r="E1207" s="2" t="n">
        <v>1982</v>
      </c>
      <c r="F1207" s="2" t="inlineStr">
        <is>
          <t>телефильм</t>
        </is>
      </c>
      <c r="G1207" s="2" t="n"/>
      <c r="H1207" s="2" t="n">
        <v>124</v>
      </c>
      <c r="I1207" s="2" t="inlineStr"/>
      <c r="J1207" s="2" t="inlineStr">
        <is>
          <t>да</t>
        </is>
      </c>
      <c r="K1207" s="3" t="inlineStr">
        <is>
          <t>Фильм снят по фельетону эстонского писателя Эдуарда Борнхэе "Таллинские шутки и розыгрыши", который был написан в 1892 году.</t>
        </is>
      </c>
      <c r="L1207" s="2" t="inlineStr">
        <is>
          <t>Кино_СССР сводный каталог.xlsx: список телефильмов</t>
        </is>
      </c>
      <c r="M1207" s="2">
        <f>HYPERLINK("https://ru.wikipedia.org/w/index.php?search=%D0%A1%D0%BB%D0%B0%D0%B2%D0%BD%D1%8B%D0%B5%20%D1%88%D1%83%D1%82%D0%BD%D0%B8%D0%BA%D0%B8%201982%20%D1%84%D0%B8%D0%BB%D1%8C%D0%BC","искать")</f>
        <v/>
      </c>
      <c r="N1207" s="3" t="n"/>
      <c r="O1207" s="2" t="n"/>
    </row>
    <row r="1208">
      <c r="A1208" s="2" t="n">
        <v>1207</v>
      </c>
      <c r="B1208" s="2" t="inlineStr">
        <is>
          <t>не сюжет</t>
        </is>
      </c>
      <c r="C1208" s="2" t="n">
        <v>10146</v>
      </c>
      <c r="D1208" s="3" t="inlineStr">
        <is>
          <t>Мятеж неизвестных</t>
        </is>
      </c>
      <c r="E1208" s="2" t="n">
        <v>1965</v>
      </c>
      <c r="F1208" s="2" t="inlineStr">
        <is>
          <t>фильм-спектакль</t>
        </is>
      </c>
      <c r="G1208" s="2" t="inlineStr">
        <is>
          <t>Ленинградское телевидение</t>
        </is>
      </c>
      <c r="H1208" s="2" t="n">
        <v>124</v>
      </c>
      <c r="I1208" s="2" t="inlineStr"/>
      <c r="J1208" s="2" t="inlineStr">
        <is>
          <t>да</t>
        </is>
      </c>
      <c r="K1208" s="3" t="inlineStr">
        <is>
          <t>Спектакль Ленинградского театра им. Комиссаржевской по пьесе Генриха Боровика.
О борьбе за независимость небольшого острова.</t>
        </is>
      </c>
      <c r="L1208" s="2" t="inlineStr">
        <is>
          <t>https://www.kino-teatr.ru/teatr/movie/136482/annot/</t>
        </is>
      </c>
      <c r="M1208" s="2">
        <f>HYPERLINK("https://ru.wikipedia.org/w/index.php?search=%D0%9C%D1%8F%D1%82%D0%B5%D0%B6%20%D0%BD%D0%B5%D0%B8%D0%B7%D0%B2%D0%B5%D1%81%D1%82%D0%BD%D1%8B%D1%85%201965%20%D1%84%D0%B8%D0%BB%D1%8C%D0%BC","искать")</f>
        <v/>
      </c>
      <c r="N1208" s="3" t="n"/>
      <c r="O1208" s="2" t="n"/>
    </row>
    <row r="1209">
      <c r="A1209" s="2" t="n">
        <v>1208</v>
      </c>
      <c r="B1209" s="2" t="inlineStr">
        <is>
          <t>не сюжет</t>
        </is>
      </c>
      <c r="C1209" s="2" t="n">
        <v>11394</v>
      </c>
      <c r="D1209" s="3" t="inlineStr">
        <is>
          <t>Шутите? (киноальманах)</t>
        </is>
      </c>
      <c r="E1209" s="2" t="n">
        <v>1971</v>
      </c>
      <c r="F1209" s="2" t="inlineStr">
        <is>
          <t>телефильм</t>
        </is>
      </c>
      <c r="G1209" s="2" t="n"/>
      <c r="H1209" s="2" t="n">
        <v>124</v>
      </c>
      <c r="I1209" s="2" t="inlineStr"/>
      <c r="J1209" s="2" t="inlineStr">
        <is>
          <t>да</t>
        </is>
      </c>
      <c r="K1209" s="3" t="inlineStr">
        <is>
          <t>Киноальманах выпукников ВГИКа, состоящий из фильмов для детей:"Иначе мы пропали", "Вандербуль бежит за горизонт" и "Шутите?"</t>
        </is>
      </c>
      <c r="L1209" s="2" t="inlineStr">
        <is>
          <t>Кино_СССР телефильмы и пропуски включить в базу.xlsx</t>
        </is>
      </c>
      <c r="M1209" s="2">
        <f>HYPERLINK("https://ru.wikipedia.org/w/index.php?search=%D0%A8%D1%83%D1%82%D0%B8%D1%82%D0%B5%3F%20%28%D0%BA%D0%B8%D0%BD%D0%BE%D0%B0%D0%BB%D1%8C%D0%BC%D0%B0%D0%BD%D0%B0%D1%85%29%201971%20%D1%84%D0%B8%D0%BB%D1%8C%D0%BC","искать")</f>
        <v/>
      </c>
      <c r="N1209" s="3" t="n"/>
      <c r="O1209" s="2" t="n"/>
    </row>
    <row r="1210">
      <c r="A1210" s="2" t="n">
        <v>1209</v>
      </c>
      <c r="B1210" s="2" t="inlineStr">
        <is>
          <t>не сюжет</t>
        </is>
      </c>
      <c r="C1210" s="2" t="n">
        <v>7399</v>
      </c>
      <c r="D1210" s="3" t="inlineStr">
        <is>
          <t>Всё сначала!.. (киноальманах)</t>
        </is>
      </c>
      <c r="E1210" s="2" t="n">
        <v>1975</v>
      </c>
      <c r="F1210" s="2" t="inlineStr">
        <is>
          <t>телефильм</t>
        </is>
      </c>
      <c r="G1210" s="2" t="n"/>
      <c r="H1210" s="2" t="n">
        <v>125</v>
      </c>
      <c r="I1210" s="2" t="inlineStr"/>
      <c r="J1210" s="2" t="inlineStr">
        <is>
          <t>да</t>
        </is>
      </c>
      <c r="K1210" s="3" t="inlineStr">
        <is>
          <t>Фильм состоит из двух комедийных новелл "Последние каникулы" и "Сюрприз". Художественный руководитель фильма Тенгиз Абуладзе.</t>
        </is>
      </c>
      <c r="L1210" s="2" t="inlineStr">
        <is>
          <t>Кино_СССР сводный каталог.xlsx: список телефильмов</t>
        </is>
      </c>
      <c r="M1210" s="2">
        <f>HYPERLINK("https://ru.wikipedia.org/w/index.php?search=%D0%92%D1%81%D1%91%20%D1%81%D0%BD%D0%B0%D1%87%D0%B0%D0%BB%D0%B0%21..%20%28%D0%BA%D0%B8%D0%BD%D0%BE%D0%B0%D0%BB%D1%8C%D0%BC%D0%B0%D0%BD%D0%B0%D1%85%29%201975%20%D1%84%D0%B8%D0%BB%D1%8C%D0%BC","искать")</f>
        <v/>
      </c>
      <c r="N1210" s="3" t="n"/>
      <c r="O1210" s="2" t="n"/>
    </row>
    <row r="1211">
      <c r="A1211" s="2" t="n">
        <v>1210</v>
      </c>
      <c r="B1211" s="2" t="inlineStr">
        <is>
          <t>не сюжет</t>
        </is>
      </c>
      <c r="C1211" s="2" t="n">
        <v>9533</v>
      </c>
      <c r="D1211" s="3" t="inlineStr">
        <is>
          <t>Отец и сын</t>
        </is>
      </c>
      <c r="E1211" s="2" t="n">
        <v>1941</v>
      </c>
      <c r="F1211" s="2" t="inlineStr">
        <is>
          <t>кинофильм</t>
        </is>
      </c>
      <c r="G1211" s="2" t="n"/>
      <c r="H1211" s="2" t="n">
        <v>125</v>
      </c>
      <c r="I1211" s="2" t="inlineStr"/>
      <c r="J1211" s="2" t="inlineStr">
        <is>
          <t>да</t>
        </is>
      </c>
      <c r="K1211" s="3" t="inlineStr">
        <is>
          <t>О соперничестве между отцом — приверженцем традиционных методов плавки металла и сыном-новатором. Фильм на экраны не выпущен.</t>
        </is>
      </c>
      <c r="L1211" s="2" t="inlineStr">
        <is>
          <t>Кино_СССР сводный каталог.xlsx: список фильмов (доп.)</t>
        </is>
      </c>
      <c r="M1211" s="2">
        <f>HYPERLINK("https://ru.wikipedia.org/w/index.php?search=%D0%9E%D1%82%D0%B5%D1%86%20%D0%B8%20%D1%81%D1%8B%D0%BD%201941%20%D1%84%D0%B8%D0%BB%D1%8C%D0%BC","искать")</f>
        <v/>
      </c>
      <c r="N1211" s="3" t="n"/>
      <c r="O1211" s="2" t="n"/>
    </row>
    <row r="1212">
      <c r="A1212" s="2" t="n">
        <v>1211</v>
      </c>
      <c r="B1212" s="2" t="inlineStr">
        <is>
          <t>не сюжет</t>
        </is>
      </c>
      <c r="C1212" s="2" t="n">
        <v>10316</v>
      </c>
      <c r="D1212" s="3" t="inlineStr">
        <is>
          <t>Марки, йоги и 7-а</t>
        </is>
      </c>
      <c r="E1212" s="2" t="n">
        <v>1969</v>
      </c>
      <c r="F1212" s="2" t="inlineStr">
        <is>
          <t>фильм-спектакль</t>
        </is>
      </c>
      <c r="G1212" s="2" t="inlineStr">
        <is>
          <t>Ленинградское телевидение</t>
        </is>
      </c>
      <c r="H1212" s="2" t="n">
        <v>125</v>
      </c>
      <c r="I1212" s="2" t="inlineStr"/>
      <c r="J1212" s="2" t="inlineStr">
        <is>
          <t>да</t>
        </is>
      </c>
      <c r="K1212" s="3" t="inlineStr">
        <is>
          <t>Лирическая комедия из школьной жизни на основе трех рассказов детского писателя Н.Внукова: "Розовая гвиана", "Взрыв", "Йоги".</t>
        </is>
      </c>
      <c r="L1212" s="2" t="inlineStr">
        <is>
          <t>https://www.kino-teatr.ru/teatr/movie/119027/annot/</t>
        </is>
      </c>
      <c r="M1212" s="2">
        <f>HYPERLINK("https://ru.wikipedia.org/w/index.php?search=%D0%9C%D0%B0%D1%80%D0%BA%D0%B8%2C%20%D0%B9%D0%BE%D0%B3%D0%B8%20%D0%B8%207-%D0%B0%201969%20%D1%84%D0%B8%D0%BB%D1%8C%D0%BC","искать")</f>
        <v/>
      </c>
      <c r="N1212" s="3" t="n"/>
      <c r="O1212" s="2" t="n"/>
    </row>
    <row r="1213">
      <c r="A1213" s="2" t="n">
        <v>1212</v>
      </c>
      <c r="B1213" s="2" t="inlineStr">
        <is>
          <t>не сюжет</t>
        </is>
      </c>
      <c r="C1213" s="2" t="n">
        <v>10341</v>
      </c>
      <c r="D1213" s="3" t="inlineStr">
        <is>
          <t>Франсуаза</t>
        </is>
      </c>
      <c r="E1213" s="2" t="n">
        <v>1969</v>
      </c>
      <c r="F1213" s="2" t="inlineStr">
        <is>
          <t>фильм-спектакль</t>
        </is>
      </c>
      <c r="G1213" s="2" t="inlineStr">
        <is>
          <t>Телевизионный театр</t>
        </is>
      </c>
      <c r="H1213" s="2" t="n">
        <v>125</v>
      </c>
      <c r="I1213" s="2" t="inlineStr"/>
      <c r="J1213" s="2" t="inlineStr">
        <is>
          <t>да</t>
        </is>
      </c>
      <c r="K1213" s="3" t="inlineStr">
        <is>
          <t>Оперетта Олега Хромушина о французском движении Сопротивления в годы Второй мировой войны.
Пьеса Р.Немчиновой и Г.Орлеанской.</t>
        </is>
      </c>
      <c r="L1213" s="2" t="inlineStr">
        <is>
          <t>https://www.kino-teatr.ru/teatr/movie/109778/annot/</t>
        </is>
      </c>
      <c r="M1213" s="2">
        <f>HYPERLINK("https://ru.wikipedia.org/w/index.php?search=%D0%A4%D1%80%D0%B0%D0%BD%D1%81%D1%83%D0%B0%D0%B7%D0%B0%201969%20%D1%84%D0%B8%D0%BB%D1%8C%D0%BC","искать")</f>
        <v/>
      </c>
      <c r="N1213" s="3" t="n"/>
      <c r="O1213" s="2" t="n"/>
    </row>
    <row r="1214">
      <c r="A1214" s="2" t="n">
        <v>1213</v>
      </c>
      <c r="B1214" s="2" t="inlineStr">
        <is>
          <t>не сюжет</t>
        </is>
      </c>
      <c r="C1214" s="2" t="n">
        <v>10757</v>
      </c>
      <c r="D1214" s="3" t="inlineStr">
        <is>
          <t>Митрофан и Дормидольский</t>
        </is>
      </c>
      <c r="E1214" s="2" t="n">
        <v>1978</v>
      </c>
      <c r="F1214" s="2" t="inlineStr">
        <is>
          <t>фильм-спектакль</t>
        </is>
      </c>
      <c r="G1214" s="2" t="inlineStr">
        <is>
          <t>Болгарское ТВ</t>
        </is>
      </c>
      <c r="H1214" s="2" t="n">
        <v>125</v>
      </c>
      <c r="I1214" s="2" t="inlineStr"/>
      <c r="J1214" s="2" t="inlineStr">
        <is>
          <t>да</t>
        </is>
      </c>
      <c r="K1214" s="3" t="inlineStr">
        <is>
          <t>Телеспектакль по повести Ивана Вазова "Митрофан и Дормидольский". Впервые повесть опубликована в журнале "Наука" за 1881 год.</t>
        </is>
      </c>
      <c r="L1214" s="2" t="inlineStr">
        <is>
          <t>https://www.kino-teatr.ru/teatr/movie/172550/annot/</t>
        </is>
      </c>
      <c r="M1214" s="2">
        <f>HYPERLINK("https://ru.wikipedia.org/w/index.php?search=%D0%9C%D0%B8%D1%82%D1%80%D0%BE%D1%84%D0%B0%D0%BD%20%D0%B8%20%D0%94%D0%BE%D1%80%D0%BC%D0%B8%D0%B4%D0%BE%D0%BB%D1%8C%D1%81%D0%BA%D0%B8%D0%B9%201978%20%D1%84%D0%B8%D0%BB%D1%8C%D0%BC","искать")</f>
        <v/>
      </c>
      <c r="N1214" s="3" t="n"/>
      <c r="O1214" s="2" t="n"/>
    </row>
    <row r="1215">
      <c r="A1215" s="2" t="n">
        <v>1214</v>
      </c>
      <c r="B1215" s="2" t="inlineStr">
        <is>
          <t>не сюжет</t>
        </is>
      </c>
      <c r="C1215" s="2" t="n">
        <v>7288</v>
      </c>
      <c r="D1215" s="3" t="inlineStr">
        <is>
          <t>Быть человеком</t>
        </is>
      </c>
      <c r="E1215" s="2" t="n">
        <v>1973</v>
      </c>
      <c r="F1215" s="2" t="inlineStr">
        <is>
          <t>телефильм</t>
        </is>
      </c>
      <c r="G1215" s="2" t="inlineStr">
        <is>
          <t>Беларусьфильм</t>
        </is>
      </c>
      <c r="H1215" s="2" t="n">
        <v>126</v>
      </c>
      <c r="I1215" s="2" t="inlineStr"/>
      <c r="J1215" s="2" t="inlineStr">
        <is>
          <t>да</t>
        </is>
      </c>
      <c r="K1215" s="3" t="inlineStr">
        <is>
          <t>По мотивам повести Г.Немченко "Здравствуй, Галочкин!". Телефильм. Герои фильма - молодые строители нефтехимического комбината.</t>
        </is>
      </c>
      <c r="L1215" s="2" t="inlineStr">
        <is>
          <t>Кино_СССР сводный каталог.xlsx: список телефильмов</t>
        </is>
      </c>
      <c r="M1215" s="2">
        <f>HYPERLINK("https://ru.wikipedia.org/w/index.php?search=%D0%91%D1%8B%D1%82%D1%8C%20%D1%87%D0%B5%D0%BB%D0%BE%D0%B2%D0%B5%D0%BA%D0%BE%D0%BC%201973%20%D1%84%D0%B8%D0%BB%D1%8C%D0%BC","искать")</f>
        <v/>
      </c>
      <c r="N1215" s="3" t="n"/>
      <c r="O1215" s="2" t="n"/>
    </row>
    <row r="1216">
      <c r="A1216" s="2" t="n">
        <v>1215</v>
      </c>
      <c r="B1216" s="2" t="inlineStr">
        <is>
          <t>не сюжет</t>
        </is>
      </c>
      <c r="C1216" s="2" t="n">
        <v>9029</v>
      </c>
      <c r="D1216" s="3" t="inlineStr">
        <is>
          <t>СВ. Спальный вагон</t>
        </is>
      </c>
      <c r="E1216" s="2" t="n">
        <v>1989</v>
      </c>
      <c r="F1216" s="2" t="inlineStr">
        <is>
          <t>кинофильм</t>
        </is>
      </c>
      <c r="G1216" s="2" t="n"/>
      <c r="H1216" s="2" t="n">
        <v>126</v>
      </c>
      <c r="I1216" s="2" t="inlineStr"/>
      <c r="J1216" s="2" t="inlineStr">
        <is>
          <t>да</t>
        </is>
      </c>
      <c r="K1216" s="3" t="inlineStr">
        <is>
          <t>Фантасмагория о четырех случайных попутчиках по поезду, судьбы которых, о чем они и не подозревали, давно и тесно переплелись.</t>
        </is>
      </c>
      <c r="L1216" s="2" t="inlineStr">
        <is>
          <t>Кино_СССР сводный каталог.xlsx: список фильмов (доп.)</t>
        </is>
      </c>
      <c r="M1216" s="2">
        <f>HYPERLINK("https://ru.wikipedia.org/w/index.php?search=%D0%A1%D0%92.%20%D0%A1%D0%BF%D0%B0%D0%BB%D1%8C%D0%BD%D1%8B%D0%B9%20%D0%B2%D0%B0%D0%B3%D0%BE%D0%BD%201989%20%D1%84%D0%B8%D0%BB%D1%8C%D0%BC","искать")</f>
        <v/>
      </c>
      <c r="N1216" s="3" t="n"/>
      <c r="O1216" s="2" t="n"/>
    </row>
    <row r="1217">
      <c r="A1217" s="2" t="n">
        <v>1216</v>
      </c>
      <c r="B1217" s="2" t="inlineStr">
        <is>
          <t>не сюжет</t>
        </is>
      </c>
      <c r="C1217" s="2" t="n">
        <v>9066</v>
      </c>
      <c r="D1217" s="3" t="inlineStr">
        <is>
          <t>Старик</t>
        </is>
      </c>
      <c r="E1217" s="2" t="n">
        <v>1968</v>
      </c>
      <c r="F1217" s="2" t="inlineStr">
        <is>
          <t>кинофильм</t>
        </is>
      </c>
      <c r="G1217" s="2" t="n"/>
      <c r="H1217" s="2" t="n">
        <v>126</v>
      </c>
      <c r="I1217" s="2" t="inlineStr"/>
      <c r="J1217" s="2" t="inlineStr">
        <is>
          <t>да</t>
        </is>
      </c>
      <c r="K1217" s="3" t="inlineStr">
        <is>
          <t>По мотивам одноименного рассказа Константина Федина, написанного на основе воспоминаний Николая Чернышевского и его набросков.</t>
        </is>
      </c>
      <c r="L1217" s="2" t="inlineStr">
        <is>
          <t>Кино_СССР сводный каталог.xlsx: список фильмов (доп.)</t>
        </is>
      </c>
      <c r="M1217" s="2">
        <f>HYPERLINK("https://ru.wikipedia.org/w/index.php?search=%D0%A1%D1%82%D0%B0%D1%80%D0%B8%D0%BA%201968%20%D1%84%D0%B8%D0%BB%D1%8C%D0%BC","искать")</f>
        <v/>
      </c>
      <c r="N1217" s="3" t="n"/>
      <c r="O1217" s="2" t="n"/>
    </row>
    <row r="1218">
      <c r="A1218" s="2" t="n">
        <v>1217</v>
      </c>
      <c r="B1218" s="2" t="inlineStr">
        <is>
          <t>не сюжет</t>
        </is>
      </c>
      <c r="C1218" s="2" t="n">
        <v>10537</v>
      </c>
      <c r="D1218" s="3" t="inlineStr">
        <is>
          <t>Аистёнок и пугало</t>
        </is>
      </c>
      <c r="E1218" s="2" t="n">
        <v>1974</v>
      </c>
      <c r="F1218" s="2" t="inlineStr">
        <is>
          <t>фильм-спектакль</t>
        </is>
      </c>
      <c r="G1218" s="2" t="inlineStr">
        <is>
          <t>Ленинградское телевидение</t>
        </is>
      </c>
      <c r="H1218" s="2" t="n">
        <v>126</v>
      </c>
      <c r="I1218" s="2" t="inlineStr"/>
      <c r="J1218" s="2" t="inlineStr">
        <is>
          <t>да</t>
        </is>
      </c>
      <c r="K1218" s="3" t="inlineStr">
        <is>
          <t>Кукольная телевизионная постановка Большого театра кукол в Ленинграде.
По пьесе чешских писательниц Л.Лопейской и Г.Крчуловой.</t>
        </is>
      </c>
      <c r="L1218" s="2" t="inlineStr">
        <is>
          <t>https://www.kino-teatr.ru/teatr/movie/103193/annot/</t>
        </is>
      </c>
      <c r="M1218" s="2">
        <f>HYPERLINK("https://ru.wikipedia.org/w/index.php?search=%D0%90%D0%B8%D1%81%D1%82%D1%91%D0%BD%D0%BE%D0%BA%20%D0%B8%20%D0%BF%D1%83%D0%B3%D0%B0%D0%BB%D0%BE%201974%20%D1%84%D0%B8%D0%BB%D1%8C%D0%BC","искать")</f>
        <v/>
      </c>
      <c r="N1218" s="3" t="n"/>
      <c r="O1218" s="2" t="n"/>
    </row>
    <row r="1219">
      <c r="A1219" s="2" t="n">
        <v>1218</v>
      </c>
      <c r="B1219" s="2" t="inlineStr">
        <is>
          <t>не сюжет</t>
        </is>
      </c>
      <c r="C1219" s="2" t="n">
        <v>10738</v>
      </c>
      <c r="D1219" s="3" t="inlineStr">
        <is>
          <t>Двенадцатая ночь</t>
        </is>
      </c>
      <c r="E1219" s="2" t="n">
        <v>1978</v>
      </c>
      <c r="F1219" s="2" t="inlineStr">
        <is>
          <t>фильм-спектакль</t>
        </is>
      </c>
      <c r="G1219" s="2" t="inlineStr">
        <is>
          <t>ТО ЭКРАН</t>
        </is>
      </c>
      <c r="H1219" s="2" t="n">
        <v>126</v>
      </c>
      <c r="I1219" s="2" t="inlineStr"/>
      <c r="J1219" s="2" t="inlineStr">
        <is>
          <t>да</t>
        </is>
      </c>
      <c r="K1219" s="3" t="inlineStr">
        <is>
          <t>Экранизация спектакля "Двенадцатая ночь" Вильяма Шекспира в постановке московского театра "Современник" (перевод Д.Самойлова).</t>
        </is>
      </c>
      <c r="L1219" s="2" t="inlineStr">
        <is>
          <t>https://www.kino-teatr.ru/teatr/movie/1658/annot/</t>
        </is>
      </c>
      <c r="M1219" s="2">
        <f>HYPERLINK("https://ru.wikipedia.org/w/index.php?search=%D0%94%D0%B2%D0%B5%D0%BD%D0%B0%D0%B4%D1%86%D0%B0%D1%82%D0%B0%D1%8F%20%D0%BD%D0%BE%D1%87%D1%8C%201978%20%D1%84%D0%B8%D0%BB%D1%8C%D0%BC","искать")</f>
        <v/>
      </c>
      <c r="N1219" s="3" t="n"/>
      <c r="O1219" s="2" t="n"/>
    </row>
    <row r="1220">
      <c r="A1220" s="2" t="n">
        <v>1219</v>
      </c>
      <c r="B1220" s="2" t="inlineStr">
        <is>
          <t>не сюжет</t>
        </is>
      </c>
      <c r="C1220" s="2" t="n">
        <v>11246</v>
      </c>
      <c r="D1220" s="3" t="inlineStr">
        <is>
          <t>Алкмена и Амфитрион</t>
        </is>
      </c>
      <c r="E1220" s="2" t="n">
        <v>1989</v>
      </c>
      <c r="F1220" s="2" t="inlineStr">
        <is>
          <t>фильм-спектакль</t>
        </is>
      </c>
      <c r="G1220" s="2" t="inlineStr">
        <is>
          <t>Ленинградское ТВ</t>
        </is>
      </c>
      <c r="H1220" s="2" t="n">
        <v>126</v>
      </c>
      <c r="I1220" s="2" t="inlineStr"/>
      <c r="J1220" s="2" t="inlineStr">
        <is>
          <t>да</t>
        </is>
      </c>
      <c r="K1220" s="3" t="inlineStr">
        <is>
          <t>Мюзикл по мотивам комедии Жана Жироду «Амфитрион-38».
Балетмейстер Юрий Астахов.
В записи песен участвовал ансамбль "Савояры".</t>
        </is>
      </c>
      <c r="L1220" s="2" t="inlineStr">
        <is>
          <t>https://www.kino-teatr.ru/teatr/movie/97008/annot/</t>
        </is>
      </c>
      <c r="M1220" s="2">
        <f>HYPERLINK("https://ru.wikipedia.org/w/index.php?search=%D0%90%D0%BB%D0%BA%D0%BC%D0%B5%D0%BD%D0%B0%20%D0%B8%20%D0%90%D0%BC%D1%84%D0%B8%D1%82%D1%80%D0%B8%D0%BE%D0%BD%201989%20%D1%84%D0%B8%D0%BB%D1%8C%D0%BC","искать")</f>
        <v/>
      </c>
      <c r="N1220" s="3" t="n"/>
      <c r="O1220" s="2" t="n"/>
    </row>
    <row r="1221">
      <c r="A1221" s="2" t="n">
        <v>1220</v>
      </c>
      <c r="B1221" s="2" t="inlineStr">
        <is>
          <t>не сюжет</t>
        </is>
      </c>
      <c r="C1221" s="2" t="n">
        <v>11254</v>
      </c>
      <c r="D1221" s="3" t="inlineStr">
        <is>
          <t>Двойник</t>
        </is>
      </c>
      <c r="E1221" s="2" t="n">
        <v>1989</v>
      </c>
      <c r="F1221" s="2" t="inlineStr">
        <is>
          <t>фильм-спектакль</t>
        </is>
      </c>
      <c r="G1221" s="2" t="inlineStr">
        <is>
          <t>Ленинградское ТВ</t>
        </is>
      </c>
      <c r="H1221" s="2" t="n">
        <v>126</v>
      </c>
      <c r="I1221" s="2" t="inlineStr"/>
      <c r="J1221" s="2" t="inlineStr">
        <is>
          <t>да</t>
        </is>
      </c>
      <c r="K1221" s="3" t="inlineStr">
        <is>
          <t>Телеспектакль по повести Ф.Достоевского "Двойник. Петербургская поэма". В фильме использована музыка из произведений А.Шнитке.</t>
        </is>
      </c>
      <c r="L1221" s="2" t="inlineStr">
        <is>
          <t>https://www.kino-teatr.ru/teatr/movie/119472/annot/</t>
        </is>
      </c>
      <c r="M1221" s="2">
        <f>HYPERLINK("https://ru.wikipedia.org/w/index.php?search=%D0%94%D0%B2%D0%BE%D0%B9%D0%BD%D0%B8%D0%BA%201989%20%D1%84%D0%B8%D0%BB%D1%8C%D0%BC","искать")</f>
        <v/>
      </c>
      <c r="N1221" s="3" t="n"/>
      <c r="O1221" s="2" t="n"/>
    </row>
    <row r="1222">
      <c r="A1222" s="2" t="n">
        <v>1221</v>
      </c>
      <c r="B1222" s="2" t="inlineStr">
        <is>
          <t>не сюжет</t>
        </is>
      </c>
      <c r="C1222" s="2" t="n">
        <v>11372</v>
      </c>
      <c r="D1222" s="3" t="inlineStr">
        <is>
          <t>Женитьба Бальзаминова</t>
        </is>
      </c>
      <c r="E1222" s="2" t="n">
        <v>1989</v>
      </c>
      <c r="F1222" s="2" t="inlineStr">
        <is>
          <t>фильм-опера/балет</t>
        </is>
      </c>
      <c r="G1222" s="2" t="inlineStr">
        <is>
          <t>Ленфильм</t>
        </is>
      </c>
      <c r="H1222" s="2" t="n">
        <v>126</v>
      </c>
      <c r="I1222" s="2" t="inlineStr"/>
      <c r="J1222" s="2" t="inlineStr">
        <is>
          <t>да</t>
        </is>
      </c>
      <c r="K1222" s="3" t="inlineStr">
        <is>
          <t>Фильм-балет. Хореографическая фантазия, музыкальная комедия. По мотивам трилогии А.Н.Островского. Хореография Олега Тимуршина.</t>
        </is>
      </c>
      <c r="L1222" s="2" t="inlineStr">
        <is>
          <t>Кино_СССР телефильмы и пропуски включить в базу.xlsx</t>
        </is>
      </c>
      <c r="M1222" s="2">
        <f>HYPERLINK("https://ru.wikipedia.org/w/index.php?search=%D0%96%D0%B5%D0%BD%D0%B8%D1%82%D1%8C%D0%B1%D0%B0%20%D0%91%D0%B0%D0%BB%D1%8C%D0%B7%D0%B0%D0%BC%D0%B8%D0%BD%D0%BE%D0%B2%D0%B0%201989%20%D1%84%D0%B8%D0%BB%D1%8C%D0%BC","искать")</f>
        <v/>
      </c>
      <c r="N1222" s="3" t="n"/>
      <c r="O1222" s="2" t="n"/>
    </row>
    <row r="1223">
      <c r="A1223" s="2" t="n">
        <v>1222</v>
      </c>
      <c r="B1223" s="2" t="inlineStr">
        <is>
          <t>не сюжет</t>
        </is>
      </c>
      <c r="C1223" s="2" t="n">
        <v>9162</v>
      </c>
      <c r="D1223" s="3" t="inlineStr">
        <is>
          <t>Что-то произошло</t>
        </is>
      </c>
      <c r="E1223" s="2" t="n">
        <v>1986</v>
      </c>
      <c r="F1223" s="2" t="inlineStr">
        <is>
          <t>кинофильм</t>
        </is>
      </c>
      <c r="G1223" s="2" t="n"/>
      <c r="H1223" s="2" t="n">
        <v>127</v>
      </c>
      <c r="I1223" s="2" t="inlineStr"/>
      <c r="J1223" s="2" t="inlineStr">
        <is>
          <t>да</t>
        </is>
      </c>
      <c r="K1223" s="3" t="inlineStr">
        <is>
          <t>Культовый музыкальный фильм, в основу которого положены десять клипов популярных в 80-ые годы групп "Фойе", "Антис" и "Артель".</t>
        </is>
      </c>
      <c r="L1223" s="2" t="inlineStr">
        <is>
          <t>Кино_СССР сводный каталог.xlsx: список фильмов (доп.)</t>
        </is>
      </c>
      <c r="M1223" s="2">
        <f>HYPERLINK("https://ru.wikipedia.org/w/index.php?search=%D0%A7%D1%82%D0%BE-%D1%82%D0%BE%20%D0%BF%D1%80%D0%BE%D0%B8%D0%B7%D0%BE%D1%88%D0%BB%D0%BE%201986%20%D1%84%D0%B8%D0%BB%D1%8C%D0%BC","искать")</f>
        <v/>
      </c>
      <c r="N1223" s="3" t="n"/>
      <c r="O1223" s="2" t="n"/>
    </row>
    <row r="1224">
      <c r="A1224" s="2" t="n">
        <v>1223</v>
      </c>
      <c r="B1224" s="2" t="inlineStr">
        <is>
          <t>не сюжет</t>
        </is>
      </c>
      <c r="C1224" s="2" t="n">
        <v>10770</v>
      </c>
      <c r="D1224" s="3" t="inlineStr">
        <is>
          <t>Последняя ночь уходящего года</t>
        </is>
      </c>
      <c r="E1224" s="2" t="n">
        <v>1978</v>
      </c>
      <c r="F1224" s="2" t="inlineStr">
        <is>
          <t>фильм-спектакль</t>
        </is>
      </c>
      <c r="G1224" s="2" t="n"/>
      <c r="H1224" s="2" t="n">
        <v>127</v>
      </c>
      <c r="I1224" s="2" t="inlineStr"/>
      <c r="J1224" s="2" t="inlineStr">
        <is>
          <t>да</t>
        </is>
      </c>
      <c r="K1224" s="3" t="inlineStr">
        <is>
          <t>По мотивам одноименной пьесы Анара. Фильм посвящается матери, оберегающей тепло своего очага, спокойствие и благополучие семьи.</t>
        </is>
      </c>
      <c r="L1224" s="2" t="inlineStr">
        <is>
          <t>https://www.kino-teatr.ru/teatr/movie/106183/annot/</t>
        </is>
      </c>
      <c r="M1224" s="2">
        <f>HYPERLINK("https://ru.wikipedia.org/w/index.php?search=%D0%9F%D0%BE%D1%81%D0%BB%D0%B5%D0%B4%D0%BD%D1%8F%D1%8F%20%D0%BD%D0%BE%D1%87%D1%8C%20%D1%83%D1%85%D0%BE%D0%B4%D1%8F%D1%89%D0%B5%D0%B3%D0%BE%20%D0%B3%D0%BE%D0%B4%D0%B0%201978%20%D1%84%D0%B8%D0%BB%D1%8C%D0%BC","искать")</f>
        <v/>
      </c>
      <c r="N1224" s="3" t="n"/>
      <c r="O1224" s="2" t="n"/>
    </row>
    <row r="1225">
      <c r="A1225" s="2" t="n">
        <v>1224</v>
      </c>
      <c r="B1225" s="2" t="inlineStr">
        <is>
          <t>не сюжет</t>
        </is>
      </c>
      <c r="C1225" s="2" t="n">
        <v>11089</v>
      </c>
      <c r="D1225" s="3" t="inlineStr">
        <is>
          <t>Чукоккала</t>
        </is>
      </c>
      <c r="E1225" s="2" t="n">
        <v>1985</v>
      </c>
      <c r="F1225" s="2" t="inlineStr">
        <is>
          <t>фильм-спектакль</t>
        </is>
      </c>
      <c r="G1225" s="2" t="inlineStr">
        <is>
          <t>Главная редакция литературно-драматических программ ЦТ</t>
        </is>
      </c>
      <c r="H1225" s="2" t="n">
        <v>127</v>
      </c>
      <c r="I1225" s="2" t="inlineStr"/>
      <c r="J1225" s="2" t="inlineStr">
        <is>
          <t>да</t>
        </is>
      </c>
      <c r="K1225" s="3" t="inlineStr">
        <is>
          <t>По стихам и сказкам К.И.Чуковского в постановке Театра юного зрителя имени Ленинского комсомола Латвийской ССР (Рижского ТЮЗа).</t>
        </is>
      </c>
      <c r="L1225" s="2" t="inlineStr">
        <is>
          <t>https://www.kino-teatr.ru/teatr/movie/108512/annot/</t>
        </is>
      </c>
      <c r="M1225" s="2">
        <f>HYPERLINK("https://ru.wikipedia.org/w/index.php?search=%D0%A7%D1%83%D0%BA%D0%BE%D0%BA%D0%BA%D0%B0%D0%BB%D0%B0%201985%20%D1%84%D0%B8%D0%BB%D1%8C%D0%BC","искать")</f>
        <v/>
      </c>
      <c r="N1225" s="3" t="n"/>
      <c r="O1225" s="2" t="n"/>
    </row>
    <row r="1226">
      <c r="A1226" s="2" t="n">
        <v>1225</v>
      </c>
      <c r="B1226" s="2" t="inlineStr">
        <is>
          <t>не сюжет</t>
        </is>
      </c>
      <c r="C1226" s="2" t="n">
        <v>11282</v>
      </c>
      <c r="D1226" s="3" t="inlineStr">
        <is>
          <t>Село Степанчиково и его обитатели</t>
        </is>
      </c>
      <c r="E1226" s="2" t="n">
        <v>1989</v>
      </c>
      <c r="F1226" s="2" t="inlineStr">
        <is>
          <t>фильм-спектакль</t>
        </is>
      </c>
      <c r="G1226" s="2" t="inlineStr">
        <is>
          <t>Литовское телевидение, Подборки фильмов, экранизации Достоевского</t>
        </is>
      </c>
      <c r="H1226" s="2" t="n">
        <v>127</v>
      </c>
      <c r="I1226" s="2" t="inlineStr"/>
      <c r="J1226" s="2" t="inlineStr">
        <is>
          <t>да</t>
        </is>
      </c>
      <c r="K1226" s="3" t="inlineStr">
        <is>
          <t>Фильм-спектакль Литовского государственного драматического театра по повести Федора Михайловича Достоевского. Запись 1989 года.</t>
        </is>
      </c>
      <c r="L1226" s="2" t="inlineStr">
        <is>
          <t>https://www.kino-teatr.ru/teatr/movie/108690/annot/</t>
        </is>
      </c>
      <c r="M1226" s="2">
        <f>HYPERLINK("https://ru.wikipedia.org/w/index.php?search=%D0%A1%D0%B5%D0%BB%D0%BE%20%D0%A1%D1%82%D0%B5%D0%BF%D0%B0%D0%BD%D1%87%D0%B8%D0%BA%D0%BE%D0%B2%D0%BE%20%D0%B8%20%D0%B5%D0%B3%D0%BE%20%D0%BE%D0%B1%D0%B8%D1%82%D0%B0%D1%82%D0%B5%D0%BB%D0%B8%201989%20%D1%84%D0%B8%D0%BB%D1%8C%D0%BC","искать")</f>
        <v/>
      </c>
      <c r="N1226" s="3" t="n"/>
      <c r="O1226" s="2" t="n"/>
    </row>
    <row r="1227">
      <c r="A1227" s="2" t="n">
        <v>1226</v>
      </c>
      <c r="B1227" s="2" t="inlineStr">
        <is>
          <t>не сюжет</t>
        </is>
      </c>
      <c r="C1227" s="2" t="n">
        <v>8904</v>
      </c>
      <c r="D1227" s="3" t="inlineStr">
        <is>
          <t>Остров 007</t>
        </is>
      </c>
      <c r="E1227" s="2" t="n">
        <v>1991</v>
      </c>
      <c r="F1227" s="2" t="inlineStr">
        <is>
          <t>кинофильм</t>
        </is>
      </c>
      <c r="G1227" s="2" t="n"/>
      <c r="H1227" s="2" t="n">
        <v>128</v>
      </c>
      <c r="I1227" s="2" t="inlineStr"/>
      <c r="J1227" s="2" t="inlineStr">
        <is>
          <t>да</t>
        </is>
      </c>
      <c r="K1227" s="3" t="inlineStr">
        <is>
          <t>"Остров" - это место, где человек приходит к пониманию самого себя и задается вопросом: возможна ли борьба со своим alter ego?..</t>
        </is>
      </c>
      <c r="L1227" s="2" t="inlineStr">
        <is>
          <t>Кино_СССР сводный каталог.xlsx: список фильмов (доп.)</t>
        </is>
      </c>
      <c r="M1227" s="2">
        <f>HYPERLINK("https://ru.wikipedia.org/w/index.php?search=%D0%9E%D1%81%D1%82%D1%80%D0%BE%D0%B2%20007%201991%20%D1%84%D0%B8%D0%BB%D1%8C%D0%BC","искать")</f>
        <v/>
      </c>
      <c r="N1227" s="3" t="n"/>
      <c r="O1227" s="2" t="n"/>
    </row>
    <row r="1228">
      <c r="A1228" s="2" t="n">
        <v>1227</v>
      </c>
      <c r="B1228" s="2" t="inlineStr">
        <is>
          <t>не сюжет</t>
        </is>
      </c>
      <c r="C1228" s="2" t="n">
        <v>11057</v>
      </c>
      <c r="D1228" s="3" t="inlineStr">
        <is>
          <t>Диктатура</t>
        </is>
      </c>
      <c r="E1228" s="2" t="n">
        <v>1985</v>
      </c>
      <c r="F1228" s="2" t="inlineStr">
        <is>
          <t>фильм-спектакль</t>
        </is>
      </c>
      <c r="G1228" s="2" t="inlineStr">
        <is>
          <t>Гостелерадио СССР, Укртелефильм</t>
        </is>
      </c>
      <c r="H1228" s="2" t="n">
        <v>128</v>
      </c>
      <c r="I1228" s="2" t="inlineStr"/>
      <c r="J1228" s="2" t="inlineStr">
        <is>
          <t>да</t>
        </is>
      </c>
      <c r="K1228" s="3" t="inlineStr">
        <is>
          <t>Фильм-спектакль по пьесе украинского писателя и драматурга Ивана Микитенко о судьбе украинского крестьянства в конце 20-х годов.</t>
        </is>
      </c>
      <c r="L1228" s="2" t="inlineStr">
        <is>
          <t>https://www.kino-teatr.ru/teatr/movie/96863/annot/</t>
        </is>
      </c>
      <c r="M1228" s="2">
        <f>HYPERLINK("https://ru.wikipedia.org/w/index.php?search=%D0%94%D0%B8%D0%BA%D1%82%D0%B0%D1%82%D1%83%D1%80%D0%B0%201985%20%D1%84%D0%B8%D0%BB%D1%8C%D0%BC","искать")</f>
        <v/>
      </c>
      <c r="N1228" s="3" t="n"/>
      <c r="O1228" s="2" t="n"/>
    </row>
    <row r="1229">
      <c r="A1229" s="2" t="n">
        <v>1228</v>
      </c>
      <c r="B1229" s="2" t="inlineStr">
        <is>
          <t>не сюжет</t>
        </is>
      </c>
      <c r="C1229" s="2" t="n">
        <v>11306</v>
      </c>
      <c r="D1229" s="3" t="inlineStr">
        <is>
          <t>Куд-куд-куда?!..</t>
        </is>
      </c>
      <c r="E1229" s="2" t="n">
        <v>1990</v>
      </c>
      <c r="F1229" s="2" t="inlineStr">
        <is>
          <t>фильм-спектакль</t>
        </is>
      </c>
      <c r="G1229" s="2" t="inlineStr">
        <is>
          <t>Главная редакция программ для молодёжи ЦТ; ТПО"Арка",ВПТО"Видеофильм"</t>
        </is>
      </c>
      <c r="H1229" s="2" t="n">
        <v>128</v>
      </c>
      <c r="I1229" s="2" t="inlineStr"/>
      <c r="J1229" s="2" t="inlineStr">
        <is>
          <t>да</t>
        </is>
      </c>
      <c r="K1229" s="3" t="inlineStr">
        <is>
          <t>Провинциальная комедия с буффонадой, поп-музыкой, реминисценцией с участием Игоря Корнелюка и Илоны Броневицкой в городе Угличе.</t>
        </is>
      </c>
      <c r="L1229" s="2" t="inlineStr">
        <is>
          <t>https://www.kino-teatr.ru/teatr/movie/97276/annot/</t>
        </is>
      </c>
      <c r="M1229" s="2">
        <f>HYPERLINK("https://ru.wikipedia.org/w/index.php?search=%D0%9A%D1%83%D0%B4-%D0%BA%D1%83%D0%B4-%D0%BA%D1%83%D0%B4%D0%B0%3F%21..%201990%20%D1%84%D0%B8%D0%BB%D1%8C%D0%BC","искать")</f>
        <v/>
      </c>
      <c r="N1229" s="3" t="n"/>
      <c r="O1229" s="2" t="n"/>
    </row>
    <row r="1230">
      <c r="A1230" s="2" t="n">
        <v>1229</v>
      </c>
      <c r="B1230" s="2" t="inlineStr">
        <is>
          <t>не сюжет</t>
        </is>
      </c>
      <c r="C1230" s="2" t="n">
        <v>10452</v>
      </c>
      <c r="D1230" s="3" t="inlineStr">
        <is>
          <t>Мой остров синий...</t>
        </is>
      </c>
      <c r="E1230" s="2" t="n">
        <v>1972</v>
      </c>
      <c r="F1230" s="2" t="inlineStr">
        <is>
          <t>фильм-спектакль</t>
        </is>
      </c>
      <c r="G1230" s="2" t="inlineStr">
        <is>
          <t>Гостелерадио СССР</t>
        </is>
      </c>
      <c r="H1230" s="2" t="n">
        <v>129</v>
      </c>
      <c r="I1230" s="2" t="inlineStr"/>
      <c r="J1230" s="2" t="inlineStr">
        <is>
          <t>да</t>
        </is>
      </c>
      <c r="K1230" s="3" t="inlineStr">
        <is>
          <t>По пьесе итальянских драматургов П.Гаринеи и С.Джованнини "Ты герой, я герой" в постановке Московского цыганского театра "Ромэн".</t>
        </is>
      </c>
      <c r="L1230" s="2" t="inlineStr">
        <is>
          <t>https://www.kino-teatr.ru/teatr/movie/9962/annot/</t>
        </is>
      </c>
      <c r="M1230" s="2">
        <f>HYPERLINK("https://ru.wikipedia.org/w/index.php?search=%D0%9C%D0%BE%D0%B9%20%D0%BE%D1%81%D1%82%D1%80%D0%BE%D0%B2%20%D1%81%D0%B8%D0%BD%D0%B8%D0%B9...%201972%20%D1%84%D0%B8%D0%BB%D1%8C%D0%BC","искать")</f>
        <v/>
      </c>
      <c r="N1230" s="3" t="n"/>
      <c r="O1230" s="2" t="n"/>
    </row>
    <row r="1231">
      <c r="A1231" s="2" t="n">
        <v>1230</v>
      </c>
      <c r="B1231" s="2" t="inlineStr">
        <is>
          <t>не сюжет</t>
        </is>
      </c>
      <c r="C1231" s="2" t="n">
        <v>10580</v>
      </c>
      <c r="D1231" s="3" t="inlineStr">
        <is>
          <t>Пир во время чумы</t>
        </is>
      </c>
      <c r="E1231" s="2" t="n">
        <v>1974</v>
      </c>
      <c r="F1231" s="2" t="inlineStr">
        <is>
          <t>фильм-спектакль</t>
        </is>
      </c>
      <c r="G1231" s="2" t="inlineStr">
        <is>
          <t>Центральное телевидение, Подборки фильмов, экранизации Пушкина</t>
        </is>
      </c>
      <c r="H1231" s="2" t="n">
        <v>129</v>
      </c>
      <c r="I1231" s="2" t="inlineStr"/>
      <c r="J1231" s="2" t="inlineStr">
        <is>
          <t>да</t>
        </is>
      </c>
      <c r="K1231" s="3" t="inlineStr">
        <is>
          <t>Телеспектакль по А.С.Пушкину к 175-летию со дня рождения поэта. Из произведений последних лет. Вступительное слово С.Гиацинтовой.</t>
        </is>
      </c>
      <c r="L1231" s="2" t="inlineStr">
        <is>
          <t>https://www.kino-teatr.ru/teatr/movie/5127/annot/</t>
        </is>
      </c>
      <c r="M1231" s="2">
        <f>HYPERLINK("https://ru.wikipedia.org/w/index.php?search=%D0%9F%D0%B8%D1%80%20%D0%B2%D0%BE%20%D0%B2%D1%80%D0%B5%D0%BC%D1%8F%20%D1%87%D1%83%D0%BC%D1%8B%201974%20%D1%84%D0%B8%D0%BB%D1%8C%D0%BC","искать")</f>
        <v/>
      </c>
      <c r="N1231" s="3" t="n"/>
      <c r="O1231" s="2" t="n"/>
    </row>
    <row r="1232">
      <c r="A1232" s="2" t="n">
        <v>1231</v>
      </c>
      <c r="B1232" s="2" t="inlineStr">
        <is>
          <t>не сюжет</t>
        </is>
      </c>
      <c r="C1232" s="2" t="n">
        <v>11041</v>
      </c>
      <c r="D1232" s="3" t="inlineStr">
        <is>
          <t>Рудольф и Ирма</t>
        </is>
      </c>
      <c r="E1232" s="2" t="n">
        <v>1984</v>
      </c>
      <c r="F1232" s="2" t="inlineStr">
        <is>
          <t>фильм-спектакль</t>
        </is>
      </c>
      <c r="G1232" s="2" t="n"/>
      <c r="H1232" s="2" t="n">
        <v>129</v>
      </c>
      <c r="I1232" s="2" t="inlineStr"/>
      <c r="J1232" s="2" t="inlineStr">
        <is>
          <t>да</t>
        </is>
      </c>
      <c r="K1232" s="3" t="inlineStr">
        <is>
          <t>Фильм-спектакль поставлен по роману "Жизнь и любовь" классика эстонской литературы, эстонского писателя А.Х.Таммсааре(1878-1940).</t>
        </is>
      </c>
      <c r="L1232" s="2" t="inlineStr">
        <is>
          <t>https://www.kino-teatr.ru/teatr/movie/88944/annot/</t>
        </is>
      </c>
      <c r="M1232" s="2">
        <f>HYPERLINK("https://ru.wikipedia.org/w/index.php?search=%D0%A0%D1%83%D0%B4%D0%BE%D0%BB%D1%8C%D1%84%20%D0%B8%20%D0%98%D1%80%D0%BC%D0%B0%201984%20%D1%84%D0%B8%D0%BB%D1%8C%D0%BC","искать")</f>
        <v/>
      </c>
      <c r="N1232" s="3" t="n"/>
      <c r="O1232" s="2" t="n"/>
    </row>
    <row r="1233">
      <c r="A1233" s="2" t="n">
        <v>1232</v>
      </c>
      <c r="B1233" s="2" t="inlineStr">
        <is>
          <t>не сюжет</t>
        </is>
      </c>
      <c r="C1233" s="2" t="n">
        <v>11304</v>
      </c>
      <c r="D1233" s="3" t="inlineStr">
        <is>
          <t>Княжны</t>
        </is>
      </c>
      <c r="E1233" s="2" t="n">
        <v>1990</v>
      </c>
      <c r="F1233" s="2" t="inlineStr">
        <is>
          <t>фильм-спектакль</t>
        </is>
      </c>
      <c r="G1233" s="2" t="n"/>
      <c r="H1233" s="2" t="n">
        <v>129</v>
      </c>
      <c r="I1233" s="2" t="inlineStr"/>
      <c r="J1233" s="2" t="inlineStr">
        <is>
          <t>да</t>
        </is>
      </c>
      <c r="K1233" s="3" t="inlineStr">
        <is>
          <t>Телеспектакль по пьесе А.Мишарина.
Рассказ о двух сестрах, в котором одна была замужем за комиссаром, другая – за белогвардейцем.</t>
        </is>
      </c>
      <c r="L1233" s="2" t="inlineStr">
        <is>
          <t>https://www.kino-teatr.ru/teatr/movie/119936/annot/</t>
        </is>
      </c>
      <c r="M1233" s="2">
        <f>HYPERLINK("https://ru.wikipedia.org/w/index.php?search=%D0%9A%D0%BD%D1%8F%D0%B6%D0%BD%D1%8B%201990%20%D1%84%D0%B8%D0%BB%D1%8C%D0%BC","искать")</f>
        <v/>
      </c>
      <c r="N1233" s="3" t="n"/>
      <c r="O1233" s="2" t="n"/>
    </row>
    <row r="1234">
      <c r="A1234" s="2" t="n">
        <v>1233</v>
      </c>
      <c r="B1234" s="2" t="inlineStr">
        <is>
          <t>не сюжет</t>
        </is>
      </c>
      <c r="C1234" s="2" t="n">
        <v>7559</v>
      </c>
      <c r="D1234" s="3" t="inlineStr">
        <is>
          <t>Дрессировщики</t>
        </is>
      </c>
      <c r="E1234" s="2" t="n">
        <v>1975</v>
      </c>
      <c r="F1234" s="2" t="inlineStr">
        <is>
          <t>телефильм</t>
        </is>
      </c>
      <c r="G1234" s="2" t="n"/>
      <c r="H1234" s="2" t="n">
        <v>130</v>
      </c>
      <c r="I1234" s="2" t="inlineStr"/>
      <c r="J1234" s="2" t="inlineStr">
        <is>
          <t>да</t>
        </is>
      </c>
      <c r="K1234" s="3" t="inlineStr">
        <is>
          <t>Дружба, а вовсе не дрессура - лейтмотив многосерийного художественного фильма об общении детей цирковых дрессировщиков и животных.</t>
        </is>
      </c>
      <c r="L1234" s="2" t="inlineStr">
        <is>
          <t>Кино_СССР сводный каталог.xlsx: список телефильмов</t>
        </is>
      </c>
      <c r="M1234" s="2">
        <f>HYPERLINK("https://ru.wikipedia.org/w/index.php?search=%D0%94%D1%80%D0%B5%D1%81%D1%81%D0%B8%D1%80%D0%BE%D0%B2%D1%89%D0%B8%D0%BA%D0%B8%201975%20%D1%84%D0%B8%D0%BB%D1%8C%D0%BC","искать")</f>
        <v/>
      </c>
      <c r="N1234" s="3" t="n"/>
      <c r="O1234" s="2" t="n"/>
    </row>
    <row r="1235">
      <c r="A1235" s="2" t="n">
        <v>1234</v>
      </c>
      <c r="B1235" s="2" t="inlineStr">
        <is>
          <t>не сюжет</t>
        </is>
      </c>
      <c r="C1235" s="2" t="n">
        <v>8033</v>
      </c>
      <c r="D1235" s="3" t="inlineStr">
        <is>
          <t>Огненный мост</t>
        </is>
      </c>
      <c r="E1235" s="2" t="n">
        <v>1976</v>
      </c>
      <c r="F1235" s="2" t="inlineStr">
        <is>
          <t>телефильм</t>
        </is>
      </c>
      <c r="G1235" s="2" t="inlineStr">
        <is>
          <t>ТО «Экран»</t>
        </is>
      </c>
      <c r="H1235" s="2" t="n">
        <v>130</v>
      </c>
      <c r="I1235" s="2" t="inlineStr"/>
      <c r="J1235" s="2" t="inlineStr">
        <is>
          <t>да</t>
        </is>
      </c>
      <c r="K1235" s="3" t="inlineStr">
        <is>
          <t>По мотивам одноименной пьесы Б.Ромашова. Об участии интеллигенции в революции и послереволюционных преобразованиях страны Советов.</t>
        </is>
      </c>
      <c r="L1235" s="2" t="inlineStr">
        <is>
          <t>Кино_СССР сводный каталог.xlsx: список телефильмов</t>
        </is>
      </c>
      <c r="M1235" s="2">
        <f>HYPERLINK("https://ru.wikipedia.org/w/index.php?search=%D0%9E%D0%B3%D0%BD%D0%B5%D0%BD%D0%BD%D1%8B%D0%B9%20%D0%BC%D0%BE%D1%81%D1%82%201976%20%D1%84%D0%B8%D0%BB%D1%8C%D0%BC","искать")</f>
        <v/>
      </c>
      <c r="N1235" s="3" t="n"/>
      <c r="O1235" s="2" t="n"/>
    </row>
    <row r="1236">
      <c r="A1236" s="2" t="n">
        <v>1235</v>
      </c>
      <c r="B1236" s="2" t="inlineStr">
        <is>
          <t>не сюжет</t>
        </is>
      </c>
      <c r="C1236" s="2" t="n">
        <v>8329</v>
      </c>
      <c r="D1236" s="3" t="inlineStr">
        <is>
          <t>Семь маленьких рассказов о первой любви</t>
        </is>
      </c>
      <c r="E1236" s="2" t="n">
        <v>1981</v>
      </c>
      <c r="F1236" s="2" t="inlineStr">
        <is>
          <t>телефильм</t>
        </is>
      </c>
      <c r="G1236" s="2" t="n"/>
      <c r="H1236" s="2" t="n">
        <v>130</v>
      </c>
      <c r="I1236" s="2" t="inlineStr"/>
      <c r="J1236" s="2" t="inlineStr">
        <is>
          <t>да</t>
        </is>
      </c>
      <c r="K1236" s="3" t="inlineStr">
        <is>
          <t>შვიდი პატარა მოთხრობა პირველ სიყვარულზე Семь лирических новелл о первой любви, о возникновении первого наивного и чистого чувства.</t>
        </is>
      </c>
      <c r="L1236" s="2" t="inlineStr">
        <is>
          <t>Кино_СССР сводный каталог.xlsx: список телефильмов</t>
        </is>
      </c>
      <c r="M1236" s="2">
        <f>HYPERLINK("https://ru.wikipedia.org/w/index.php?search=%D0%A1%D0%B5%D0%BC%D1%8C%20%D0%BC%D0%B0%D0%BB%D0%B5%D0%BD%D1%8C%D0%BA%D0%B8%D1%85%20%D1%80%D0%B0%D1%81%D1%81%D0%BA%D0%B0%D0%B7%D0%BE%D0%B2%20%D0%BE%20%D0%BF%D0%B5%D1%80%D0%B2%D0%BE%D0%B9%20%D0%BB%D1%8E%D0%B1%D0%B2%D0%B8%201981%20%D1%84%D0%B8%D0%BB%D1%8C%D0%BC","искать")</f>
        <v/>
      </c>
      <c r="N1236" s="3" t="n"/>
      <c r="O1236" s="2" t="n"/>
    </row>
    <row r="1237">
      <c r="A1237" s="2" t="n">
        <v>1236</v>
      </c>
      <c r="B1237" s="2" t="inlineStr">
        <is>
          <t>не сюжет</t>
        </is>
      </c>
      <c r="C1237" s="2" t="n">
        <v>7329</v>
      </c>
      <c r="D1237" s="3" t="inlineStr">
        <is>
          <t>Весна поёт</t>
        </is>
      </c>
      <c r="E1237" s="2" t="n">
        <v>1967</v>
      </c>
      <c r="F1237" s="2" t="inlineStr">
        <is>
          <t>телефильм</t>
        </is>
      </c>
      <c r="G1237" s="2" t="n"/>
      <c r="H1237" s="2" t="n">
        <v>131</v>
      </c>
      <c r="I1237" s="2" t="inlineStr"/>
      <c r="J1237" s="2" t="inlineStr">
        <is>
          <t>да</t>
        </is>
      </c>
      <c r="K1237" s="3" t="inlineStr">
        <is>
          <t>Телефильм. Лирическая комедия о любви и счастье... По одноименной оперетте композитора Дмитрия Кабалевского и писателя Ц. Солодаря.</t>
        </is>
      </c>
      <c r="L1237" s="2" t="inlineStr">
        <is>
          <t>Кино_СССР сводный каталог.xlsx: список телефильмов</t>
        </is>
      </c>
      <c r="M1237" s="2">
        <f>HYPERLINK("https://ru.wikipedia.org/w/index.php?search=%D0%92%D0%B5%D1%81%D0%BD%D0%B0%20%D0%BF%D0%BE%D1%91%D1%82%201967%20%D1%84%D0%B8%D0%BB%D1%8C%D0%BC","искать")</f>
        <v/>
      </c>
      <c r="N1237" s="3" t="n"/>
      <c r="O1237" s="2" t="n"/>
    </row>
    <row r="1238">
      <c r="A1238" s="2" t="n">
        <v>1237</v>
      </c>
      <c r="B1238" s="2" t="inlineStr">
        <is>
          <t>не сюжет</t>
        </is>
      </c>
      <c r="C1238" s="2" t="n">
        <v>8302</v>
      </c>
      <c r="D1238" s="3" t="inlineStr">
        <is>
          <t>Свадебные колокола</t>
        </is>
      </c>
      <c r="E1238" s="2" t="n">
        <v>1967</v>
      </c>
      <c r="F1238" s="2" t="inlineStr">
        <is>
          <t>телефильм</t>
        </is>
      </c>
      <c r="G1238" s="2" t="n"/>
      <c r="H1238" s="2" t="n">
        <v>131</v>
      </c>
      <c r="I1238" s="2" t="inlineStr"/>
      <c r="J1238" s="2" t="inlineStr">
        <is>
          <t>да</t>
        </is>
      </c>
      <c r="K1238" s="3" t="inlineStr">
        <is>
          <t>Телефильм рассказывает о молодых строителях, которые приехали в Сибирь по зову сердца, чтобы обживать этот знаменитый суровый край.</t>
        </is>
      </c>
      <c r="L1238" s="2" t="inlineStr">
        <is>
          <t>Кино_СССР сводный каталог.xlsx: список телефильмов</t>
        </is>
      </c>
      <c r="M1238" s="2">
        <f>HYPERLINK("https://ru.wikipedia.org/w/index.php?search=%D0%A1%D0%B2%D0%B0%D0%B4%D0%B5%D0%B1%D0%BD%D1%8B%D0%B5%20%D0%BA%D0%BE%D0%BB%D0%BE%D0%BA%D0%BE%D0%BB%D0%B0%201967%20%D1%84%D0%B8%D0%BB%D1%8C%D0%BC","искать")</f>
        <v/>
      </c>
      <c r="N1238" s="3" t="n"/>
      <c r="O1238" s="2" t="n"/>
    </row>
    <row r="1239">
      <c r="A1239" s="2" t="n">
        <v>1238</v>
      </c>
      <c r="B1239" s="2" t="inlineStr">
        <is>
          <t>не сюжет</t>
        </is>
      </c>
      <c r="C1239" s="2" t="n">
        <v>8945</v>
      </c>
      <c r="D1239" s="3" t="inlineStr">
        <is>
          <t>Поезд дураков</t>
        </is>
      </c>
      <c r="E1239" s="2" t="n">
        <v>1989</v>
      </c>
      <c r="F1239" s="2" t="inlineStr">
        <is>
          <t>кинофильм</t>
        </is>
      </c>
      <c r="G1239" s="2" t="n"/>
      <c r="H1239" s="2" t="n">
        <v>131</v>
      </c>
      <c r="I1239" s="2" t="inlineStr"/>
      <c r="J1239" s="2" t="inlineStr">
        <is>
          <t>да</t>
        </is>
      </c>
      <c r="K1239" s="3" t="inlineStr">
        <is>
          <t>Философская притча, так можно определить этот фильм, несколько пассажиров несутся в поезде неизвестно куда и каждого свои проблемы.</t>
        </is>
      </c>
      <c r="L1239" s="2" t="inlineStr">
        <is>
          <t>Кино_СССР сводный каталог.xlsx: список фильмов (доп.)</t>
        </is>
      </c>
      <c r="M1239" s="2">
        <f>HYPERLINK("https://ru.wikipedia.org/w/index.php?search=%D0%9F%D0%BE%D0%B5%D0%B7%D0%B4%20%D0%B4%D1%83%D1%80%D0%B0%D0%BA%D0%BE%D0%B2%201989%20%D1%84%D0%B8%D0%BB%D1%8C%D0%BC","искать")</f>
        <v/>
      </c>
      <c r="N1239" s="3" t="n"/>
      <c r="O1239" s="2" t="n"/>
    </row>
    <row r="1240">
      <c r="A1240" s="2" t="n">
        <v>1239</v>
      </c>
      <c r="B1240" s="2" t="inlineStr">
        <is>
          <t>не сюжет</t>
        </is>
      </c>
      <c r="C1240" s="2" t="n">
        <v>7258</v>
      </c>
      <c r="D1240" s="3" t="inlineStr">
        <is>
          <t>Богач, бедняк...</t>
        </is>
      </c>
      <c r="E1240" s="2" t="n">
        <v>1982</v>
      </c>
      <c r="F1240" s="2" t="inlineStr">
        <is>
          <t>телефильм</t>
        </is>
      </c>
      <c r="G1240" s="2" t="inlineStr">
        <is>
          <t>Литовская к/с</t>
        </is>
      </c>
      <c r="H1240" s="2" t="n">
        <v>132</v>
      </c>
      <c r="I1240" s="2" t="inlineStr"/>
      <c r="J1240" s="2" t="inlineStr">
        <is>
          <t>да</t>
        </is>
      </c>
      <c r="K1240" s="3" t="inlineStr">
        <is>
          <t>Сериал по роману Ирвина Шоу. Трагическая, почти детективная история семьи немецкого эмигранта в Америке с 1945 года и до наших дней.</t>
        </is>
      </c>
      <c r="L1240" s="2" t="inlineStr">
        <is>
          <t>Кино_СССР сводный каталог.xlsx: список телефильмов</t>
        </is>
      </c>
      <c r="M1240" s="2">
        <f>HYPERLINK("https://ru.wikipedia.org/w/index.php?search=%D0%91%D0%BE%D0%B3%D0%B0%D1%87%2C%20%D0%B1%D0%B5%D0%B4%D0%BD%D1%8F%D0%BA...%201982%20%D1%84%D0%B8%D0%BB%D1%8C%D0%BC","искать")</f>
        <v/>
      </c>
      <c r="N1240" s="3" t="n"/>
      <c r="O1240" s="2" t="n"/>
    </row>
    <row r="1241">
      <c r="A1241" s="2" t="n">
        <v>1240</v>
      </c>
      <c r="B1241" s="2" t="inlineStr">
        <is>
          <t>не сюжет</t>
        </is>
      </c>
      <c r="C1241" s="2" t="n">
        <v>7888</v>
      </c>
      <c r="D1241" s="3" t="inlineStr">
        <is>
          <t>Мои люди</t>
        </is>
      </c>
      <c r="E1241" s="2" t="n">
        <v>1990</v>
      </c>
      <c r="F1241" s="2" t="inlineStr">
        <is>
          <t>телефильм</t>
        </is>
      </c>
      <c r="G1241" s="2" t="n"/>
      <c r="H1241" s="2" t="n">
        <v>132</v>
      </c>
      <c r="I1241" s="2" t="inlineStr"/>
      <c r="J1241" s="2" t="inlineStr">
        <is>
          <t>да</t>
        </is>
      </c>
      <c r="K1241" s="3" t="inlineStr">
        <is>
          <t>По одноименному роману Руслана Киреева. Фильм о житейских и семейных проблемах сегодняшнего дня, о вечном конфликте "отцов и детей".</t>
        </is>
      </c>
      <c r="L1241" s="2" t="inlineStr">
        <is>
          <t>Кино_СССР сводный каталог.xlsx: список телефильмов</t>
        </is>
      </c>
      <c r="M1241" s="2">
        <f>HYPERLINK("https://ru.wikipedia.org/w/index.php?search=%D0%9C%D0%BE%D0%B8%20%D0%BB%D1%8E%D0%B4%D0%B8%201990%20%D1%84%D0%B8%D0%BB%D1%8C%D0%BC","искать")</f>
        <v/>
      </c>
      <c r="N1241" s="3" t="n"/>
      <c r="O1241" s="2" t="n"/>
    </row>
    <row r="1242">
      <c r="A1242" s="2" t="n">
        <v>1241</v>
      </c>
      <c r="B1242" s="2" t="inlineStr">
        <is>
          <t>не сюжет</t>
        </is>
      </c>
      <c r="C1242" s="2" t="n">
        <v>10862</v>
      </c>
      <c r="D1242" s="3" t="inlineStr">
        <is>
          <t>Полоса допустимого</t>
        </is>
      </c>
      <c r="E1242" s="2" t="n">
        <v>1980</v>
      </c>
      <c r="F1242" s="2" t="inlineStr">
        <is>
          <t>фильм-спектакль</t>
        </is>
      </c>
      <c r="G1242" s="2" t="inlineStr">
        <is>
          <t>Главная редакция литературно-драматических программ ЦТ</t>
        </is>
      </c>
      <c r="H1242" s="2" t="n">
        <v>132</v>
      </c>
      <c r="I1242" s="2" t="inlineStr"/>
      <c r="J1242" s="2" t="inlineStr">
        <is>
          <t>да</t>
        </is>
      </c>
      <c r="K1242" s="3" t="inlineStr">
        <is>
          <t>Действие происходит на сибирской стройке.
События разворачиваются вокруг молодого начальника монтажного участка Александра Смирнова.</t>
        </is>
      </c>
      <c r="L1242" s="2" t="inlineStr">
        <is>
          <t>https://www.kino-teatr.ru/teatr/movie/121026/annot/</t>
        </is>
      </c>
      <c r="M1242" s="2">
        <f>HYPERLINK("https://ru.wikipedia.org/w/index.php?search=%D0%9F%D0%BE%D0%BB%D0%BE%D1%81%D0%B0%20%D0%B4%D0%BE%D0%BF%D1%83%D1%81%D1%82%D0%B8%D0%BC%D0%BE%D0%B3%D0%BE%201980%20%D1%84%D0%B8%D0%BB%D1%8C%D0%BC","искать")</f>
        <v/>
      </c>
      <c r="N1242" s="3" t="n"/>
      <c r="O1242" s="2" t="n"/>
    </row>
    <row r="1243">
      <c r="A1243" s="2" t="n">
        <v>1242</v>
      </c>
      <c r="B1243" s="2" t="inlineStr">
        <is>
          <t>не сюжет</t>
        </is>
      </c>
      <c r="C1243" s="2" t="n">
        <v>7764</v>
      </c>
      <c r="D1243" s="3" t="inlineStr">
        <is>
          <t>Красное вино победы</t>
        </is>
      </c>
      <c r="E1243" s="2" t="n">
        <v>1990</v>
      </c>
      <c r="F1243" s="2" t="inlineStr">
        <is>
          <t>телефильм</t>
        </is>
      </c>
      <c r="G1243" s="2" t="n"/>
      <c r="H1243" s="2" t="n">
        <v>133</v>
      </c>
      <c r="I1243" s="2" t="inlineStr"/>
      <c r="J1243" s="2" t="inlineStr">
        <is>
          <t>да</t>
        </is>
      </c>
      <c r="K1243" s="3" t="inlineStr">
        <is>
          <t>Фильм по одноименному рассказу Е.Носова о последних днях Великой Отечественной войны. Действие фильма происходит в военном госпитале.</t>
        </is>
      </c>
      <c r="L1243" s="2" t="inlineStr">
        <is>
          <t>Кино_СССР сводный каталог.xlsx: список телефильмов</t>
        </is>
      </c>
      <c r="M1243" s="2">
        <f>HYPERLINK("https://ru.wikipedia.org/w/index.php?search=%D0%9A%D1%80%D0%B0%D1%81%D0%BD%D0%BE%D0%B5%20%D0%B2%D0%B8%D0%BD%D0%BE%20%D0%BF%D0%BE%D0%B1%D0%B5%D0%B4%D1%8B%201990%20%D1%84%D0%B8%D0%BB%D1%8C%D0%BC","искать")</f>
        <v/>
      </c>
      <c r="N1243" s="3" t="n"/>
      <c r="O1243" s="2" t="n"/>
    </row>
    <row r="1244">
      <c r="A1244" s="2" t="n">
        <v>1243</v>
      </c>
      <c r="B1244" s="2" t="inlineStr">
        <is>
          <t>не сюжет</t>
        </is>
      </c>
      <c r="C1244" s="2" t="n">
        <v>10378</v>
      </c>
      <c r="D1244" s="3" t="inlineStr">
        <is>
          <t>Терем-теремок (1970-1971)</t>
        </is>
      </c>
      <c r="E1244" s="2" t="n">
        <v>1970</v>
      </c>
      <c r="F1244" s="2" t="inlineStr">
        <is>
          <t>фильм-спектакль</t>
        </is>
      </c>
      <c r="G1244" s="2" t="inlineStr">
        <is>
          <t>Центральное телевидение</t>
        </is>
      </c>
      <c r="H1244" s="2" t="n">
        <v>133</v>
      </c>
      <c r="I1244" s="2" t="inlineStr"/>
      <c r="J1244" s="2" t="inlineStr">
        <is>
          <t>да</t>
        </is>
      </c>
      <c r="K1244" s="3" t="inlineStr">
        <is>
          <t>Юмористический спектакль. В нем были задействованы ведущие артисты Театра сатиры (кроме тех, что были заняты в "Кабачке 13 стульев").</t>
        </is>
      </c>
      <c r="L1244" s="2" t="inlineStr">
        <is>
          <t>https://www.kino-teatr.ru/teatr/movie/81059/annot/</t>
        </is>
      </c>
      <c r="M1244" s="2">
        <f>HYPERLINK("https://ru.wikipedia.org/w/index.php?search=%D0%A2%D0%B5%D1%80%D0%B5%D0%BC-%D1%82%D0%B5%D1%80%D0%B5%D0%BC%D0%BE%D0%BA%20%281970-1971%29%201970%20%D1%84%D0%B8%D0%BB%D1%8C%D0%BC","искать")</f>
        <v/>
      </c>
      <c r="N1244" s="3" t="n"/>
      <c r="O1244" s="2" t="n"/>
    </row>
    <row r="1245">
      <c r="A1245" s="2" t="n">
        <v>1244</v>
      </c>
      <c r="B1245" s="2" t="inlineStr">
        <is>
          <t>не сюжет</t>
        </is>
      </c>
      <c r="C1245" s="2" t="n">
        <v>10765</v>
      </c>
      <c r="D1245" s="3" t="inlineStr">
        <is>
          <t>Острова в океане</t>
        </is>
      </c>
      <c r="E1245" s="2" t="n">
        <v>1978</v>
      </c>
      <c r="F1245" s="2" t="inlineStr">
        <is>
          <t>фильм-спектакль</t>
        </is>
      </c>
      <c r="G1245" s="2" t="inlineStr">
        <is>
          <t>Гл. ред. лит-драм программ</t>
        </is>
      </c>
      <c r="H1245" s="2" t="n">
        <v>133</v>
      </c>
      <c r="I1245" s="2" t="inlineStr"/>
      <c r="J1245" s="2" t="inlineStr">
        <is>
          <t>да</t>
        </is>
      </c>
      <c r="K1245" s="3" t="inlineStr">
        <is>
          <t>По одноименному роману Эрнеста Хэмингуэя. Спектакль построен в форме монолога-воспоминания главного героя - художника Томаса Хадсона.</t>
        </is>
      </c>
      <c r="L1245" s="2" t="inlineStr">
        <is>
          <t>https://www.kino-teatr.ru/teatr/movie/4851/annot/</t>
        </is>
      </c>
      <c r="M1245" s="2">
        <f>HYPERLINK("https://ru.wikipedia.org/w/index.php?search=%D0%9E%D1%81%D1%82%D1%80%D0%BE%D0%B2%D0%B0%20%D0%B2%20%D0%BE%D0%BA%D0%B5%D0%B0%D0%BD%D0%B5%201978%20%D1%84%D0%B8%D0%BB%D1%8C%D0%BC","искать")</f>
        <v/>
      </c>
      <c r="N1245" s="3" t="n"/>
      <c r="O1245" s="2" t="n"/>
    </row>
    <row r="1246">
      <c r="A1246" s="2" t="n">
        <v>1245</v>
      </c>
      <c r="B1246" s="2" t="inlineStr">
        <is>
          <t>не сюжет</t>
        </is>
      </c>
      <c r="C1246" s="2" t="n">
        <v>7220</v>
      </c>
      <c r="D1246" s="3" t="inlineStr">
        <is>
          <t>Армянские фрески</t>
        </is>
      </c>
      <c r="E1246" s="2" t="n">
        <v>1972</v>
      </c>
      <c r="F1246" s="2" t="inlineStr">
        <is>
          <t>телефильм</t>
        </is>
      </c>
      <c r="G1246" s="2" t="n"/>
      <c r="H1246" s="2" t="n">
        <v>134</v>
      </c>
      <c r="I1246" s="2" t="inlineStr"/>
      <c r="J1246" s="2" t="inlineStr">
        <is>
          <t>да</t>
        </is>
      </c>
      <c r="K1246" s="3" t="inlineStr">
        <is>
          <t>Фильм составлен из эпизодов национальных армянских балетных спектаклей. Картина снята на фоне армянских пейзажей и древних памятников.</t>
        </is>
      </c>
      <c r="L1246" s="2" t="inlineStr">
        <is>
          <t>Кино_СССР сводный каталог.xlsx: список телефильмов</t>
        </is>
      </c>
      <c r="M1246" s="2">
        <f>HYPERLINK("https://ru.wikipedia.org/w/index.php?search=%D0%90%D1%80%D0%BC%D1%8F%D0%BD%D1%81%D0%BA%D0%B8%D0%B5%20%D1%84%D1%80%D0%B5%D1%81%D0%BA%D0%B8%201972%20%D1%84%D0%B8%D0%BB%D1%8C%D0%BC","искать")</f>
        <v/>
      </c>
      <c r="N1246" s="3" t="n"/>
      <c r="O1246" s="2" t="n"/>
    </row>
    <row r="1247">
      <c r="A1247" s="2" t="n">
        <v>1246</v>
      </c>
      <c r="B1247" s="2" t="inlineStr">
        <is>
          <t>не сюжет</t>
        </is>
      </c>
      <c r="C1247" s="2" t="n">
        <v>8585</v>
      </c>
      <c r="D1247" s="3" t="inlineStr">
        <is>
          <t>Щелчки</t>
        </is>
      </c>
      <c r="E1247" s="2" t="n">
        <v>1973</v>
      </c>
      <c r="F1247" s="2" t="inlineStr">
        <is>
          <t>телефильм</t>
        </is>
      </c>
      <c r="G1247" s="2" t="n"/>
      <c r="H1247" s="2" t="n">
        <v>134</v>
      </c>
      <c r="I1247" s="2" t="inlineStr"/>
      <c r="J1247" s="2" t="inlineStr">
        <is>
          <t>да</t>
        </is>
      </c>
      <c r="K1247" s="3" t="inlineStr">
        <is>
          <t>Телефильм. Экранизация сатирических рассказов Ф.Горенштейна: "Человек на дереве", "Непротивленец", "От имени коллектива", "Мыслитель".</t>
        </is>
      </c>
      <c r="L1247" s="2" t="inlineStr">
        <is>
          <t>Кино_СССР сводный каталог.xlsx: список телефильмов</t>
        </is>
      </c>
      <c r="M1247" s="2">
        <f>HYPERLINK("https://ru.wikipedia.org/w/index.php?search=%D0%A9%D0%B5%D0%BB%D1%87%D0%BA%D0%B8%201973%20%D1%84%D0%B8%D0%BB%D1%8C%D0%BC","искать")</f>
        <v/>
      </c>
      <c r="N1247" s="3" t="n"/>
      <c r="O1247" s="2" t="n"/>
    </row>
    <row r="1248">
      <c r="A1248" s="2" t="n">
        <v>1247</v>
      </c>
      <c r="B1248" s="2" t="inlineStr">
        <is>
          <t>не сюжет</t>
        </is>
      </c>
      <c r="C1248" s="2" t="n">
        <v>8747</v>
      </c>
      <c r="D1248" s="3" t="inlineStr">
        <is>
          <t>Индраны</t>
        </is>
      </c>
      <c r="E1248" s="2" t="n">
        <v>1991</v>
      </c>
      <c r="F1248" s="2" t="inlineStr">
        <is>
          <t>кинофильм</t>
        </is>
      </c>
      <c r="G1248" s="2" t="n"/>
      <c r="H1248" s="2" t="n">
        <v>134</v>
      </c>
      <c r="I1248" s="2" t="inlineStr"/>
      <c r="J1248" s="2" t="inlineStr">
        <is>
          <t>да</t>
        </is>
      </c>
      <c r="K1248" s="3" t="inlineStr">
        <is>
          <t>По произведениям Рудольфа Блаумана. Фильм исследует истоки конфликта между старым и молодым поколением в латышской крестьянской семье.</t>
        </is>
      </c>
      <c r="L1248" s="2" t="inlineStr">
        <is>
          <t>Кино_СССР сводный каталог.xlsx: список фильмов (доп.)</t>
        </is>
      </c>
      <c r="M1248" s="2">
        <f>HYPERLINK("https://ru.wikipedia.org/w/index.php?search=%D0%98%D0%BD%D0%B4%D1%80%D0%B0%D0%BD%D1%8B%201991%20%D1%84%D0%B8%D0%BB%D1%8C%D0%BC","искать")</f>
        <v/>
      </c>
      <c r="N1248" s="3" t="n"/>
      <c r="O1248" s="2" t="n"/>
    </row>
    <row r="1249">
      <c r="A1249" s="2" t="n">
        <v>1248</v>
      </c>
      <c r="B1249" s="2" t="inlineStr">
        <is>
          <t>не сюжет</t>
        </is>
      </c>
      <c r="C1249" s="2" t="n">
        <v>11100</v>
      </c>
      <c r="D1249" s="3" t="inlineStr">
        <is>
          <t>Все клоуны</t>
        </is>
      </c>
      <c r="E1249" s="2" t="n">
        <v>1986</v>
      </c>
      <c r="F1249" s="2" t="inlineStr">
        <is>
          <t>фильм-спектакль</t>
        </is>
      </c>
      <c r="G1249" s="2" t="n"/>
      <c r="H1249" s="2" t="n">
        <v>134</v>
      </c>
      <c r="I1249" s="2" t="inlineStr"/>
      <c r="J1249" s="2" t="inlineStr">
        <is>
          <t>да</t>
        </is>
      </c>
      <c r="K1249" s="3" t="inlineStr">
        <is>
          <t>О дуэте клоунов Екатерины Можаевой и Анатолия Латышева ("Антон и Антошка").
Фильм-концерт снят на манеже и за кулисами Рижского цирка.</t>
        </is>
      </c>
      <c r="L1249" s="2" t="inlineStr">
        <is>
          <t>https://www.kino-teatr.ru/teatr/movie/138359/annot/</t>
        </is>
      </c>
      <c r="M1249" s="2">
        <f>HYPERLINK("https://ru.wikipedia.org/w/index.php?search=%D0%92%D1%81%D0%B5%20%D0%BA%D0%BB%D0%BE%D1%83%D0%BD%D1%8B%201986%20%D1%84%D0%B8%D0%BB%D1%8C%D0%BC","искать")</f>
        <v/>
      </c>
      <c r="N1249" s="3" t="n"/>
      <c r="O1249" s="2" t="n"/>
    </row>
    <row r="1250">
      <c r="A1250" s="2" t="n">
        <v>1249</v>
      </c>
      <c r="B1250" s="2" t="inlineStr">
        <is>
          <t>не сюжет</t>
        </is>
      </c>
      <c r="C1250" s="2" t="n">
        <v>11214</v>
      </c>
      <c r="D1250" s="3" t="inlineStr">
        <is>
          <t>Малыш и Карлсон, который живёт на крыше</t>
        </is>
      </c>
      <c r="E1250" s="2" t="n">
        <v>1988</v>
      </c>
      <c r="F1250" s="2" t="inlineStr">
        <is>
          <t>фильм-спектакль</t>
        </is>
      </c>
      <c r="G1250" s="2" t="n"/>
      <c r="H1250" s="2" t="n">
        <v>134</v>
      </c>
      <c r="I1250" s="2" t="inlineStr"/>
      <c r="J1250" s="2" t="inlineStr">
        <is>
          <t>да</t>
        </is>
      </c>
      <c r="K1250" s="3" t="inlineStr">
        <is>
          <t>По мотивам сказки Астрид Линдгрен "Три повести о Малыше и Карлсоне".
Озорной Карлсон и доверчивый Малыш - герои этой известной сказки.</t>
        </is>
      </c>
      <c r="L1250" s="2" t="inlineStr">
        <is>
          <t>https://www.kino-teatr.ru/teatr/movie/89014/annot/</t>
        </is>
      </c>
      <c r="M1250" s="2">
        <f>HYPERLINK("https://ru.wikipedia.org/w/index.php?search=%D0%9C%D0%B0%D0%BB%D1%8B%D1%88%20%D0%B8%20%D0%9A%D0%B0%D1%80%D0%BB%D1%81%D0%BE%D0%BD%2C%20%D0%BA%D0%BE%D1%82%D0%BE%D1%80%D1%8B%D0%B9%20%D0%B6%D0%B8%D0%B2%D1%91%D1%82%20%D0%BD%D0%B0%20%D0%BA%D1%80%D1%8B%D1%88%D0%B5%201988%20%D1%84%D0%B8%D0%BB%D1%8C%D0%BC","искать")</f>
        <v/>
      </c>
      <c r="N1250" s="3" t="n"/>
      <c r="O1250" s="2" t="n"/>
    </row>
    <row r="1251">
      <c r="A1251" s="2" t="n">
        <v>1250</v>
      </c>
      <c r="B1251" s="2" t="inlineStr">
        <is>
          <t>не сюжет</t>
        </is>
      </c>
      <c r="C1251" s="2" t="n">
        <v>8493</v>
      </c>
      <c r="D1251" s="3" t="inlineStr">
        <is>
          <t>У нас есть дети..</t>
        </is>
      </c>
      <c r="E1251" s="2" t="n">
        <v>1966</v>
      </c>
      <c r="F1251" s="2" t="inlineStr">
        <is>
          <t>телефильм</t>
        </is>
      </c>
      <c r="G1251" s="2" t="n"/>
      <c r="H1251" s="2" t="n">
        <v>135</v>
      </c>
      <c r="I1251" s="2" t="inlineStr"/>
      <c r="J1251" s="2" t="inlineStr">
        <is>
          <t>да</t>
        </is>
      </c>
      <c r="K1251" s="3" t="inlineStr">
        <is>
          <t>Три новеллы о воспитании детей: "Снегурочка", "Зоолохия" и "Дядя Саша". По рассказам Веры Чубаковой, Марка Бурнесова, Николая Самохина.</t>
        </is>
      </c>
      <c r="L1251" s="2" t="inlineStr">
        <is>
          <t>Кино_СССР сводный каталог.xlsx: список телефильмов</t>
        </is>
      </c>
      <c r="M1251" s="2">
        <f>HYPERLINK("https://ru.wikipedia.org/w/index.php?search=%D0%A3%20%D0%BD%D0%B0%D1%81%20%D0%B5%D1%81%D1%82%D1%8C%20%D0%B4%D0%B5%D1%82%D0%B8..%201966%20%D1%84%D0%B8%D0%BB%D1%8C%D0%BC","искать")</f>
        <v/>
      </c>
      <c r="N1251" s="3" t="n"/>
      <c r="O1251" s="2" t="n"/>
    </row>
    <row r="1252">
      <c r="A1252" s="2" t="n">
        <v>1251</v>
      </c>
      <c r="B1252" s="2" t="inlineStr">
        <is>
          <t>не сюжет</t>
        </is>
      </c>
      <c r="C1252" s="2" t="n">
        <v>9688</v>
      </c>
      <c r="D1252" s="3" t="inlineStr">
        <is>
          <t>Тело</t>
        </is>
      </c>
      <c r="E1252" s="2" t="n">
        <v>1990</v>
      </c>
      <c r="F1252" s="2" t="inlineStr">
        <is>
          <t>кинофильм</t>
        </is>
      </c>
      <c r="G1252" s="2" t="n"/>
      <c r="H1252" s="2" t="n">
        <v>135</v>
      </c>
      <c r="I1252" s="2" t="inlineStr"/>
      <c r="J1252" s="2" t="inlineStr">
        <is>
          <t>да</t>
        </is>
      </c>
      <c r="K1252" s="3" t="inlineStr">
        <is>
          <t>История любви парня и девушки из подмосковного поселка, социальные условия которого разрушают любовь и приводят к трагической развязке.</t>
        </is>
      </c>
      <c r="L1252" s="2" t="inlineStr">
        <is>
          <t>Кино_СССР сводный каталог.xlsx: список фильмов (доп.)</t>
        </is>
      </c>
      <c r="M1252" s="2">
        <f>HYPERLINK("https://ru.wikipedia.org/w/index.php?search=%D0%A2%D0%B5%D0%BB%D0%BE%201990%20%D1%84%D0%B8%D0%BB%D1%8C%D0%BC","искать")</f>
        <v/>
      </c>
      <c r="N1252" s="3" t="n"/>
      <c r="O1252" s="2" t="n"/>
    </row>
    <row r="1253">
      <c r="A1253" s="2" t="n">
        <v>1252</v>
      </c>
      <c r="B1253" s="2" t="inlineStr">
        <is>
          <t>не сюжет</t>
        </is>
      </c>
      <c r="C1253" s="2" t="n">
        <v>10339</v>
      </c>
      <c r="D1253" s="3" t="inlineStr">
        <is>
          <t>Фауст</t>
        </is>
      </c>
      <c r="E1253" s="2" t="n">
        <v>1969</v>
      </c>
      <c r="F1253" s="2" t="inlineStr">
        <is>
          <t>фильм-спектакль</t>
        </is>
      </c>
      <c r="G1253" s="2" t="n"/>
      <c r="H1253" s="2" t="n">
        <v>135</v>
      </c>
      <c r="I1253" s="2" t="inlineStr"/>
      <c r="J1253" s="2" t="inlineStr">
        <is>
          <t>да</t>
        </is>
      </c>
      <c r="K1253" s="3" t="inlineStr">
        <is>
          <t>Спектакль театра им. Е.Вахтангова.
По одноименному роману Иоганна Вольфганга Гете в переводе великого русского поэта Бориса Пастернака.</t>
        </is>
      </c>
      <c r="L1253" s="2" t="inlineStr">
        <is>
          <t>https://www.kino-teatr.ru/teatr/movie/81581/annot/</t>
        </is>
      </c>
      <c r="M1253" s="2">
        <f>HYPERLINK("https://ru.wikipedia.org/w/index.php?search=%D0%A4%D0%B0%D1%83%D1%81%D1%82%201969%20%D1%84%D0%B8%D0%BB%D1%8C%D0%BC","искать")</f>
        <v/>
      </c>
      <c r="N1253" s="3" t="n"/>
      <c r="O1253" s="2" t="n"/>
    </row>
    <row r="1254">
      <c r="A1254" s="2" t="n">
        <v>1253</v>
      </c>
      <c r="B1254" s="2" t="inlineStr">
        <is>
          <t>не сюжет</t>
        </is>
      </c>
      <c r="C1254" s="2" t="n">
        <v>11084</v>
      </c>
      <c r="D1254" s="3" t="inlineStr">
        <is>
          <t>Стреляй, стреляй, пока не закончатся патроны</t>
        </is>
      </c>
      <c r="E1254" s="2" t="n">
        <v>1985</v>
      </c>
      <c r="F1254" s="2" t="inlineStr">
        <is>
          <t>фильм-спектакль</t>
        </is>
      </c>
      <c r="G1254" s="2" t="inlineStr">
        <is>
          <t>Ares</t>
        </is>
      </c>
      <c r="H1254" s="2" t="n">
        <v>135</v>
      </c>
      <c r="I1254" s="2" t="inlineStr"/>
      <c r="J1254" s="2" t="inlineStr">
        <is>
          <t>да</t>
        </is>
      </c>
      <c r="K1254" s="3" t="inlineStr">
        <is>
          <t>История анатолийских женщин, овдовевших в молодом возрасте. Хедие и Газель — две женщины, несущие свою общую судьбу на шее, как амулет.</t>
        </is>
      </c>
      <c r="L1254" s="2" t="inlineStr">
        <is>
          <t>https://www.kino-teatr.ru/teatr/movie/209721/annot/</t>
        </is>
      </c>
      <c r="M1254" s="2">
        <f>HYPERLINK("https://ru.wikipedia.org/w/index.php?search=%D0%A1%D1%82%D1%80%D0%B5%D0%BB%D1%8F%D0%B9%2C%20%D1%81%D1%82%D1%80%D0%B5%D0%BB%D1%8F%D0%B9%2C%20%D0%BF%D0%BE%D0%BA%D0%B0%20%D0%BD%D0%B5%20%D0%B7%D0%B0%D0%BA%D0%BE%D0%BD%D1%87%D0%B0%D1%82%D1%81%D1%8F%20%D0%BF%D0%B0%D1%82%D1%80%D0%BE%D0%BD%D1%8B%201985%20%D1%84%D0%B8%D0%BB%D1%8C%D0%BC","искать")</f>
        <v/>
      </c>
      <c r="N1254" s="3" t="n"/>
      <c r="O1254" s="2" t="n"/>
    </row>
    <row r="1255">
      <c r="A1255" s="2" t="n">
        <v>1254</v>
      </c>
      <c r="B1255" s="2" t="inlineStr">
        <is>
          <t>не сюжет</t>
        </is>
      </c>
      <c r="C1255" s="2" t="n">
        <v>11320</v>
      </c>
      <c r="D1255" s="3" t="inlineStr">
        <is>
          <t>Ревизор</t>
        </is>
      </c>
      <c r="E1255" s="2" t="n">
        <v>1990</v>
      </c>
      <c r="F1255" s="2" t="inlineStr">
        <is>
          <t>фильм-спектакль</t>
        </is>
      </c>
      <c r="G1255" s="2" t="inlineStr">
        <is>
          <t>ETV teleteater</t>
        </is>
      </c>
      <c r="H1255" s="2" t="n">
        <v>135</v>
      </c>
      <c r="I1255" s="2" t="inlineStr"/>
      <c r="J1255" s="2" t="inlineStr">
        <is>
          <t>да</t>
        </is>
      </c>
      <c r="K1255" s="3" t="inlineStr">
        <is>
          <t>Спектакль Таллинского театра-студии Старого города (Vanalinnastuudios).
Современный вариант одноименной пьесы Николая Гоголя "Ревизор".</t>
        </is>
      </c>
      <c r="L1255" s="2" t="inlineStr">
        <is>
          <t>https://www.kino-teatr.ru/teatr/movie/98174/annot/</t>
        </is>
      </c>
      <c r="M1255" s="2">
        <f>HYPERLINK("https://ru.wikipedia.org/w/index.php?search=%D0%A0%D0%B5%D0%B2%D0%B8%D0%B7%D0%BE%D1%80%201990%20%D1%84%D0%B8%D0%BB%D1%8C%D0%BC","искать")</f>
        <v/>
      </c>
      <c r="N1255" s="3" t="n"/>
      <c r="O1255" s="2" t="n"/>
    </row>
    <row r="1256">
      <c r="A1256" s="2" t="n">
        <v>1255</v>
      </c>
      <c r="B1256" s="2" t="inlineStr">
        <is>
          <t>не сюжет</t>
        </is>
      </c>
      <c r="C1256" s="2" t="n">
        <v>7821</v>
      </c>
      <c r="D1256" s="3" t="inlineStr">
        <is>
          <t>Лунный глобус</t>
        </is>
      </c>
      <c r="E1256" s="2" t="n">
        <v>1986</v>
      </c>
      <c r="F1256" s="2" t="inlineStr">
        <is>
          <t>телефильм</t>
        </is>
      </c>
      <c r="G1256" s="2" t="n"/>
      <c r="H1256" s="2" t="n">
        <v>136</v>
      </c>
      <c r="I1256" s="2" t="inlineStr"/>
      <c r="J1256" s="2" t="inlineStr">
        <is>
          <t>да</t>
        </is>
      </c>
      <c r="K1256" s="3" t="inlineStr">
        <is>
          <t>В фильме снимались известные грузинские цирковые артисты - Александр Тедиашвили, Карлен Саркисян, Александр Мчедлидзе, Анзор Пириашвили.</t>
        </is>
      </c>
      <c r="L1256" s="2" t="inlineStr">
        <is>
          <t>Кино_СССР сводный каталог.xlsx: список телефильмов</t>
        </is>
      </c>
      <c r="M1256" s="2">
        <f>HYPERLINK("https://ru.wikipedia.org/w/index.php?search=%D0%9B%D1%83%D0%BD%D0%BD%D1%8B%D0%B9%20%D0%B3%D0%BB%D0%BE%D0%B1%D1%83%D1%81%201986%20%D1%84%D0%B8%D0%BB%D1%8C%D0%BC","искать")</f>
        <v/>
      </c>
      <c r="N1256" s="3" t="n"/>
      <c r="O1256" s="2" t="n"/>
    </row>
    <row r="1257">
      <c r="A1257" s="2" t="n">
        <v>1256</v>
      </c>
      <c r="B1257" s="2" t="inlineStr">
        <is>
          <t>не сюжет</t>
        </is>
      </c>
      <c r="C1257" s="2" t="n">
        <v>8019</v>
      </c>
      <c r="D1257" s="3" t="inlineStr">
        <is>
          <t>Обещание счастья</t>
        </is>
      </c>
      <c r="E1257" s="2" t="n">
        <v>1974</v>
      </c>
      <c r="F1257" s="2" t="inlineStr">
        <is>
          <t>телефильм</t>
        </is>
      </c>
      <c r="G1257" s="2" t="inlineStr">
        <is>
          <t>Лентелефильм</t>
        </is>
      </c>
      <c r="H1257" s="2" t="n">
        <v>136</v>
      </c>
      <c r="I1257" s="2" t="inlineStr"/>
      <c r="J1257" s="2" t="inlineStr">
        <is>
          <t>да</t>
        </is>
      </c>
      <c r="K1257" s="3" t="inlineStr">
        <is>
          <t>Экранизация четырёх новелл Константина Паустовского о несостоявшейся любви: «Старый челн», «Бриз», «Дождливый рассвет» и «Белая радуга».</t>
        </is>
      </c>
      <c r="L1257" s="2" t="inlineStr">
        <is>
          <t>Кино_СССР сводный каталог.xlsx: список телефильмов</t>
        </is>
      </c>
      <c r="M1257" s="2">
        <f>HYPERLINK("https://ru.wikipedia.org/w/index.php?search=%D0%9E%D0%B1%D0%B5%D1%89%D0%B0%D0%BD%D0%B8%D0%B5%20%D1%81%D1%87%D0%B0%D1%81%D1%82%D1%8C%D1%8F%201974%20%D1%84%D0%B8%D0%BB%D1%8C%D0%BC","искать")</f>
        <v/>
      </c>
      <c r="N1257" s="3" t="n"/>
      <c r="O1257" s="2" t="n"/>
    </row>
    <row r="1258">
      <c r="A1258" s="2" t="n">
        <v>1257</v>
      </c>
      <c r="B1258" s="2" t="inlineStr">
        <is>
          <t>не сюжет</t>
        </is>
      </c>
      <c r="C1258" s="2" t="n">
        <v>9170</v>
      </c>
      <c r="D1258" s="3" t="inlineStr">
        <is>
          <t>Шахта 12-28</t>
        </is>
      </c>
      <c r="E1258" s="2" t="n">
        <v>1931</v>
      </c>
      <c r="F1258" s="2" t="inlineStr">
        <is>
          <t>кинофильм</t>
        </is>
      </c>
      <c r="G1258" s="2" t="n"/>
      <c r="H1258" s="2" t="n">
        <v>136</v>
      </c>
      <c r="I1258" s="2" t="inlineStr"/>
      <c r="J1258" s="2" t="inlineStr">
        <is>
          <t>да</t>
        </is>
      </c>
      <c r="K1258" s="3" t="inlineStr">
        <is>
          <t>Последняя режиссерская работа в игровом кино А.Я.Каплера. Фильм хранится в ГФФ в негативе, поэтому его содержание установить не удалось.</t>
        </is>
      </c>
      <c r="L1258" s="2" t="inlineStr">
        <is>
          <t>Кино_СССР сводный каталог.xlsx: список фильмов (доп.)</t>
        </is>
      </c>
      <c r="M1258" s="2">
        <f>HYPERLINK("https://ru.wikipedia.org/w/index.php?search=%D0%A8%D0%B0%D1%85%D1%82%D0%B0%2012-28%201931%20%D1%84%D0%B8%D0%BB%D1%8C%D0%BC","искать")</f>
        <v/>
      </c>
      <c r="N1258" s="3" t="n"/>
      <c r="O1258" s="2" t="n"/>
    </row>
    <row r="1259">
      <c r="A1259" s="2" t="n">
        <v>1258</v>
      </c>
      <c r="B1259" s="2" t="inlineStr">
        <is>
          <t>не сюжет</t>
        </is>
      </c>
      <c r="C1259" s="2" t="n">
        <v>9969</v>
      </c>
      <c r="D1259" s="3" t="inlineStr">
        <is>
          <t>Идиот</t>
        </is>
      </c>
      <c r="E1259" s="2" t="n">
        <v>1981</v>
      </c>
      <c r="F1259" s="2" t="inlineStr">
        <is>
          <t>кинофильм</t>
        </is>
      </c>
      <c r="G1259" s="2" t="inlineStr">
        <is>
          <t>Учебная киностудия ВГИКа</t>
        </is>
      </c>
      <c r="H1259" s="2" t="n">
        <v>136</v>
      </c>
      <c r="I1259" s="2" t="inlineStr"/>
      <c r="J1259" s="2" t="inlineStr">
        <is>
          <t>да</t>
        </is>
      </c>
      <c r="K1259" s="3" t="inlineStr">
        <is>
          <t>Короткометражный фильм по фрагменту одноименного романа Ф. М.
Достоевского (курсовая работа, мастерская М. М. Хуциева, С. К.
Скворцова).</t>
        </is>
      </c>
      <c r="L1259" s="2" t="inlineStr">
        <is>
          <t>https://www.kino-teatr.ru/short/movie/sov/144179/annot/</t>
        </is>
      </c>
      <c r="M1259" s="2">
        <f>HYPERLINK("https://ru.wikipedia.org/w/index.php?search=%D0%98%D0%B4%D0%B8%D0%BE%D1%82%201981%20%D1%84%D0%B8%D0%BB%D1%8C%D0%BC","искать")</f>
        <v/>
      </c>
      <c r="N1259" s="3" t="n"/>
      <c r="O1259" s="2" t="n"/>
    </row>
    <row r="1260">
      <c r="A1260" s="2" t="n">
        <v>1259</v>
      </c>
      <c r="B1260" s="2" t="inlineStr">
        <is>
          <t>не сюжет</t>
        </is>
      </c>
      <c r="C1260" s="2" t="n">
        <v>10596</v>
      </c>
      <c r="D1260" s="3" t="inlineStr">
        <is>
          <t>Чайка</t>
        </is>
      </c>
      <c r="E1260" s="2" t="n">
        <v>1974</v>
      </c>
      <c r="F1260" s="2" t="inlineStr">
        <is>
          <t>фильм-спектакль</t>
        </is>
      </c>
      <c r="G1260" s="2" t="inlineStr">
        <is>
          <t>ТО "Экран"</t>
        </is>
      </c>
      <c r="H1260" s="2" t="n">
        <v>136</v>
      </c>
      <c r="I1260" s="2" t="inlineStr"/>
      <c r="J1260" s="2" t="inlineStr">
        <is>
          <t>да</t>
        </is>
      </c>
      <c r="K1260" s="3" t="inlineStr">
        <is>
          <t>Фильм-спектакль по одноименной пьесе А.Чехова в постановке Московского Художественного академического театра Союза ССР имени М.Горького.</t>
        </is>
      </c>
      <c r="L1260" s="2" t="inlineStr">
        <is>
          <t>https://www.kino-teatr.ru/teatr/movie/37777/annot/</t>
        </is>
      </c>
      <c r="M1260" s="2">
        <f>HYPERLINK("https://ru.wikipedia.org/w/index.php?search=%D0%A7%D0%B0%D0%B9%D0%BA%D0%B0%201974%20%D1%84%D0%B8%D0%BB%D1%8C%D0%BC","искать")</f>
        <v/>
      </c>
      <c r="N1260" s="3" t="n"/>
      <c r="O1260" s="2" t="n"/>
    </row>
    <row r="1261">
      <c r="A1261" s="2" t="n">
        <v>1260</v>
      </c>
      <c r="B1261" s="2" t="inlineStr">
        <is>
          <t>не сюжет</t>
        </is>
      </c>
      <c r="C1261" s="2" t="n">
        <v>10772</v>
      </c>
      <c r="D1261" s="3" t="inlineStr">
        <is>
          <t>РњРёСЂ Р СЌСЏ Р‘СЂРµРґР±РµСЂРё</t>
        </is>
      </c>
      <c r="E1261" s="2" t="n">
        <v>1978</v>
      </c>
      <c r="F1261" s="2" t="inlineStr">
        <is>
          <t>фильм-спектакль</t>
        </is>
      </c>
      <c r="G1261" s="2" t="n"/>
      <c r="H1261" s="2" t="n">
        <v>136</v>
      </c>
      <c r="I1261" s="2" t="inlineStr"/>
      <c r="J1261" s="2" t="inlineStr">
        <is>
          <t>да</t>
        </is>
      </c>
      <c r="K1261" s="3" t="inlineStr">
        <is>
          <t>Р’ РїРµСЂРµРґР°С‡Рµ Р·РІСѓС‡Р°С‚ РѕС‚СЂС‹РІРєРё РёР· РїСЂРѕРёР·РІРµРґРµРЅРёР№ РїРёСЃР°С‚РµР»СЏ-С„Р°РЅС‚Р°СЃС‚Р° Р СЌСЏ Р‘СЂРµРґР±РµСЂРё.</t>
        </is>
      </c>
      <c r="L1261" s="2" t="inlineStr">
        <is>
          <t>https://www.kino-teatr.ru/teatr/movie/102388/annot/</t>
        </is>
      </c>
      <c r="M1261" s="2">
        <f>HYPERLINK("https://ru.wikipedia.org/w/index.php?search=%D0%A0%D1%9A%D0%A0%D1%91%D0%A1%D0%82%20%D0%A0%20%D0%A1%D0%8C%D0%A1%D0%8F%20%D0%A0%E2%80%98%D0%A1%D0%82%D0%A0%C2%B5%D0%A0%D2%91%D0%A0%C2%B1%D0%A0%C2%B5%D0%A1%D0%82%D0%A0%D1%91%201978%20%D1%84%D0%B8%D0%BB%D1%8C%D0%BC","искать")</f>
        <v/>
      </c>
      <c r="N1261" s="3" t="n"/>
      <c r="O1261" s="2" t="n"/>
    </row>
    <row r="1262">
      <c r="A1262" s="2" t="n">
        <v>1261</v>
      </c>
      <c r="B1262" s="2" t="inlineStr">
        <is>
          <t>не сюжет</t>
        </is>
      </c>
      <c r="C1262" s="2" t="n">
        <v>10791</v>
      </c>
      <c r="D1262" s="3" t="inlineStr">
        <is>
          <t>Бал</t>
        </is>
      </c>
      <c r="E1262" s="2" t="n">
        <v>1979</v>
      </c>
      <c r="F1262" s="2" t="inlineStr">
        <is>
          <t>фильм-спектакль</t>
        </is>
      </c>
      <c r="G1262" s="2" t="inlineStr">
        <is>
          <t>Ленинградское ТВ</t>
        </is>
      </c>
      <c r="H1262" s="2" t="n">
        <v>136</v>
      </c>
      <c r="I1262" s="2" t="inlineStr"/>
      <c r="J1262" s="2" t="inlineStr">
        <is>
          <t>да</t>
        </is>
      </c>
      <c r="K1262" s="3" t="inlineStr">
        <is>
          <t>По мотивам произведений А.С.Пушкина («Рославлев», «Повести И.П.Белкина», «Мы проводили вечер на даче...», «Роман в письмах», «Дуэль», ).</t>
        </is>
      </c>
      <c r="L1262" s="2" t="inlineStr">
        <is>
          <t>https://www.kino-teatr.ru/teatr/movie/8621/annot/</t>
        </is>
      </c>
      <c r="M1262" s="2">
        <f>HYPERLINK("https://ru.wikipedia.org/w/index.php?search=%D0%91%D0%B0%D0%BB%201979%20%D1%84%D0%B8%D0%BB%D1%8C%D0%BC","искать")</f>
        <v/>
      </c>
      <c r="N1262" s="3" t="n"/>
      <c r="O1262" s="2" t="n"/>
    </row>
    <row r="1263">
      <c r="A1263" s="2" t="n">
        <v>1262</v>
      </c>
      <c r="B1263" s="2" t="inlineStr">
        <is>
          <t>не сюжет</t>
        </is>
      </c>
      <c r="C1263" s="2" t="n">
        <v>10863</v>
      </c>
      <c r="D1263" s="3" t="inlineStr">
        <is>
          <t>Поют петухи</t>
        </is>
      </c>
      <c r="E1263" s="2" t="n">
        <v>1980</v>
      </c>
      <c r="F1263" s="2" t="inlineStr">
        <is>
          <t>фильм-спектакль</t>
        </is>
      </c>
      <c r="G1263" s="2" t="n"/>
      <c r="H1263" s="2" t="n">
        <v>136</v>
      </c>
      <c r="I1263" s="2" t="inlineStr"/>
      <c r="J1263" s="2" t="inlineStr">
        <is>
          <t>да</t>
        </is>
      </c>
      <c r="K1263" s="3" t="inlineStr">
        <is>
          <t>Спектакль поставлен по одноименной пьесе Ю.Балтушиса, в которой показаны классовые противоречия в литовской деревне 20-ых годов XX века.</t>
        </is>
      </c>
      <c r="L1263" s="2" t="inlineStr">
        <is>
          <t>https://www.kino-teatr.ru/teatr/movie/105726/annot/</t>
        </is>
      </c>
      <c r="M1263" s="2">
        <f>HYPERLINK("https://ru.wikipedia.org/w/index.php?search=%D0%9F%D0%BE%D1%8E%D1%82%20%D0%BF%D0%B5%D1%82%D1%83%D1%85%D0%B8%201980%20%D1%84%D0%B8%D0%BB%D1%8C%D0%BC","искать")</f>
        <v/>
      </c>
      <c r="N1263" s="3" t="n"/>
      <c r="O1263" s="2" t="n"/>
    </row>
    <row r="1264">
      <c r="A1264" s="2" t="n">
        <v>1263</v>
      </c>
      <c r="B1264" s="2" t="inlineStr">
        <is>
          <t>не сюжет</t>
        </is>
      </c>
      <c r="C1264" s="2" t="n">
        <v>8173</v>
      </c>
      <c r="D1264" s="3" t="inlineStr">
        <is>
          <t>Последняя ночь уходящего года</t>
        </is>
      </c>
      <c r="E1264" s="2" t="n">
        <v>1983</v>
      </c>
      <c r="F1264" s="2" t="inlineStr">
        <is>
          <t>телефильм</t>
        </is>
      </c>
      <c r="G1264" s="2" t="n"/>
      <c r="H1264" s="2" t="n">
        <v>137</v>
      </c>
      <c r="I1264" s="2" t="inlineStr"/>
      <c r="J1264" s="2" t="inlineStr">
        <is>
          <t>да</t>
        </is>
      </c>
      <c r="K1264" s="3" t="inlineStr">
        <is>
          <t>Телефильм по мотивам одноименной пьесы Анара. Фильм посвящается матери, оберегающей тепло своего очага, спокойствие и благополучие семьи.</t>
        </is>
      </c>
      <c r="L1264" s="2" t="inlineStr">
        <is>
          <t>Кино_СССР сводный каталог.xlsx: список телефильмов</t>
        </is>
      </c>
      <c r="M1264" s="2">
        <f>HYPERLINK("https://ru.wikipedia.org/w/index.php?search=%D0%9F%D0%BE%D1%81%D0%BB%D0%B5%D0%B4%D0%BD%D1%8F%D1%8F%20%D0%BD%D0%BE%D1%87%D1%8C%20%D1%83%D1%85%D0%BE%D0%B4%D1%8F%D1%89%D0%B5%D0%B3%D0%BE%20%D0%B3%D0%BE%D0%B4%D0%B0%201983%20%D1%84%D0%B8%D0%BB%D1%8C%D0%BC","искать")</f>
        <v/>
      </c>
      <c r="N1264" s="3" t="n"/>
      <c r="O1264" s="2" t="n"/>
    </row>
    <row r="1265">
      <c r="A1265" s="2" t="n">
        <v>1264</v>
      </c>
      <c r="B1265" s="2" t="inlineStr">
        <is>
          <t>не сюжет</t>
        </is>
      </c>
      <c r="C1265" s="2" t="n">
        <v>8350</v>
      </c>
      <c r="D1265" s="3" t="inlineStr">
        <is>
          <t>Сказка старого дуба</t>
        </is>
      </c>
      <c r="E1265" s="2" t="n">
        <v>1984</v>
      </c>
      <c r="F1265" s="2" t="inlineStr">
        <is>
          <t>телефильм</t>
        </is>
      </c>
      <c r="G1265" s="2" t="n"/>
      <c r="H1265" s="2" t="n">
        <v>137</v>
      </c>
      <c r="I1265" s="2" t="inlineStr"/>
      <c r="J1265" s="2" t="inlineStr">
        <is>
          <t>да</t>
        </is>
      </c>
      <c r="K1265" s="3" t="inlineStr">
        <is>
          <t>В фильме поднимается проблема отношения человека к природе, символом которой является старый дуб, охраняемый лесником от корыстных людей.</t>
        </is>
      </c>
      <c r="L1265" s="2" t="inlineStr">
        <is>
          <t>Кино_СССР сводный каталог.xlsx: список телефильмов</t>
        </is>
      </c>
      <c r="M1265" s="2">
        <f>HYPERLINK("https://ru.wikipedia.org/w/index.php?search=%D0%A1%D0%BA%D0%B0%D0%B7%D0%BA%D0%B0%20%D1%81%D1%82%D0%B0%D1%80%D0%BE%D0%B3%D0%BE%20%D0%B4%D1%83%D0%B1%D0%B0%201984%20%D1%84%D0%B8%D0%BB%D1%8C%D0%BC","искать")</f>
        <v/>
      </c>
      <c r="N1265" s="3" t="n"/>
      <c r="O1265" s="2" t="n"/>
    </row>
    <row r="1266">
      <c r="A1266" s="2" t="n">
        <v>1265</v>
      </c>
      <c r="B1266" s="2" t="inlineStr">
        <is>
          <t>не сюжет</t>
        </is>
      </c>
      <c r="C1266" s="2" t="n">
        <v>9621</v>
      </c>
      <c r="D1266" s="3" t="inlineStr">
        <is>
          <t>Роза ветров</t>
        </is>
      </c>
      <c r="E1266" s="2" t="n">
        <v>1957</v>
      </c>
      <c r="F1266" s="2" t="inlineStr">
        <is>
          <t>кинофильм</t>
        </is>
      </c>
      <c r="G1266" s="2" t="n"/>
      <c r="H1266" s="2" t="n">
        <v>137</v>
      </c>
      <c r="I1266" s="2" t="inlineStr"/>
      <c r="J1266" s="2" t="inlineStr">
        <is>
          <t>да</t>
        </is>
      </c>
      <c r="K1266" s="3" t="inlineStr">
        <is>
          <t>Фильм о роли женщин в социальной борьбе, состоящий из пяти новелл, действие которых происходит в Бразилии, СССР, Франции, Италии и Китае.</t>
        </is>
      </c>
      <c r="L1266" s="2" t="inlineStr">
        <is>
          <t>Кино_СССР сводный каталог.xlsx: список фильмов (доп.)</t>
        </is>
      </c>
      <c r="M1266" s="2">
        <f>HYPERLINK("https://ru.wikipedia.org/w/index.php?search=%D0%A0%D0%BE%D0%B7%D0%B0%20%D0%B2%D0%B5%D1%82%D1%80%D0%BE%D0%B2%201957%20%D1%84%D0%B8%D0%BB%D1%8C%D0%BC","искать")</f>
        <v/>
      </c>
      <c r="N1266" s="3" t="n"/>
      <c r="O1266" s="2" t="n"/>
    </row>
    <row r="1267">
      <c r="A1267" s="2" t="n">
        <v>1266</v>
      </c>
      <c r="B1267" s="2" t="inlineStr">
        <is>
          <t>не сюжет</t>
        </is>
      </c>
      <c r="C1267" s="2" t="n">
        <v>10737</v>
      </c>
      <c r="D1267" s="3" t="inlineStr">
        <is>
          <t>Две семьи</t>
        </is>
      </c>
      <c r="E1267" s="2" t="n">
        <v>1978</v>
      </c>
      <c r="F1267" s="2" t="inlineStr">
        <is>
          <t>фильм-спектакль</t>
        </is>
      </c>
      <c r="G1267" s="2" t="inlineStr">
        <is>
          <t>Укртелефильм</t>
        </is>
      </c>
      <c r="H1267" s="2" t="n">
        <v>137</v>
      </c>
      <c r="I1267" s="2" t="inlineStr"/>
      <c r="J1267" s="2" t="inlineStr">
        <is>
          <t>да</t>
        </is>
      </c>
      <c r="K1267" s="3" t="inlineStr">
        <is>
          <t>Телеверсия спектакля Киевского украинского драматического театра имени Ивана Франко в постановке А.Скибенко по пьесе Марка Кропивницкого.</t>
        </is>
      </c>
      <c r="L1267" s="2" t="inlineStr">
        <is>
          <t>https://www.kino-teatr.ru/teatr/movie/89667/annot/</t>
        </is>
      </c>
      <c r="M1267" s="2">
        <f>HYPERLINK("https://ru.wikipedia.org/w/index.php?search=%D0%94%D0%B2%D0%B5%20%D1%81%D0%B5%D0%BC%D1%8C%D0%B8%201978%20%D1%84%D0%B8%D0%BB%D1%8C%D0%BC","искать")</f>
        <v/>
      </c>
      <c r="N1267" s="3" t="n"/>
      <c r="O1267" s="2" t="n"/>
    </row>
    <row r="1268">
      <c r="A1268" s="2" t="n">
        <v>1267</v>
      </c>
      <c r="B1268" s="2" t="inlineStr">
        <is>
          <t>не сюжет</t>
        </is>
      </c>
      <c r="C1268" s="2" t="n">
        <v>8464</v>
      </c>
      <c r="D1268" s="3" t="inlineStr">
        <is>
          <t>Тот станет всем</t>
        </is>
      </c>
      <c r="E1268" s="2" t="n">
        <v>1975</v>
      </c>
      <c r="F1268" s="2" t="inlineStr">
        <is>
          <t>телефильм</t>
        </is>
      </c>
      <c r="G1268" s="2" t="n"/>
      <c r="H1268" s="2" t="n">
        <v>138</v>
      </c>
      <c r="I1268" s="2" t="inlineStr"/>
      <c r="J1268" s="2" t="inlineStr">
        <is>
          <t>да</t>
        </is>
      </c>
      <c r="K1268" s="3" t="inlineStr">
        <is>
          <t>По мотивам произведений Айни. Второй фильм кинодилогии, начатой фильмом "Кто был ничем...", о становлении Советской власти в Таджикистане.</t>
        </is>
      </c>
      <c r="L1268" s="2" t="inlineStr">
        <is>
          <t>Кино_СССР сводный каталог.xlsx: список телефильмов</t>
        </is>
      </c>
      <c r="M1268" s="2">
        <f>HYPERLINK("https://ru.wikipedia.org/w/index.php?search=%D0%A2%D0%BE%D1%82%20%D1%81%D1%82%D0%B0%D0%BD%D0%B5%D1%82%20%D0%B2%D1%81%D0%B5%D0%BC%201975%20%D1%84%D0%B8%D0%BB%D1%8C%D0%BC","искать")</f>
        <v/>
      </c>
      <c r="N1268" s="3" t="n"/>
      <c r="O1268" s="2" t="n"/>
    </row>
    <row r="1269">
      <c r="A1269" s="2" t="n">
        <v>1268</v>
      </c>
      <c r="B1269" s="2" t="inlineStr">
        <is>
          <t>не сюжет</t>
        </is>
      </c>
      <c r="C1269" s="2" t="n">
        <v>9680</v>
      </c>
      <c r="D1269" s="3" t="inlineStr">
        <is>
          <t>Счастлив, кто любил</t>
        </is>
      </c>
      <c r="E1269" s="2" t="n">
        <v>1986</v>
      </c>
      <c r="F1269" s="2" t="inlineStr">
        <is>
          <t>кинофильм</t>
        </is>
      </c>
      <c r="G1269" s="2" t="n"/>
      <c r="H1269" s="2" t="n">
        <v>138</v>
      </c>
      <c r="I1269" s="2" t="inlineStr"/>
      <c r="J1269" s="2" t="inlineStr">
        <is>
          <t>да</t>
        </is>
      </c>
      <c r="K1269" s="3" t="inlineStr">
        <is>
          <t>Лирический рассказ о женщине, которая через долгие годы пронесла любовь к человеку, встреченному на дороге войны, навсегда их разлучившей.</t>
        </is>
      </c>
      <c r="L1269" s="2" t="inlineStr">
        <is>
          <t>Кино_СССР сводный каталог.xlsx: список фильмов (доп.)</t>
        </is>
      </c>
      <c r="M1269" s="2">
        <f>HYPERLINK("https://ru.wikipedia.org/w/index.php?search=%D0%A1%D1%87%D0%B0%D1%81%D1%82%D0%BB%D0%B8%D0%B2%2C%20%D0%BA%D1%82%D0%BE%20%D0%BB%D1%8E%D0%B1%D0%B8%D0%BB%201986%20%D1%84%D0%B8%D0%BB%D1%8C%D0%BC","искать")</f>
        <v/>
      </c>
      <c r="N1269" s="3" t="n"/>
      <c r="O1269" s="2" t="n"/>
    </row>
    <row r="1270">
      <c r="A1270" s="2" t="n">
        <v>1269</v>
      </c>
      <c r="B1270" s="2" t="inlineStr">
        <is>
          <t>не сюжет</t>
        </is>
      </c>
      <c r="C1270" s="2" t="n">
        <v>10542</v>
      </c>
      <c r="D1270" s="3" t="inlineStr">
        <is>
          <t>Бенефис Веры Васильевой</t>
        </is>
      </c>
      <c r="E1270" s="2" t="n">
        <v>1974</v>
      </c>
      <c r="F1270" s="2" t="inlineStr">
        <is>
          <t>фильм-спектакль</t>
        </is>
      </c>
      <c r="G1270" s="2" t="inlineStr">
        <is>
          <t>Главная редакция музыкальных программ ЦТ</t>
        </is>
      </c>
      <c r="H1270" s="2" t="n">
        <v>138</v>
      </c>
      <c r="I1270" s="2" t="inlineStr"/>
      <c r="J1270" s="2" t="inlineStr">
        <is>
          <t>да</t>
        </is>
      </c>
      <c r="K1270" s="3" t="inlineStr">
        <is>
          <t>В программе использованы фрагменты спектаклей "Не все коту масленица", "Проснись и пой", оперетт "Белая ночь", "Парижская жизнь" и других.</t>
        </is>
      </c>
      <c r="L1270" s="2" t="inlineStr">
        <is>
          <t>https://www.kino-teatr.ru/teatr/movie/82222/annot/</t>
        </is>
      </c>
      <c r="M1270" s="2">
        <f>HYPERLINK("https://ru.wikipedia.org/w/index.php?search=%D0%91%D0%B5%D0%BD%D0%B5%D1%84%D0%B8%D1%81%20%D0%92%D0%B5%D1%80%D1%8B%20%D0%92%D0%B0%D1%81%D0%B8%D0%BB%D1%8C%D0%B5%D0%B2%D0%BE%D0%B9%201974%20%D1%84%D0%B8%D0%BB%D1%8C%D0%BC","искать")</f>
        <v/>
      </c>
      <c r="N1270" s="3" t="n"/>
      <c r="O1270" s="2" t="n"/>
    </row>
    <row r="1271">
      <c r="A1271" s="2" t="n">
        <v>1270</v>
      </c>
      <c r="B1271" s="2" t="inlineStr">
        <is>
          <t>не сюжет</t>
        </is>
      </c>
      <c r="C1271" s="2" t="n">
        <v>10800</v>
      </c>
      <c r="D1271" s="3" t="inlineStr">
        <is>
          <t>Дачники</t>
        </is>
      </c>
      <c r="E1271" s="2" t="n">
        <v>1979</v>
      </c>
      <c r="F1271" s="2" t="inlineStr">
        <is>
          <t>фильм-спектакль</t>
        </is>
      </c>
      <c r="G1271" s="2" t="inlineStr">
        <is>
          <t>Творческое объединение "Экран"</t>
        </is>
      </c>
      <c r="H1271" s="2" t="n">
        <v>138</v>
      </c>
      <c r="I1271" s="2" t="inlineStr"/>
      <c r="J1271" s="2" t="inlineStr">
        <is>
          <t>да</t>
        </is>
      </c>
      <c r="K1271" s="3" t="inlineStr">
        <is>
          <t>Фильм-спектакль по одноименной пьесе М.Горького в постановке Московского Художественного академического театра Союза ССР имени М.Горького.</t>
        </is>
      </c>
      <c r="L1271" s="2" t="inlineStr">
        <is>
          <t>https://www.kino-teatr.ru/teatr/movie/80272/annot/</t>
        </is>
      </c>
      <c r="M1271" s="2">
        <f>HYPERLINK("https://ru.wikipedia.org/w/index.php?search=%D0%94%D0%B0%D1%87%D0%BD%D0%B8%D0%BA%D0%B8%201979%20%D1%84%D0%B8%D0%BB%D1%8C%D0%BC","искать")</f>
        <v/>
      </c>
      <c r="N1271" s="3" t="n"/>
      <c r="O1271" s="2" t="n"/>
    </row>
    <row r="1272">
      <c r="A1272" s="2" t="n">
        <v>1271</v>
      </c>
      <c r="B1272" s="2" t="inlineStr">
        <is>
          <t>не сюжет</t>
        </is>
      </c>
      <c r="C1272" s="2" t="n">
        <v>10927</v>
      </c>
      <c r="D1272" s="3" t="inlineStr">
        <is>
          <t>Этот фантастический мир. Выпуск 5</t>
        </is>
      </c>
      <c r="E1272" s="2" t="n">
        <v>1981</v>
      </c>
      <c r="F1272" s="2" t="inlineStr">
        <is>
          <t>фильм-спектакль</t>
        </is>
      </c>
      <c r="G1272" s="2" t="inlineStr">
        <is>
          <t>Главная редакция программ для детей и юношества ЦТ</t>
        </is>
      </c>
      <c r="H1272" s="2" t="n">
        <v>138</v>
      </c>
      <c r="I1272" s="2" t="inlineStr"/>
      <c r="J1272" s="2" t="inlineStr">
        <is>
          <t>да</t>
        </is>
      </c>
      <c r="K1272" s="3" t="inlineStr">
        <is>
          <t>В этой серии популярного телеальманаха были экранизованы произведения "О скитаниях вечных и о Земле" Рэя Брэдбери и "Выбор" Кира Булычева.</t>
        </is>
      </c>
      <c r="L1272" s="2" t="inlineStr">
        <is>
          <t>https://www.kino-teatr.ru/teatr/movie/16961/annot/</t>
        </is>
      </c>
      <c r="M1272" s="2">
        <f>HYPERLINK("https://ru.wikipedia.org/w/index.php?search=%D0%AD%D1%82%D0%BE%D1%82%20%D1%84%D0%B0%D0%BD%D1%82%D0%B0%D1%81%D1%82%D0%B8%D1%87%D0%B5%D1%81%D0%BA%D0%B8%D0%B9%20%D0%BC%D0%B8%D1%80.%20%D0%92%D1%8B%D0%BF%D1%83%D1%81%D0%BA%205%201981%20%D1%84%D0%B8%D0%BB%D1%8C%D0%BC","искать")</f>
        <v/>
      </c>
      <c r="N1272" s="3" t="n"/>
      <c r="O1272" s="2" t="n"/>
    </row>
    <row r="1273">
      <c r="A1273" s="2" t="n">
        <v>1272</v>
      </c>
      <c r="B1273" s="2" t="inlineStr">
        <is>
          <t>не сюжет</t>
        </is>
      </c>
      <c r="C1273" s="2" t="n">
        <v>9052</v>
      </c>
      <c r="D1273" s="3" t="inlineStr">
        <is>
          <t>Снежная королева</t>
        </is>
      </c>
      <c r="E1273" s="2" t="n">
        <v>1941</v>
      </c>
      <c r="F1273" s="2" t="inlineStr">
        <is>
          <t>кинофильм</t>
        </is>
      </c>
      <c r="G1273" s="2" t="n"/>
      <c r="H1273" s="2" t="n">
        <v>139</v>
      </c>
      <c r="I1273" s="2" t="inlineStr"/>
      <c r="J1273" s="2" t="inlineStr">
        <is>
          <t>да</t>
        </is>
      </c>
      <c r="K1273" s="3" t="inlineStr">
        <is>
          <t>Фильм снимался в цвете. Было отснято около половины фильма... Съёмки прервала война, материал погиб, сохранилось лишь несколько фотографий.</t>
        </is>
      </c>
      <c r="L1273" s="2" t="inlineStr">
        <is>
          <t>Кино_СССР сводный каталог.xlsx: список фильмов (доп.)</t>
        </is>
      </c>
      <c r="M1273" s="2">
        <f>HYPERLINK("https://ru.wikipedia.org/w/index.php?search=%D0%A1%D0%BD%D0%B5%D0%B6%D0%BD%D0%B0%D1%8F%20%D0%BA%D0%BE%D1%80%D0%BE%D0%BB%D0%B5%D0%B2%D0%B0%201941%20%D1%84%D0%B8%D0%BB%D1%8C%D0%BC","искать")</f>
        <v/>
      </c>
      <c r="N1273" s="3" t="n"/>
      <c r="O1273" s="2" t="n"/>
    </row>
    <row r="1274">
      <c r="A1274" s="2" t="n">
        <v>1273</v>
      </c>
      <c r="B1274" s="2" t="inlineStr">
        <is>
          <t>не сюжет</t>
        </is>
      </c>
      <c r="C1274" s="2" t="n">
        <v>9730</v>
      </c>
      <c r="D1274" s="3" t="inlineStr">
        <is>
          <t>Хамка</t>
        </is>
      </c>
      <c r="E1274" s="2" t="n">
        <v>1918</v>
      </c>
      <c r="F1274" s="2" t="inlineStr">
        <is>
          <t>кинофильм</t>
        </is>
      </c>
      <c r="G1274" s="2" t="n"/>
      <c r="H1274" s="2" t="n">
        <v>139</v>
      </c>
      <c r="I1274" s="2" t="inlineStr"/>
      <c r="J1274" s="2" t="inlineStr">
        <is>
          <t>да</t>
        </is>
      </c>
      <c r="K1274" s="3" t="inlineStr">
        <is>
          <t>По пьесе М.К.Константинова "Ее превосходительство "Настасьюшка". История лакея, ставшего художником, но не нашедшего счастья в новой среде.</t>
        </is>
      </c>
      <c r="L1274" s="2" t="inlineStr">
        <is>
          <t>Кино_СССР сводный каталог.xlsx: список фильмов (доп.)</t>
        </is>
      </c>
      <c r="M1274" s="2">
        <f>HYPERLINK("https://ru.wikipedia.org/w/index.php?search=%D0%A5%D0%B0%D0%BC%D0%BA%D0%B0%201918%20%D1%84%D0%B8%D0%BB%D1%8C%D0%BC","искать")</f>
        <v/>
      </c>
      <c r="N1274" s="3" t="n"/>
      <c r="O1274" s="2" t="n"/>
    </row>
    <row r="1275">
      <c r="A1275" s="2" t="n">
        <v>1274</v>
      </c>
      <c r="B1275" s="2" t="inlineStr">
        <is>
          <t>не сюжет</t>
        </is>
      </c>
      <c r="C1275" s="2" t="n">
        <v>10283</v>
      </c>
      <c r="D1275" s="3" t="inlineStr">
        <is>
          <t>Анекдот</t>
        </is>
      </c>
      <c r="E1275" s="2" t="n">
        <v>1969</v>
      </c>
      <c r="F1275" s="2" t="inlineStr">
        <is>
          <t>фильм-спектакль</t>
        </is>
      </c>
      <c r="G1275" s="2" t="inlineStr">
        <is>
          <t>Центральное телевидение, Подборки фильмов, экранизации Горького</t>
        </is>
      </c>
      <c r="H1275" s="2" t="n">
        <v>139</v>
      </c>
      <c r="I1275" s="2" t="inlineStr"/>
      <c r="J1275" s="2" t="inlineStr">
        <is>
          <t>да</t>
        </is>
      </c>
      <c r="K1275" s="3" t="inlineStr">
        <is>
          <t>Рассказ М.Горького является своеобразным эскизом к пьесе "Егор Булычев".
Спектакль - дебют актера Льва Дурова на телевидении как режиссера.</t>
        </is>
      </c>
      <c r="L1275" s="2" t="inlineStr">
        <is>
          <t>https://www.kino-teatr.ru/teatr/movie/136800/annot/</t>
        </is>
      </c>
      <c r="M1275" s="2">
        <f>HYPERLINK("https://ru.wikipedia.org/w/index.php?search=%D0%90%D0%BD%D0%B5%D0%BA%D0%B4%D0%BE%D1%82%201969%20%D1%84%D0%B8%D0%BB%D1%8C%D0%BC","искать")</f>
        <v/>
      </c>
      <c r="N1275" s="3" t="n"/>
      <c r="O1275" s="2" t="n"/>
    </row>
    <row r="1276">
      <c r="A1276" s="2" t="n">
        <v>1275</v>
      </c>
      <c r="B1276" s="2" t="inlineStr">
        <is>
          <t>не сюжет</t>
        </is>
      </c>
      <c r="C1276" s="2" t="n">
        <v>10294</v>
      </c>
      <c r="D1276" s="3" t="inlineStr">
        <is>
          <t>Вам!</t>
        </is>
      </c>
      <c r="E1276" s="2" t="n">
        <v>1969</v>
      </c>
      <c r="F1276" s="2" t="inlineStr">
        <is>
          <t>фильм-спектакль</t>
        </is>
      </c>
      <c r="G1276" s="2" t="inlineStr">
        <is>
          <t>Ленинградское Телевидение</t>
        </is>
      </c>
      <c r="H1276" s="2" t="n">
        <v>139</v>
      </c>
      <c r="I1276" s="2" t="inlineStr"/>
      <c r="J1276" s="2" t="inlineStr">
        <is>
          <t>да</t>
        </is>
      </c>
      <c r="K1276" s="3" t="inlineStr">
        <is>
          <t>В основу телеспектакля легли стихотворения В.Маяковского "Вам!", "Послушайте!", "Разговор с товарищем Лениным" и другие произведения поэта.</t>
        </is>
      </c>
      <c r="L1276" s="2" t="inlineStr">
        <is>
          <t>https://www.kino-teatr.ru/teatr/movie/8778/annot/</t>
        </is>
      </c>
      <c r="M1276" s="2">
        <f>HYPERLINK("https://ru.wikipedia.org/w/index.php?search=%D0%92%D0%B0%D0%BC%21%201969%20%D1%84%D0%B8%D0%BB%D1%8C%D0%BC","искать")</f>
        <v/>
      </c>
      <c r="N1276" s="3" t="n"/>
      <c r="O1276" s="2" t="n"/>
    </row>
    <row r="1277">
      <c r="A1277" s="2" t="n">
        <v>1276</v>
      </c>
      <c r="B1277" s="2" t="inlineStr">
        <is>
          <t>не сюжет</t>
        </is>
      </c>
      <c r="C1277" s="2" t="n">
        <v>7691</v>
      </c>
      <c r="D1277" s="3" t="inlineStr">
        <is>
          <t>История чудес</t>
        </is>
      </c>
      <c r="E1277" s="2" t="n">
        <v>1977</v>
      </c>
      <c r="F1277" s="2" t="inlineStr">
        <is>
          <t>телефильм</t>
        </is>
      </c>
      <c r="G1277" s="2" t="n"/>
      <c r="H1277" s="2" t="n">
        <v>140</v>
      </c>
      <c r="I1277" s="2" t="inlineStr"/>
      <c r="J1277" s="2" t="inlineStr">
        <is>
          <t>да</t>
        </is>
      </c>
      <c r="K1277" s="3" t="inlineStr">
        <is>
          <t>Музыкальный фильм по одноименной опере Раймо Кангро и Кульно Сухалепа. Оригинальная идея из рассказа Джованни Боккаччо "Декамерон" глава ХХ.</t>
        </is>
      </c>
      <c r="L1277" s="2" t="inlineStr">
        <is>
          <t>Кино_СССР сводный каталог.xlsx: список телефильмов</t>
        </is>
      </c>
      <c r="M1277" s="2">
        <f>HYPERLINK("https://ru.wikipedia.org/w/index.php?search=%D0%98%D1%81%D1%82%D0%BE%D1%80%D0%B8%D1%8F%20%D1%87%D1%83%D0%B4%D0%B5%D1%81%201977%20%D1%84%D0%B8%D0%BB%D1%8C%D0%BC","искать")</f>
        <v/>
      </c>
      <c r="N1277" s="3" t="n"/>
      <c r="O1277" s="2" t="n"/>
    </row>
    <row r="1278">
      <c r="A1278" s="2" t="n">
        <v>1277</v>
      </c>
      <c r="B1278" s="2" t="inlineStr">
        <is>
          <t>не сюжет</t>
        </is>
      </c>
      <c r="C1278" s="2" t="n">
        <v>8265</v>
      </c>
      <c r="D1278" s="3" t="inlineStr">
        <is>
          <t>Рассказы о любви</t>
        </is>
      </c>
      <c r="E1278" s="2" t="n">
        <v>1980</v>
      </c>
      <c r="F1278" s="2" t="inlineStr">
        <is>
          <t>телефильм</t>
        </is>
      </c>
      <c r="G1278" s="2" t="n"/>
      <c r="H1278" s="2" t="n">
        <v>140</v>
      </c>
      <c r="I1278" s="2" t="inlineStr"/>
      <c r="J1278" s="2" t="inlineStr">
        <is>
          <t>да</t>
        </is>
      </c>
      <c r="K1278" s="3" t="inlineStr">
        <is>
          <t>Телефильм по мотивам рассказов А.П.Чехова «На пути», «Осенью», «В ссылке». Первая часть дилогии, вторая часть - «История одной любви» (1981)</t>
        </is>
      </c>
      <c r="L1278" s="2" t="inlineStr">
        <is>
          <t>Кино_СССР сводный каталог.xlsx: список телефильмов</t>
        </is>
      </c>
      <c r="M1278" s="2">
        <f>HYPERLINK("https://ru.wikipedia.org/w/index.php?search=%D0%A0%D0%B0%D1%81%D1%81%D0%BA%D0%B0%D0%B7%D1%8B%20%D0%BE%20%D0%BB%D1%8E%D0%B1%D0%B2%D0%B8%201980%20%D1%84%D0%B8%D0%BB%D1%8C%D0%BC","искать")</f>
        <v/>
      </c>
      <c r="N1278" s="3" t="n"/>
      <c r="O1278" s="2" t="n"/>
    </row>
    <row r="1279">
      <c r="A1279" s="2" t="n">
        <v>1278</v>
      </c>
      <c r="B1279" s="2" t="inlineStr">
        <is>
          <t>не сюжет</t>
        </is>
      </c>
      <c r="C1279" s="2" t="n">
        <v>10767</v>
      </c>
      <c r="D1279" s="3" t="inlineStr">
        <is>
          <t>Пока бьётся сердце</t>
        </is>
      </c>
      <c r="E1279" s="2" t="n">
        <v>1978</v>
      </c>
      <c r="F1279" s="2" t="inlineStr">
        <is>
          <t>фильм-спектакль</t>
        </is>
      </c>
      <c r="G1279" s="2" t="inlineStr">
        <is>
          <t>Центральное телевидение</t>
        </is>
      </c>
      <c r="H1279" s="2" t="n">
        <v>140</v>
      </c>
      <c r="I1279" s="2" t="inlineStr"/>
      <c r="J1279" s="2" t="inlineStr">
        <is>
          <t>да</t>
        </is>
      </c>
      <c r="K1279" s="3" t="inlineStr">
        <is>
          <t>Постановка Ленинградского государственного академического театра драмы имени А.С. Пушкина.
В центре спектакля - образ врача-хирурга Крымова.</t>
        </is>
      </c>
      <c r="L1279" s="2" t="inlineStr">
        <is>
          <t>https://www.kino-teatr.ru/teatr/movie/104341/annot/</t>
        </is>
      </c>
      <c r="M1279" s="2">
        <f>HYPERLINK("https://ru.wikipedia.org/w/index.php?search=%D0%9F%D0%BE%D0%BA%D0%B0%20%D0%B1%D1%8C%D1%91%D1%82%D1%81%D1%8F%20%D1%81%D0%B5%D1%80%D0%B4%D1%86%D0%B5%201978%20%D1%84%D0%B8%D0%BB%D1%8C%D0%BC","искать")</f>
        <v/>
      </c>
      <c r="N1279" s="3" t="n"/>
      <c r="O1279" s="2" t="n"/>
    </row>
    <row r="1280">
      <c r="A1280" s="2" t="n">
        <v>1279</v>
      </c>
      <c r="B1280" s="2" t="inlineStr">
        <is>
          <t>не сюжет</t>
        </is>
      </c>
      <c r="C1280" s="2" t="n">
        <v>11220</v>
      </c>
      <c r="D1280" s="3" t="inlineStr">
        <is>
          <t>Пиковая дама</t>
        </is>
      </c>
      <c r="E1280" s="2" t="n">
        <v>1988</v>
      </c>
      <c r="F1280" s="2" t="inlineStr">
        <is>
          <t>фильм-спектакль</t>
        </is>
      </c>
      <c r="G1280" s="2" t="inlineStr">
        <is>
          <t>Главная редакция научно-популярных и учебных программ ЦТ</t>
        </is>
      </c>
      <c r="H1280" s="2" t="n">
        <v>140</v>
      </c>
      <c r="I1280" s="2" t="inlineStr"/>
      <c r="J1280" s="2" t="inlineStr">
        <is>
          <t>да</t>
        </is>
      </c>
      <c r="K1280" s="3" t="inlineStr">
        <is>
          <t>По повести Александра Сергеевича Пушкина.
Дипломный спектакль курса ГИТИСа (руководитель П.Н.Фоменко). Съемки проходили в музее им. Пушкина.</t>
        </is>
      </c>
      <c r="L1280" s="2" t="inlineStr">
        <is>
          <t>https://www.kino-teatr.ru/teatr/movie/128318/annot/</t>
        </is>
      </c>
      <c r="M1280" s="2">
        <f>HYPERLINK("https://ru.wikipedia.org/w/index.php?search=%D0%9F%D0%B8%D0%BA%D0%BE%D0%B2%D0%B0%D1%8F%20%D0%B4%D0%B0%D0%BC%D0%B0%201988%20%D1%84%D0%B8%D0%BB%D1%8C%D0%BC","искать")</f>
        <v/>
      </c>
      <c r="N1280" s="3" t="n"/>
      <c r="O1280" s="2" t="n"/>
    </row>
    <row r="1281">
      <c r="A1281" s="2" t="n">
        <v>1280</v>
      </c>
      <c r="B1281" s="2" t="inlineStr">
        <is>
          <t>не сюжет</t>
        </is>
      </c>
      <c r="C1281" s="2" t="n">
        <v>11355</v>
      </c>
      <c r="D1281" s="3" t="inlineStr">
        <is>
          <t>Алмаст</t>
        </is>
      </c>
      <c r="E1281" s="2" t="n">
        <v>1985</v>
      </c>
      <c r="F1281" s="2" t="inlineStr">
        <is>
          <t>фильм-опера/балет</t>
        </is>
      </c>
      <c r="G1281" s="2" t="n"/>
      <c r="H1281" s="2" t="n">
        <v>140</v>
      </c>
      <c r="I1281" s="2" t="inlineStr"/>
      <c r="J1281" s="2" t="inlineStr">
        <is>
          <t>да</t>
        </is>
      </c>
      <c r="K1281" s="3" t="inlineStr">
        <is>
          <t>Ալմաստ Телефильм. Опера Александра Спендиарова по мотивам поэмы армянского поэта Ованеса Туманяна "Взятие Тмкаберта". Либретто Софьи Парнок.</t>
        </is>
      </c>
      <c r="L1281" s="2" t="inlineStr">
        <is>
          <t>Кино_СССР телефильмы и пропуски включить в базу.xlsx</t>
        </is>
      </c>
      <c r="M1281" s="2">
        <f>HYPERLINK("https://ru.wikipedia.org/w/index.php?search=%D0%90%D0%BB%D0%BC%D0%B0%D1%81%D1%82%201985%20%D1%84%D0%B8%D0%BB%D1%8C%D0%BC","искать")</f>
        <v/>
      </c>
      <c r="N1281" s="3" t="n"/>
      <c r="O1281" s="2" t="n"/>
    </row>
    <row r="1282">
      <c r="A1282" s="2" t="n">
        <v>1281</v>
      </c>
      <c r="B1282" s="2" t="inlineStr">
        <is>
          <t>не сюжет</t>
        </is>
      </c>
      <c r="C1282" s="2" t="n">
        <v>7301</v>
      </c>
      <c r="D1282" s="3" t="inlineStr">
        <is>
          <t>В стремнине бешеной реки</t>
        </is>
      </c>
      <c r="E1282" s="2" t="n">
        <v>1980</v>
      </c>
      <c r="F1282" s="2" t="inlineStr">
        <is>
          <t>телефильм</t>
        </is>
      </c>
      <c r="G1282" s="2" t="n"/>
      <c r="H1282" s="2" t="n">
        <v>141</v>
      </c>
      <c r="I1282" s="2" t="inlineStr"/>
      <c r="J1282" s="2" t="inlineStr">
        <is>
          <t>да</t>
        </is>
      </c>
      <c r="K1282" s="3" t="inlineStr">
        <is>
          <t>Телефильм. Баллада о любви, о красоте природы, о человеческих отношениях. Фильм был дважды показан по Центральному телевидению в начале 80-х.</t>
        </is>
      </c>
      <c r="L1282" s="2" t="inlineStr">
        <is>
          <t>Кино_СССР сводный каталог.xlsx: список телефильмов</t>
        </is>
      </c>
      <c r="M1282" s="2">
        <f>HYPERLINK("https://ru.wikipedia.org/w/index.php?search=%D0%92%20%D1%81%D1%82%D1%80%D0%B5%D0%BC%D0%BD%D0%B8%D0%BD%D0%B5%20%D0%B1%D0%B5%D1%88%D0%B5%D0%BD%D0%BE%D0%B9%20%D1%80%D0%B5%D0%BA%D0%B8%201980%20%D1%84%D0%B8%D0%BB%D1%8C%D0%BC","искать")</f>
        <v/>
      </c>
      <c r="N1282" s="3" t="n"/>
      <c r="O1282" s="2" t="n"/>
    </row>
    <row r="1283">
      <c r="A1283" s="2" t="n">
        <v>1282</v>
      </c>
      <c r="B1283" s="2" t="inlineStr">
        <is>
          <t>не сюжет</t>
        </is>
      </c>
      <c r="C1283" s="2" t="n">
        <v>7823</v>
      </c>
      <c r="D1283" s="3" t="inlineStr">
        <is>
          <t>Лучшая дорога нашей жизни</t>
        </is>
      </c>
      <c r="E1283" s="2" t="n">
        <v>1984</v>
      </c>
      <c r="F1283" s="2" t="inlineStr">
        <is>
          <t>телефильм</t>
        </is>
      </c>
      <c r="G1283" s="2" t="n"/>
      <c r="H1283" s="2" t="n">
        <v>141</v>
      </c>
      <c r="I1283" s="2" t="inlineStr"/>
      <c r="J1283" s="2" t="inlineStr">
        <is>
          <t>да</t>
        </is>
      </c>
      <c r="K1283" s="3" t="inlineStr">
        <is>
          <t>Фильм повествует о начале строительства Байкало-Амурской магистрали. В центре повествования - образ комсомольского вожака Феликса Прудникова.</t>
        </is>
      </c>
      <c r="L1283" s="2" t="inlineStr">
        <is>
          <t>Кино_СССР сводный каталог.xlsx: список телефильмов</t>
        </is>
      </c>
      <c r="M1283" s="2">
        <f>HYPERLINK("https://ru.wikipedia.org/w/index.php?search=%D0%9B%D1%83%D1%87%D1%88%D0%B0%D1%8F%20%D0%B4%D0%BE%D1%80%D0%BE%D0%B3%D0%B0%20%D0%BD%D0%B0%D1%88%D0%B5%D0%B9%20%D0%B6%D0%B8%D0%B7%D0%BD%D0%B8%201984%20%D1%84%D0%B8%D0%BB%D1%8C%D0%BC","искать")</f>
        <v/>
      </c>
      <c r="N1283" s="3" t="n"/>
      <c r="O1283" s="2" t="n"/>
    </row>
    <row r="1284">
      <c r="A1284" s="2" t="n">
        <v>1283</v>
      </c>
      <c r="B1284" s="2" t="inlineStr">
        <is>
          <t>не сюжет</t>
        </is>
      </c>
      <c r="C1284" s="2" t="n">
        <v>9380</v>
      </c>
      <c r="D1284" s="3" t="inlineStr">
        <is>
          <t>Золотая голова мстителя</t>
        </is>
      </c>
      <c r="E1284" s="2" t="n">
        <v>1988</v>
      </c>
      <c r="F1284" s="2" t="inlineStr">
        <is>
          <t>кинофильм</t>
        </is>
      </c>
      <c r="G1284" s="2" t="n"/>
      <c r="H1284" s="2" t="n">
        <v>141</v>
      </c>
      <c r="I1284" s="2" t="inlineStr"/>
      <c r="J1284" s="2" t="inlineStr">
        <is>
          <t>да</t>
        </is>
      </c>
      <c r="K1284" s="3" t="inlineStr">
        <is>
          <t>По мотивам одноименного романа Х.Тухтабаева. Действие фильма, герои которого -- офицеры царской армии, происходит в начале века в Туркестане.</t>
        </is>
      </c>
      <c r="L1284" s="2" t="inlineStr">
        <is>
          <t>Кино_СССР сводный каталог.xlsx: список фильмов (доп.)</t>
        </is>
      </c>
      <c r="M1284" s="2">
        <f>HYPERLINK("https://ru.wikipedia.org/w/index.php?search=%D0%97%D0%BE%D0%BB%D0%BE%D1%82%D0%B0%D1%8F%20%D0%B3%D0%BE%D0%BB%D0%BE%D0%B2%D0%B0%20%D0%BC%D1%81%D1%82%D0%B8%D1%82%D0%B5%D0%BB%D1%8F%201988%20%D1%84%D0%B8%D0%BB%D1%8C%D0%BC","искать")</f>
        <v/>
      </c>
      <c r="N1284" s="3" t="n"/>
      <c r="O1284" s="2" t="n"/>
    </row>
    <row r="1285">
      <c r="A1285" s="2" t="n">
        <v>1284</v>
      </c>
      <c r="B1285" s="2" t="inlineStr">
        <is>
          <t>не сюжет</t>
        </is>
      </c>
      <c r="C1285" s="2" t="n">
        <v>10260</v>
      </c>
      <c r="D1285" s="3" t="inlineStr">
        <is>
          <t>Неоконченная симфония</t>
        </is>
      </c>
      <c r="E1285" s="2" t="n">
        <v>1968</v>
      </c>
      <c r="F1285" s="2" t="inlineStr">
        <is>
          <t>фильм-спектакль</t>
        </is>
      </c>
      <c r="G1285" s="2" t="n"/>
      <c r="H1285" s="2" t="n">
        <v>141</v>
      </c>
      <c r="I1285" s="2" t="inlineStr"/>
      <c r="J1285" s="2" t="inlineStr">
        <is>
          <t>да</t>
        </is>
      </c>
      <c r="K1285" s="3" t="inlineStr">
        <is>
          <t>О жизни и творчестве выдающегося австрийского композитора Франца Шуберта.
Вокальные партии: А.Ведерников, Е.Шумская, Г.Кузнецова, С.Яковенко.</t>
        </is>
      </c>
      <c r="L1285" s="2" t="inlineStr">
        <is>
          <t>https://www.kino-teatr.ru/teatr/movie/86627/annot/</t>
        </is>
      </c>
      <c r="M1285" s="2">
        <f>HYPERLINK("https://ru.wikipedia.org/w/index.php?search=%D0%9D%D0%B5%D0%BE%D0%BA%D0%BE%D0%BD%D1%87%D0%B5%D0%BD%D0%BD%D0%B0%D1%8F%20%D1%81%D0%B8%D0%BC%D1%84%D0%BE%D0%BD%D0%B8%D1%8F%201968%20%D1%84%D0%B8%D0%BB%D1%8C%D0%BC","искать")</f>
        <v/>
      </c>
      <c r="N1285" s="3" t="n"/>
      <c r="O1285" s="2" t="n"/>
    </row>
    <row r="1286">
      <c r="A1286" s="2" t="n">
        <v>1285</v>
      </c>
      <c r="B1286" s="2" t="inlineStr">
        <is>
          <t>не сюжет</t>
        </is>
      </c>
      <c r="C1286" s="2" t="n">
        <v>10878</v>
      </c>
      <c r="D1286" s="3" t="inlineStr">
        <is>
          <t>Вызов</t>
        </is>
      </c>
      <c r="E1286" s="2" t="n">
        <v>1981</v>
      </c>
      <c r="F1286" s="2" t="inlineStr">
        <is>
          <t>фильм-спектакль</t>
        </is>
      </c>
      <c r="G1286" s="2" t="n"/>
      <c r="H1286" s="2" t="n">
        <v>141</v>
      </c>
      <c r="I1286" s="2" t="inlineStr"/>
      <c r="J1286" s="2" t="inlineStr">
        <is>
          <t>да</t>
        </is>
      </c>
      <c r="K1286" s="3" t="inlineStr">
        <is>
          <t>Телеспектакль Малого театра.
По одноименной пьесе Г. Маркова и Э. Шима.
О трудном, но созидательном пути сибирского ученого Алексея Краюхина.</t>
        </is>
      </c>
      <c r="L1286" s="2" t="inlineStr">
        <is>
          <t>https://www.kino-teatr.ru/teatr/movie/94804/annot/</t>
        </is>
      </c>
      <c r="M1286" s="2">
        <f>HYPERLINK("https://ru.wikipedia.org/w/index.php?search=%D0%92%D1%8B%D0%B7%D0%BE%D0%B2%201981%20%D1%84%D0%B8%D0%BB%D1%8C%D0%BC","искать")</f>
        <v/>
      </c>
      <c r="N1286" s="3" t="n"/>
      <c r="O1286" s="2" t="n"/>
    </row>
    <row r="1287">
      <c r="A1287" s="2" t="n">
        <v>1286</v>
      </c>
      <c r="B1287" s="2" t="inlineStr">
        <is>
          <t>не сюжет</t>
        </is>
      </c>
      <c r="C1287" s="2" t="n">
        <v>11269</v>
      </c>
      <c r="D1287" s="3" t="inlineStr">
        <is>
          <t>Назар Стодоля</t>
        </is>
      </c>
      <c r="E1287" s="2" t="n">
        <v>1989</v>
      </c>
      <c r="F1287" s="2" t="inlineStr">
        <is>
          <t>фильм-спектакль</t>
        </is>
      </c>
      <c r="G1287" s="2" t="inlineStr">
        <is>
          <t>Укртелефильм</t>
        </is>
      </c>
      <c r="H1287" s="2" t="n">
        <v>141</v>
      </c>
      <c r="I1287" s="2" t="inlineStr"/>
      <c r="J1287" s="2" t="inlineStr">
        <is>
          <t>да</t>
        </is>
      </c>
      <c r="K1287" s="3" t="inlineStr">
        <is>
          <t>По произведению Тараса Шевченко. Чистота, искренность любви Гали и Назара раскрывается в таинственно-сказочной атмосфере рождественской ночи.</t>
        </is>
      </c>
      <c r="L1287" s="2" t="inlineStr">
        <is>
          <t>https://www.kino-teatr.ru/teatr/movie/11509/annot/</t>
        </is>
      </c>
      <c r="M1287" s="2">
        <f>HYPERLINK("https://ru.wikipedia.org/w/index.php?search=%D0%9D%D0%B0%D0%B7%D0%B0%D1%80%20%D0%A1%D1%82%D0%BE%D0%B4%D0%BE%D0%BB%D1%8F%201989%20%D1%84%D0%B8%D0%BB%D1%8C%D0%BC","искать")</f>
        <v/>
      </c>
      <c r="N1287" s="3" t="n"/>
      <c r="O1287" s="2" t="n"/>
    </row>
    <row r="1288">
      <c r="A1288" s="2" t="n">
        <v>1287</v>
      </c>
      <c r="B1288" s="2" t="inlineStr">
        <is>
          <t>не сюжет</t>
        </is>
      </c>
      <c r="C1288" s="2" t="n">
        <v>11296</v>
      </c>
      <c r="D1288" s="3" t="inlineStr">
        <is>
          <t>Гадкий утёнок</t>
        </is>
      </c>
      <c r="E1288" s="2" t="n">
        <v>1990</v>
      </c>
      <c r="F1288" s="2" t="inlineStr">
        <is>
          <t>фильм-спектакль</t>
        </is>
      </c>
      <c r="G1288" s="2" t="inlineStr">
        <is>
          <t>Панорама</t>
        </is>
      </c>
      <c r="H1288" s="2" t="n">
        <v>141</v>
      </c>
      <c r="I1288" s="2" t="inlineStr"/>
      <c r="J1288" s="2" t="inlineStr">
        <is>
          <t>да</t>
        </is>
      </c>
      <c r="K1288" s="3" t="inlineStr">
        <is>
          <t>По мотивам одноименной сказки Г.Х.Андерсена в постановке Ленинградского Большого театра кукол. Постановка Т.Жукова. Балетмейстер Г.Абайдулов.</t>
        </is>
      </c>
      <c r="L1288" s="2" t="inlineStr">
        <is>
          <t>https://www.kino-teatr.ru/teatr/movie/85201/annot/</t>
        </is>
      </c>
      <c r="M1288" s="2">
        <f>HYPERLINK("https://ru.wikipedia.org/w/index.php?search=%D0%93%D0%B0%D0%B4%D0%BA%D0%B8%D0%B9%20%D1%83%D1%82%D1%91%D0%BD%D0%BE%D0%BA%201990%20%D1%84%D0%B8%D0%BB%D1%8C%D0%BC","искать")</f>
        <v/>
      </c>
      <c r="N1288" s="3" t="n"/>
      <c r="O1288" s="2" t="n"/>
    </row>
    <row r="1289">
      <c r="A1289" s="2" t="n">
        <v>1288</v>
      </c>
      <c r="B1289" s="2" t="inlineStr">
        <is>
          <t>не сюжет</t>
        </is>
      </c>
      <c r="C1289" s="2" t="n">
        <v>9113</v>
      </c>
      <c r="D1289" s="3" t="inlineStr">
        <is>
          <t>Трудная должность</t>
        </is>
      </c>
      <c r="E1289" s="2" t="n">
        <v>1968</v>
      </c>
      <c r="F1289" s="2" t="inlineStr">
        <is>
          <t>кинофильм</t>
        </is>
      </c>
      <c r="G1289" s="2" t="n"/>
      <c r="H1289" s="2" t="n">
        <v>142</v>
      </c>
      <c r="I1289" s="2" t="inlineStr"/>
      <c r="J1289" s="2" t="inlineStr">
        <is>
          <t>да</t>
        </is>
      </c>
      <c r="K1289" s="3" t="inlineStr">
        <is>
          <t>Учебный фильм, снабжённый грифом "секретно", в игровой форме рассказывает о мероприятиях, направленных на борьбу с подростковой преступностью.</t>
        </is>
      </c>
      <c r="L1289" s="2" t="inlineStr">
        <is>
          <t>Кино_СССР сводный каталог.xlsx: список фильмов (доп.)</t>
        </is>
      </c>
      <c r="M1289" s="2">
        <f>HYPERLINK("https://ru.wikipedia.org/w/index.php?search=%D0%A2%D1%80%D1%83%D0%B4%D0%BD%D0%B0%D1%8F%20%D0%B4%D0%BE%D0%BB%D0%B6%D0%BD%D0%BE%D1%81%D1%82%D1%8C%201968%20%D1%84%D0%B8%D0%BB%D1%8C%D0%BC","искать")</f>
        <v/>
      </c>
      <c r="N1289" s="3" t="n"/>
      <c r="O1289" s="2" t="n"/>
    </row>
    <row r="1290">
      <c r="A1290" s="2" t="n">
        <v>1289</v>
      </c>
      <c r="B1290" s="2" t="inlineStr">
        <is>
          <t>не сюжет</t>
        </is>
      </c>
      <c r="C1290" s="2" t="n">
        <v>9684</v>
      </c>
      <c r="D1290" s="3" t="inlineStr">
        <is>
          <t>Такси-блюз</t>
        </is>
      </c>
      <c r="E1290" s="2" t="n">
        <v>1990</v>
      </c>
      <c r="F1290" s="2" t="inlineStr">
        <is>
          <t>кинофильм</t>
        </is>
      </c>
      <c r="G1290" s="2" t="n"/>
      <c r="H1290" s="2" t="n">
        <v>142</v>
      </c>
      <c r="I1290" s="2" t="inlineStr"/>
      <c r="J1290" s="2" t="inlineStr">
        <is>
          <t>да</t>
        </is>
      </c>
      <c r="K1290" s="3" t="inlineStr">
        <is>
          <t>Мелодраматическая история о том, как жизнь соединила двоих ни в чем не схожих людей — практичного таксиста и безвольного спившегося музыканта.</t>
        </is>
      </c>
      <c r="L1290" s="2" t="inlineStr">
        <is>
          <t>Кино_СССР сводный каталог.xlsx: список фильмов (доп.)</t>
        </is>
      </c>
      <c r="M1290" s="2">
        <f>HYPERLINK("https://ru.wikipedia.org/w/index.php?search=%D0%A2%D0%B0%D0%BA%D1%81%D0%B8-%D0%B1%D0%BB%D1%8E%D0%B7%201990%20%D1%84%D0%B8%D0%BB%D1%8C%D0%BC","искать")</f>
        <v/>
      </c>
      <c r="N1290" s="3" t="n"/>
      <c r="O1290" s="2" t="n"/>
    </row>
    <row r="1291">
      <c r="A1291" s="2" t="n">
        <v>1290</v>
      </c>
      <c r="B1291" s="2" t="inlineStr">
        <is>
          <t>не сюжет</t>
        </is>
      </c>
      <c r="C1291" s="2" t="n">
        <v>10181</v>
      </c>
      <c r="D1291" s="3" t="inlineStr">
        <is>
          <t>Аглая</t>
        </is>
      </c>
      <c r="E1291" s="2" t="n">
        <v>1967</v>
      </c>
      <c r="F1291" s="2" t="inlineStr">
        <is>
          <t>фильм-спектакль</t>
        </is>
      </c>
      <c r="G1291" s="2" t="inlineStr">
        <is>
          <t>Ленинградское телевидение</t>
        </is>
      </c>
      <c r="H1291" s="2" t="n">
        <v>142</v>
      </c>
      <c r="I1291" s="2" t="inlineStr"/>
      <c r="J1291" s="2" t="inlineStr">
        <is>
          <t>да</t>
        </is>
      </c>
      <c r="K1291" s="3" t="inlineStr">
        <is>
          <t>Телеспектакль по трилогии Ю.П.Германа о враче Владимире Устименко.
Аглая - тетка Владимира.
Спектакль о ее работе подпольщицей во время войны.</t>
        </is>
      </c>
      <c r="L1291" s="2" t="inlineStr">
        <is>
          <t>https://www.kino-teatr.ru/teatr/movie/119870/annot/</t>
        </is>
      </c>
      <c r="M1291" s="2">
        <f>HYPERLINK("https://ru.wikipedia.org/w/index.php?search=%D0%90%D0%B3%D0%BB%D0%B0%D1%8F%201967%20%D1%84%D0%B8%D0%BB%D1%8C%D0%BC","искать")</f>
        <v/>
      </c>
      <c r="N1291" s="3" t="n"/>
      <c r="O1291" s="2" t="n"/>
    </row>
    <row r="1292">
      <c r="A1292" s="2" t="n">
        <v>1291</v>
      </c>
      <c r="B1292" s="2" t="inlineStr">
        <is>
          <t>не сюжет</t>
        </is>
      </c>
      <c r="C1292" s="2" t="n">
        <v>10689</v>
      </c>
      <c r="D1292" s="3" t="inlineStr">
        <is>
          <t>Заседание парткома</t>
        </is>
      </c>
      <c r="E1292" s="2" t="n">
        <v>1977</v>
      </c>
      <c r="F1292" s="2" t="inlineStr">
        <is>
          <t>фильм-спектакль</t>
        </is>
      </c>
      <c r="G1292" s="2" t="inlineStr">
        <is>
          <t>ТО “Экран”</t>
        </is>
      </c>
      <c r="H1292" s="2" t="n">
        <v>142</v>
      </c>
      <c r="I1292" s="2" t="inlineStr"/>
      <c r="J1292" s="2" t="inlineStr">
        <is>
          <t>да</t>
        </is>
      </c>
      <c r="K1292" s="3" t="inlineStr">
        <is>
          <t>По мотивам пьесы А.Гельмана "Протокол одного заседания" в постановке Московского Художественного академического театра. Постановка О.Ефремова.</t>
        </is>
      </c>
      <c r="L1292" s="2" t="inlineStr">
        <is>
          <t>https://www.kino-teatr.ru/teatr/movie/2401/annot/</t>
        </is>
      </c>
      <c r="M1292" s="2">
        <f>HYPERLINK("https://ru.wikipedia.org/w/index.php?search=%D0%97%D0%B0%D1%81%D0%B5%D0%B4%D0%B0%D0%BD%D0%B8%D0%B5%20%D0%BF%D0%B0%D1%80%D1%82%D0%BA%D0%BE%D0%BC%D0%B0%201977%20%D1%84%D0%B8%D0%BB%D1%8C%D0%BC","искать")</f>
        <v/>
      </c>
      <c r="N1292" s="3" t="n"/>
      <c r="O1292" s="2" t="n"/>
    </row>
    <row r="1293">
      <c r="A1293" s="2" t="n">
        <v>1292</v>
      </c>
      <c r="B1293" s="2" t="inlineStr">
        <is>
          <t>не сюжет</t>
        </is>
      </c>
      <c r="C1293" s="2" t="n">
        <v>10810</v>
      </c>
      <c r="D1293" s="3" t="inlineStr">
        <is>
          <t>Мёртвые души</t>
        </is>
      </c>
      <c r="E1293" s="2" t="n">
        <v>1979</v>
      </c>
      <c r="F1293" s="2" t="inlineStr">
        <is>
          <t>фильм-спектакль</t>
        </is>
      </c>
      <c r="G1293" s="2" t="n"/>
      <c r="H1293" s="2" t="n">
        <v>142</v>
      </c>
      <c r="I1293" s="2" t="inlineStr"/>
      <c r="J1293" s="2" t="inlineStr">
        <is>
          <t>да</t>
        </is>
      </c>
      <c r="K1293" s="3" t="inlineStr">
        <is>
          <t>Сатирическая комедия по одноименной поэме Н.В. Гоголя, исполненная артистами Московского Художественного академического театра им. М.Горького.</t>
        </is>
      </c>
      <c r="L1293" s="2" t="inlineStr">
        <is>
          <t>https://www.kino-teatr.ru/teatr/movie/82784/annot/</t>
        </is>
      </c>
      <c r="M1293" s="2">
        <f>HYPERLINK("https://ru.wikipedia.org/w/index.php?search=%D0%9C%D1%91%D1%80%D1%82%D0%B2%D1%8B%D0%B5%20%D0%B4%D1%83%D1%88%D0%B8%201979%20%D1%84%D0%B8%D0%BB%D1%8C%D0%BC","искать")</f>
        <v/>
      </c>
      <c r="N1293" s="3" t="n"/>
      <c r="O1293" s="2" t="n"/>
    </row>
    <row r="1294">
      <c r="A1294" s="2" t="n">
        <v>1293</v>
      </c>
      <c r="B1294" s="2" t="inlineStr">
        <is>
          <t>не сюжет</t>
        </is>
      </c>
      <c r="C1294" s="2" t="n">
        <v>7933</v>
      </c>
      <c r="D1294" s="3" t="inlineStr">
        <is>
          <t>На миг оглянуться...</t>
        </is>
      </c>
      <c r="E1294" s="2" t="n">
        <v>1984</v>
      </c>
      <c r="F1294" s="2" t="inlineStr">
        <is>
          <t>телефильм</t>
        </is>
      </c>
      <c r="G1294" s="2" t="n"/>
      <c r="H1294" s="2" t="n">
        <v>143</v>
      </c>
      <c r="I1294" s="2" t="inlineStr"/>
      <c r="J1294" s="2" t="inlineStr">
        <is>
          <t>да</t>
        </is>
      </c>
      <c r="K1294" s="3" t="inlineStr">
        <is>
          <t>Телефильм по мотивам произведений Бориса Житкова и Корнея Чуковского. Посвящен жизни и творчеству писателей Бориса Житкова и Корнея Чуковского.</t>
        </is>
      </c>
      <c r="L1294" s="2" t="inlineStr">
        <is>
          <t>Кино_СССР сводный каталог.xlsx: список телефильмов</t>
        </is>
      </c>
      <c r="M1294" s="2">
        <f>HYPERLINK("https://ru.wikipedia.org/w/index.php?search=%D0%9D%D0%B0%20%D0%BC%D0%B8%D0%B3%20%D0%BE%D0%B3%D0%BB%D1%8F%D0%BD%D1%83%D1%82%D1%8C%D1%81%D1%8F...%201984%20%D1%84%D0%B8%D0%BB%D1%8C%D0%BC","искать")</f>
        <v/>
      </c>
      <c r="N1294" s="3" t="n"/>
      <c r="O1294" s="2" t="n"/>
    </row>
    <row r="1295">
      <c r="A1295" s="2" t="n">
        <v>1294</v>
      </c>
      <c r="B1295" s="2" t="inlineStr">
        <is>
          <t>не сюжет</t>
        </is>
      </c>
      <c r="C1295" s="2" t="n">
        <v>8332</v>
      </c>
      <c r="D1295" s="3" t="inlineStr">
        <is>
          <t>Семья Зацепиных</t>
        </is>
      </c>
      <c r="E1295" s="2" t="n">
        <v>1977</v>
      </c>
      <c r="F1295" s="2" t="inlineStr">
        <is>
          <t>телефильм</t>
        </is>
      </c>
      <c r="G1295" s="2" t="n"/>
      <c r="H1295" s="2" t="n">
        <v>143</v>
      </c>
      <c r="I1295" s="2" t="inlineStr"/>
      <c r="J1295" s="2" t="inlineStr">
        <is>
          <t>да</t>
        </is>
      </c>
      <c r="K1295" s="3" t="inlineStr">
        <is>
          <t>Фильм о большой семье Зацепиных, работающей на автозаводе. О взаимоотношениях родителей и детей; о том, как сложились судьбы молодых Зацепиных.</t>
        </is>
      </c>
      <c r="L1295" s="2" t="inlineStr">
        <is>
          <t>Кино_СССР сводный каталог.xlsx: список телефильмов</t>
        </is>
      </c>
      <c r="M1295" s="2">
        <f>HYPERLINK("https://ru.wikipedia.org/w/index.php?search=%D0%A1%D0%B5%D0%BC%D1%8C%D1%8F%20%D0%97%D0%B0%D1%86%D0%B5%D0%BF%D0%B8%D0%BD%D1%8B%D1%85%201977%20%D1%84%D0%B8%D0%BB%D1%8C%D0%BC","искать")</f>
        <v/>
      </c>
      <c r="N1295" s="3" t="n"/>
      <c r="O1295" s="2" t="n"/>
    </row>
    <row r="1296">
      <c r="A1296" s="2" t="n">
        <v>1295</v>
      </c>
      <c r="B1296" s="2" t="inlineStr">
        <is>
          <t>не сюжет</t>
        </is>
      </c>
      <c r="C1296" s="2" t="n">
        <v>8672</v>
      </c>
      <c r="D1296" s="3" t="inlineStr">
        <is>
          <t>Выживший</t>
        </is>
      </c>
      <c r="E1296" s="2" t="n">
        <v>1991</v>
      </c>
      <c r="F1296" s="2" t="inlineStr">
        <is>
          <t>кинофильм</t>
        </is>
      </c>
      <c r="G1296" s="2" t="inlineStr">
        <is>
          <t>КАЗАХФИЛЬМ, Киностудия "МИРАС"</t>
        </is>
      </c>
      <c r="H1296" s="2" t="n">
        <v>143</v>
      </c>
      <c r="I1296" s="2" t="inlineStr"/>
      <c r="J1296" s="2" t="inlineStr">
        <is>
          <t>да</t>
        </is>
      </c>
      <c r="K1296" s="3" t="inlineStr">
        <is>
          <t>Современная трагедия двух пожилых людей, переживших ад войны и сталинских репрессий, но не потерявших надежду и любовь к жизни, к родной земле.</t>
        </is>
      </c>
      <c r="L1296" s="2" t="inlineStr">
        <is>
          <t>Кино_СССР сводный каталог.xlsx: список фильмов (доп.)</t>
        </is>
      </c>
      <c r="M1296" s="2">
        <f>HYPERLINK("https://ru.wikipedia.org/w/index.php?search=%D0%92%D1%8B%D0%B6%D0%B8%D0%B2%D1%88%D0%B8%D0%B9%201991%20%D1%84%D0%B8%D0%BB%D1%8C%D0%BC","искать")</f>
        <v/>
      </c>
      <c r="N1296" s="3" t="n"/>
      <c r="O1296" s="2" t="n"/>
    </row>
    <row r="1297">
      <c r="A1297" s="2" t="n">
        <v>1296</v>
      </c>
      <c r="B1297" s="2" t="inlineStr">
        <is>
          <t>не сюжет</t>
        </is>
      </c>
      <c r="C1297" s="2" t="n">
        <v>11206</v>
      </c>
      <c r="D1297" s="3" t="inlineStr">
        <is>
          <t>Кабала святош</t>
        </is>
      </c>
      <c r="E1297" s="2" t="n">
        <v>1988</v>
      </c>
      <c r="F1297" s="2" t="inlineStr">
        <is>
          <t>фильм-спектакль</t>
        </is>
      </c>
      <c r="G1297" s="2" t="inlineStr">
        <is>
          <t>Студия "Искусство"</t>
        </is>
      </c>
      <c r="H1297" s="2" t="n">
        <v>143</v>
      </c>
      <c r="I1297" s="2" t="inlineStr"/>
      <c r="J1297" s="2" t="inlineStr">
        <is>
          <t>да</t>
        </is>
      </c>
      <c r="K1297" s="3" t="inlineStr">
        <is>
          <t>Телеверсия спектакля МХАТа по пьесе Михаила Булгакова.
Спектакль о жизни и смерти Жана-Батиста Мольера, о художнике, уставшем бороться с миром.</t>
        </is>
      </c>
      <c r="L1297" s="2" t="inlineStr">
        <is>
          <t>https://www.kino-teatr.ru/teatr/movie/85196/annot/</t>
        </is>
      </c>
      <c r="M1297" s="2">
        <f>HYPERLINK("https://ru.wikipedia.org/w/index.php?search=%D0%9A%D0%B0%D0%B1%D0%B0%D0%BB%D0%B0%20%D1%81%D0%B2%D1%8F%D1%82%D0%BE%D1%88%201988%20%D1%84%D0%B8%D0%BB%D1%8C%D0%BC","искать")</f>
        <v/>
      </c>
      <c r="N1297" s="3" t="n"/>
      <c r="O1297" s="2" t="n"/>
    </row>
    <row r="1298">
      <c r="A1298" s="2" t="n">
        <v>1297</v>
      </c>
      <c r="B1298" s="2" t="inlineStr">
        <is>
          <t>не сюжет</t>
        </is>
      </c>
      <c r="C1298" s="2" t="n">
        <v>11284</v>
      </c>
      <c r="D1298" s="3" t="inlineStr">
        <is>
          <t>Тартюф</t>
        </is>
      </c>
      <c r="E1298" s="2" t="n">
        <v>1989</v>
      </c>
      <c r="F1298" s="2" t="inlineStr">
        <is>
          <t>фильм-спектакль</t>
        </is>
      </c>
      <c r="G1298" s="2" t="inlineStr">
        <is>
          <t>Гл. ред. лит-драм программ</t>
        </is>
      </c>
      <c r="H1298" s="2" t="n">
        <v>143</v>
      </c>
      <c r="I1298" s="2" t="inlineStr"/>
      <c r="J1298" s="2" t="inlineStr">
        <is>
          <t>да</t>
        </is>
      </c>
      <c r="K1298" s="3" t="inlineStr">
        <is>
          <t>Телеспектакль Анатолия Эфроса по одноименной пьесе Ж.Б. Мольера в постановке Московского Художественного академического театра им. М. Горького.</t>
        </is>
      </c>
      <c r="L1298" s="2" t="inlineStr">
        <is>
          <t>https://www.kino-teatr.ru/teatr/movie/7073/annot/</t>
        </is>
      </c>
      <c r="M1298" s="2">
        <f>HYPERLINK("https://ru.wikipedia.org/w/index.php?search=%D0%A2%D0%B0%D1%80%D1%82%D1%8E%D1%84%201989%20%D1%84%D0%B8%D0%BB%D1%8C%D0%BC","искать")</f>
        <v/>
      </c>
      <c r="N1298" s="3" t="n"/>
      <c r="O1298" s="2" t="n"/>
    </row>
    <row r="1299">
      <c r="A1299" s="2" t="n">
        <v>1298</v>
      </c>
      <c r="B1299" s="2" t="inlineStr">
        <is>
          <t>не сюжет</t>
        </is>
      </c>
      <c r="C1299" s="2" t="n">
        <v>7740</v>
      </c>
      <c r="D1299" s="3" t="inlineStr">
        <is>
          <t>Кое-что из губернской жизни</t>
        </is>
      </c>
      <c r="E1299" s="2" t="n">
        <v>1983</v>
      </c>
      <c r="F1299" s="2" t="inlineStr">
        <is>
          <t>телефильм</t>
        </is>
      </c>
      <c r="G1299" s="2" t="inlineStr">
        <is>
          <t>Творческое объединение «Экран»</t>
        </is>
      </c>
      <c r="H1299" s="2" t="n">
        <v>144</v>
      </c>
      <c r="I1299" s="2" t="inlineStr"/>
      <c r="J1299" s="2" t="inlineStr">
        <is>
          <t>да</t>
        </is>
      </c>
      <c r="K1299" s="3" t="inlineStr">
        <is>
          <t>Телевизионный фильм по мотивам водевилей и ранних рассказов А.П.Чехова "Предложение", "Свадьба", "Юбилей" и др. Место действия - губернский бал.</t>
        </is>
      </c>
      <c r="L1299" s="2" t="inlineStr">
        <is>
          <t>Кино_СССР сводный каталог.xlsx: список телефильмов</t>
        </is>
      </c>
      <c r="M1299" s="2">
        <f>HYPERLINK("https://ru.wikipedia.org/w/index.php?search=%D0%9A%D0%BE%D0%B5-%D1%87%D1%82%D0%BE%20%D0%B8%D0%B7%20%D0%B3%D1%83%D0%B1%D0%B5%D1%80%D0%BD%D1%81%D0%BA%D0%BE%D0%B9%20%D0%B6%D0%B8%D0%B7%D0%BD%D0%B8%201983%20%D1%84%D0%B8%D0%BB%D1%8C%D0%BC","искать")</f>
        <v/>
      </c>
      <c r="N1299" s="3" t="n"/>
      <c r="O1299" s="2" t="n"/>
    </row>
    <row r="1300">
      <c r="A1300" s="2" t="n">
        <v>1299</v>
      </c>
      <c r="B1300" s="2" t="inlineStr">
        <is>
          <t>не сюжет</t>
        </is>
      </c>
      <c r="C1300" s="2" t="n">
        <v>9923</v>
      </c>
      <c r="D1300" s="3" t="inlineStr">
        <is>
          <t>Флейта</t>
        </is>
      </c>
      <c r="E1300" s="2" t="n">
        <v>1976</v>
      </c>
      <c r="F1300" s="2" t="inlineStr">
        <is>
          <t>кинофильм</t>
        </is>
      </c>
      <c r="G1300" s="2" t="inlineStr">
        <is>
          <t>Грузия-фильм</t>
        </is>
      </c>
      <c r="H1300" s="2" t="n">
        <v>144</v>
      </c>
      <c r="I1300" s="2" t="inlineStr"/>
      <c r="J1300" s="2" t="inlineStr">
        <is>
          <t>да</t>
        </is>
      </c>
      <c r="K1300" s="3" t="inlineStr">
        <is>
          <t>Лирическая новелла о любви юноши-флейтиста к девушке, работающий в цехе по производству хрусталя. В фильме звучит музыка И.-С.Баха и А.Вивальди.</t>
        </is>
      </c>
      <c r="L1300" s="2" t="inlineStr">
        <is>
          <t>https://www.kino-teatr.ru/short/movie/sov/84590/annot/</t>
        </is>
      </c>
      <c r="M1300" s="2">
        <f>HYPERLINK("https://ru.wikipedia.org/w/index.php?search=%D0%A4%D0%BB%D0%B5%D0%B9%D1%82%D0%B0%201976%20%D1%84%D0%B8%D0%BB%D1%8C%D0%BC","искать")</f>
        <v/>
      </c>
      <c r="N1300" s="3" t="n"/>
      <c r="O1300" s="2" t="n"/>
    </row>
    <row r="1301">
      <c r="A1301" s="2" t="n">
        <v>1300</v>
      </c>
      <c r="B1301" s="2" t="inlineStr">
        <is>
          <t>не сюжет</t>
        </is>
      </c>
      <c r="C1301" s="2" t="n">
        <v>10412</v>
      </c>
      <c r="D1301" s="3" t="inlineStr">
        <is>
          <t>По страницам любимых опер</t>
        </is>
      </c>
      <c r="E1301" s="2" t="n">
        <v>1971</v>
      </c>
      <c r="F1301" s="2" t="inlineStr">
        <is>
          <t>фильм-спектакль</t>
        </is>
      </c>
      <c r="G1301" s="2" t="n"/>
      <c r="H1301" s="2" t="n">
        <v>144</v>
      </c>
      <c r="I1301" s="2" t="inlineStr"/>
      <c r="J1301" s="2" t="inlineStr">
        <is>
          <t>да</t>
        </is>
      </c>
      <c r="K1301" s="3" t="inlineStr">
        <is>
          <t>Арии из опер исполняют Владимир Атлантов и Мария Биешу.
Оркестр Ленинградской филармонии. Дирижер Эдуард Грикуров.
Текст читал Олег Басилашвили.</t>
        </is>
      </c>
      <c r="L1301" s="2" t="inlineStr">
        <is>
          <t>https://www.kino-teatr.ru/teatr/movie/114055/annot/</t>
        </is>
      </c>
      <c r="M1301" s="2">
        <f>HYPERLINK("https://ru.wikipedia.org/w/index.php?search=%D0%9F%D0%BE%20%D1%81%D1%82%D1%80%D0%B0%D0%BD%D0%B8%D1%86%D0%B0%D0%BC%20%D0%BB%D1%8E%D0%B1%D0%B8%D0%BC%D1%8B%D1%85%20%D0%BE%D0%BF%D0%B5%D1%80%201971%20%D1%84%D0%B8%D0%BB%D1%8C%D0%BC","искать")</f>
        <v/>
      </c>
      <c r="N1301" s="3" t="n"/>
      <c r="O1301" s="2" t="n"/>
    </row>
    <row r="1302">
      <c r="A1302" s="2" t="n">
        <v>1301</v>
      </c>
      <c r="B1302" s="2" t="inlineStr">
        <is>
          <t>не сюжет</t>
        </is>
      </c>
      <c r="C1302" s="2" t="n">
        <v>8563</v>
      </c>
      <c r="D1302" s="3" t="inlineStr">
        <is>
          <t>Чокан Валиханов</t>
        </is>
      </c>
      <c r="E1302" s="2" t="n">
        <v>1983</v>
      </c>
      <c r="F1302" s="2" t="inlineStr">
        <is>
          <t>телефильм</t>
        </is>
      </c>
      <c r="G1302" s="2" t="n"/>
      <c r="H1302" s="2" t="n">
        <v>145</v>
      </c>
      <c r="I1302" s="2" t="inlineStr"/>
      <c r="J1302" s="2" t="inlineStr">
        <is>
          <t>да</t>
        </is>
      </c>
      <c r="K1302" s="3" t="inlineStr">
        <is>
          <t>О жизни и деятельности Чокана Валиханова - первого казахского ученого-просветителя ХIХ века, историка, путешественника, этнографа и фольклориста.</t>
        </is>
      </c>
      <c r="L1302" s="2" t="inlineStr">
        <is>
          <t>Кино_СССР сводный каталог.xlsx: список телефильмов</t>
        </is>
      </c>
      <c r="M1302" s="2">
        <f>HYPERLINK("https://ru.wikipedia.org/w/index.php?search=%D0%A7%D0%BE%D0%BA%D0%B0%D0%BD%20%D0%92%D0%B0%D0%BB%D0%B8%D1%85%D0%B0%D0%BD%D0%BE%D0%B2%201983%20%D1%84%D0%B8%D0%BB%D1%8C%D0%BC","искать")</f>
        <v/>
      </c>
      <c r="N1302" s="3" t="n"/>
      <c r="O1302" s="2" t="n"/>
    </row>
    <row r="1303">
      <c r="A1303" s="2" t="n">
        <v>1302</v>
      </c>
      <c r="B1303" s="2" t="inlineStr">
        <is>
          <t>не сюжет</t>
        </is>
      </c>
      <c r="C1303" s="2" t="n">
        <v>10148</v>
      </c>
      <c r="D1303" s="3" t="inlineStr">
        <is>
          <t>Обещание счастья</t>
        </is>
      </c>
      <c r="E1303" s="2" t="n">
        <v>1965</v>
      </c>
      <c r="F1303" s="2" t="inlineStr">
        <is>
          <t>фильм-спектакль</t>
        </is>
      </c>
      <c r="G1303" s="2" t="inlineStr">
        <is>
          <t>Лентелефильм</t>
        </is>
      </c>
      <c r="H1303" s="2" t="n">
        <v>145</v>
      </c>
      <c r="I1303" s="2" t="inlineStr"/>
      <c r="J1303" s="2" t="inlineStr">
        <is>
          <t>да</t>
        </is>
      </c>
      <c r="K1303" s="3" t="inlineStr">
        <is>
          <t>По новеллам К.Г.Паустовского.
Фильм состоит из четырех новелл о несостоявшейся любви: «Старый челн», «Бриз», «Дождливый рассвет», «Белая радуга».</t>
        </is>
      </c>
      <c r="L1303" s="2" t="inlineStr">
        <is>
          <t>https://www.kino-teatr.ru/teatr/movie/4605/annot/</t>
        </is>
      </c>
      <c r="M1303" s="2">
        <f>HYPERLINK("https://ru.wikipedia.org/w/index.php?search=%D0%9E%D0%B1%D0%B5%D1%89%D0%B0%D0%BD%D0%B8%D0%B5%20%D1%81%D1%87%D0%B0%D1%81%D1%82%D1%8C%D1%8F%201965%20%D1%84%D0%B8%D0%BB%D1%8C%D0%BC","искать")</f>
        <v/>
      </c>
      <c r="N1303" s="3" t="n"/>
      <c r="O1303" s="2" t="n"/>
    </row>
    <row r="1304">
      <c r="A1304" s="2" t="n">
        <v>1303</v>
      </c>
      <c r="B1304" s="2" t="inlineStr">
        <is>
          <t>не сюжет</t>
        </is>
      </c>
      <c r="C1304" s="2" t="n">
        <v>10313</v>
      </c>
      <c r="D1304" s="3" t="inlineStr">
        <is>
          <t>Королевская ложа</t>
        </is>
      </c>
      <c r="E1304" s="2" t="n">
        <v>1969</v>
      </c>
      <c r="F1304" s="2" t="inlineStr">
        <is>
          <t>фильм-спектакль</t>
        </is>
      </c>
      <c r="G1304" s="2" t="inlineStr">
        <is>
          <t>ЦТ</t>
        </is>
      </c>
      <c r="H1304" s="2" t="n">
        <v>145</v>
      </c>
      <c r="I1304" s="2" t="inlineStr"/>
      <c r="J1304" s="2" t="inlineStr">
        <is>
          <t>да</t>
        </is>
      </c>
      <c r="K1304" s="3" t="inlineStr">
        <is>
          <t>По оперетте Т.Добжанского.
В исполнении артистов Ленинградского театра музкомедии.
Сатирическая сказка, разоблачающая нравы буржуазного общества.</t>
        </is>
      </c>
      <c r="L1304" s="2" t="inlineStr">
        <is>
          <t>https://www.kino-teatr.ru/teatr/movie/81417/annot/</t>
        </is>
      </c>
      <c r="M1304" s="2">
        <f>HYPERLINK("https://ru.wikipedia.org/w/index.php?search=%D0%9A%D0%BE%D1%80%D0%BE%D0%BB%D0%B5%D0%B2%D1%81%D0%BA%D0%B0%D1%8F%20%D0%BB%D0%BE%D0%B6%D0%B0%201969%20%D1%84%D0%B8%D0%BB%D1%8C%D0%BC","искать")</f>
        <v/>
      </c>
      <c r="N1304" s="3" t="n"/>
      <c r="O1304" s="2" t="n"/>
    </row>
    <row r="1305">
      <c r="A1305" s="2" t="n">
        <v>1304</v>
      </c>
      <c r="B1305" s="2" t="inlineStr">
        <is>
          <t>не сюжет</t>
        </is>
      </c>
      <c r="C1305" s="2" t="n">
        <v>10396</v>
      </c>
      <c r="D1305" s="3" t="inlineStr">
        <is>
          <t>Каменный гость</t>
        </is>
      </c>
      <c r="E1305" s="2" t="n">
        <v>1971</v>
      </c>
      <c r="F1305" s="2" t="inlineStr">
        <is>
          <t>фильм-спектакль</t>
        </is>
      </c>
      <c r="G1305" s="2" t="inlineStr">
        <is>
          <t>Творческое объединение "Экран"</t>
        </is>
      </c>
      <c r="H1305" s="2" t="n">
        <v>145</v>
      </c>
      <c r="I1305" s="2" t="inlineStr"/>
      <c r="J1305" s="2" t="inlineStr">
        <is>
          <t>да</t>
        </is>
      </c>
      <c r="K1305" s="3" t="inlineStr">
        <is>
          <t>Телеспектакль по пьесе А.С. Пушкина "Каменный гость" в постановке Ленинградского государственного академического театра драмы имени А.С. Пушкина.</t>
        </is>
      </c>
      <c r="L1305" s="2" t="inlineStr">
        <is>
          <t>https://www.kino-teatr.ru/teatr/movie/111096/annot/</t>
        </is>
      </c>
      <c r="M1305" s="2">
        <f>HYPERLINK("https://ru.wikipedia.org/w/index.php?search=%D0%9A%D0%B0%D0%BC%D0%B5%D0%BD%D0%BD%D1%8B%D0%B9%20%D0%B3%D0%BE%D1%81%D1%82%D1%8C%201971%20%D1%84%D0%B8%D0%BB%D1%8C%D0%BC","искать")</f>
        <v/>
      </c>
      <c r="N1305" s="3" t="n"/>
      <c r="O1305" s="2" t="n"/>
    </row>
    <row r="1306">
      <c r="A1306" s="2" t="n">
        <v>1305</v>
      </c>
      <c r="B1306" s="2" t="inlineStr">
        <is>
          <t>не сюжет</t>
        </is>
      </c>
      <c r="C1306" s="2" t="n">
        <v>10733</v>
      </c>
      <c r="D1306" s="3" t="inlineStr">
        <is>
          <t>Власть тьмы</t>
        </is>
      </c>
      <c r="E1306" s="2" t="n">
        <v>1978</v>
      </c>
      <c r="F1306" s="2" t="inlineStr">
        <is>
          <t>фильм-спектакль</t>
        </is>
      </c>
      <c r="G1306" s="2" t="n"/>
      <c r="H1306" s="2" t="n">
        <v>145</v>
      </c>
      <c r="I1306" s="2" t="inlineStr"/>
      <c r="J1306" s="2" t="inlineStr">
        <is>
          <t>да</t>
        </is>
      </c>
      <c r="K1306" s="3" t="inlineStr">
        <is>
          <t>По драме Л.Н.Толстого "Власть тьмы, или Коготок увяз, всей птичке пропасть" в постановке Государственного академического Малого театра Союза ССР.</t>
        </is>
      </c>
      <c r="L1306" s="2" t="inlineStr">
        <is>
          <t>https://www.kino-teatr.ru/teatr/movie/81711/annot/</t>
        </is>
      </c>
      <c r="M1306" s="2">
        <f>HYPERLINK("https://ru.wikipedia.org/w/index.php?search=%D0%92%D0%BB%D0%B0%D1%81%D1%82%D1%8C%20%D1%82%D1%8C%D0%BC%D1%8B%201978%20%D1%84%D0%B8%D0%BB%D1%8C%D0%BC","искать")</f>
        <v/>
      </c>
      <c r="N1306" s="3" t="n"/>
      <c r="O1306" s="2" t="n"/>
    </row>
    <row r="1307">
      <c r="A1307" s="2" t="n">
        <v>1306</v>
      </c>
      <c r="B1307" s="2" t="inlineStr">
        <is>
          <t>не сюжет</t>
        </is>
      </c>
      <c r="C1307" s="2" t="n">
        <v>11279</v>
      </c>
      <c r="D1307" s="3" t="inlineStr">
        <is>
          <t>Свет вечерний</t>
        </is>
      </c>
      <c r="E1307" s="2" t="n">
        <v>1989</v>
      </c>
      <c r="F1307" s="2" t="inlineStr">
        <is>
          <t>фильм-спектакль</t>
        </is>
      </c>
      <c r="G1307" s="2" t="inlineStr">
        <is>
          <t>Главная редакция литературно-драматических программ ЦТ</t>
        </is>
      </c>
      <c r="H1307" s="2" t="n">
        <v>145</v>
      </c>
      <c r="I1307" s="2" t="inlineStr"/>
      <c r="J1307" s="2" t="inlineStr">
        <is>
          <t>да</t>
        </is>
      </c>
      <c r="K1307" s="3" t="inlineStr">
        <is>
          <t>По одноименному рассказу Григорий Бакланова, поднимающему проблемы чести, совести и ответственности человека за то, что происходит в нашей жизни.</t>
        </is>
      </c>
      <c r="L1307" s="2" t="inlineStr">
        <is>
          <t>https://www.kino-teatr.ru/teatr/movie/104162/annot/</t>
        </is>
      </c>
      <c r="M1307" s="2">
        <f>HYPERLINK("https://ru.wikipedia.org/w/index.php?search=%D0%A1%D0%B2%D0%B5%D1%82%20%D0%B2%D0%B5%D1%87%D0%B5%D1%80%D0%BD%D0%B8%D0%B9%201989%20%D1%84%D0%B8%D0%BB%D1%8C%D0%BC","искать")</f>
        <v/>
      </c>
      <c r="N1307" s="3" t="n"/>
      <c r="O1307" s="2" t="n"/>
    </row>
    <row r="1308">
      <c r="A1308" s="2" t="n">
        <v>1307</v>
      </c>
      <c r="B1308" s="2" t="inlineStr">
        <is>
          <t>не сюжет</t>
        </is>
      </c>
      <c r="C1308" s="2" t="n">
        <v>10287</v>
      </c>
      <c r="D1308" s="3" t="inlineStr">
        <is>
          <t>Аркадий Бухов</t>
        </is>
      </c>
      <c r="E1308" s="2" t="n">
        <v>1969</v>
      </c>
      <c r="F1308" s="2" t="inlineStr">
        <is>
          <t>фильм-спектакль</t>
        </is>
      </c>
      <c r="G1308" s="2" t="n"/>
      <c r="H1308" s="2" t="n">
        <v>146</v>
      </c>
      <c r="I1308" s="2" t="inlineStr"/>
      <c r="J1308" s="2" t="inlineStr">
        <is>
          <t>да</t>
        </is>
      </c>
      <c r="K1308" s="3" t="inlineStr">
        <is>
          <t>Из рубрики "Энциклопедия смеха".
Ведущий Леонид Ленч.
Инсценировка двух рассказов Аркадия Бухова (1889-1937) - "Эпоха и стиль" и "Страшная месть".</t>
        </is>
      </c>
      <c r="L1308" s="2" t="inlineStr">
        <is>
          <t>https://www.kino-teatr.ru/teatr/movie/140637/annot/</t>
        </is>
      </c>
      <c r="M1308" s="2">
        <f>HYPERLINK("https://ru.wikipedia.org/w/index.php?search=%D0%90%D1%80%D0%BA%D0%B0%D0%B4%D0%B8%D0%B9%20%D0%91%D1%83%D1%85%D0%BE%D0%B2%201969%20%D1%84%D0%B8%D0%BB%D1%8C%D0%BC","искать")</f>
        <v/>
      </c>
      <c r="N1308" s="3" t="n"/>
      <c r="O1308" s="2" t="n"/>
    </row>
    <row r="1309">
      <c r="A1309" s="2" t="n">
        <v>1308</v>
      </c>
      <c r="B1309" s="2" t="inlineStr">
        <is>
          <t>не сюжет</t>
        </is>
      </c>
      <c r="C1309" s="2" t="n">
        <v>10700</v>
      </c>
      <c r="D1309" s="3" t="inlineStr">
        <is>
          <t>Мистер-Твистер</t>
        </is>
      </c>
      <c r="E1309" s="2" t="n">
        <v>1977</v>
      </c>
      <c r="F1309" s="2" t="inlineStr">
        <is>
          <t>фильм-спектакль</t>
        </is>
      </c>
      <c r="G1309" s="2" t="inlineStr">
        <is>
          <t>Экран</t>
        </is>
      </c>
      <c r="H1309" s="2" t="n">
        <v>146</v>
      </c>
      <c r="I1309" s="2" t="inlineStr"/>
      <c r="J1309" s="2" t="inlineStr">
        <is>
          <t>да</t>
        </is>
      </c>
      <c r="K1309" s="3" t="inlineStr">
        <is>
          <t>По одноименной повести в стихах С. Маршака в постановке Государственного академического центрального театра кукол под руководством С.В. Образцова.</t>
        </is>
      </c>
      <c r="L1309" s="2" t="inlineStr">
        <is>
          <t>https://www.kino-teatr.ru/teatr/movie/87298/annot/</t>
        </is>
      </c>
      <c r="M1309" s="2">
        <f>HYPERLINK("https://ru.wikipedia.org/w/index.php?search=%D0%9C%D0%B8%D1%81%D1%82%D0%B5%D1%80-%D0%A2%D0%B2%D0%B8%D1%81%D1%82%D0%B5%D1%80%201977%20%D1%84%D0%B8%D0%BB%D1%8C%D0%BC","искать")</f>
        <v/>
      </c>
      <c r="N1309" s="3" t="n"/>
      <c r="O1309" s="2" t="n"/>
    </row>
    <row r="1310">
      <c r="A1310" s="2" t="n">
        <v>1309</v>
      </c>
      <c r="B1310" s="2" t="inlineStr">
        <is>
          <t>не сюжет</t>
        </is>
      </c>
      <c r="C1310" s="2" t="n">
        <v>11314</v>
      </c>
      <c r="D1310" s="3" t="inlineStr">
        <is>
          <t>Повести Белкина. Гробовщик</t>
        </is>
      </c>
      <c r="E1310" s="2" t="n">
        <v>1990</v>
      </c>
      <c r="F1310" s="2" t="inlineStr">
        <is>
          <t>фильм-спектакль</t>
        </is>
      </c>
      <c r="G1310" s="2" t="inlineStr">
        <is>
          <t>Главная редакция литературно-драматических программ ЦТ</t>
        </is>
      </c>
      <c r="H1310" s="2" t="n">
        <v>146</v>
      </c>
      <c r="I1310" s="2" t="inlineStr"/>
      <c r="J1310" s="2" t="inlineStr">
        <is>
          <t>да</t>
        </is>
      </c>
      <c r="K1310" s="3" t="inlineStr">
        <is>
          <t>Телеспектакль по фрагменту из «Повести Белкина» А.С.Пушкина.
Актеры студии Петра Фоменко разыгрывают пантомимическое действо под пушкинский текст.</t>
        </is>
      </c>
      <c r="L1310" s="2" t="inlineStr">
        <is>
          <t>https://www.kino-teatr.ru/teatr/movie/1531/annot/</t>
        </is>
      </c>
      <c r="M1310" s="2">
        <f>HYPERLINK("https://ru.wikipedia.org/w/index.php?search=%D0%9F%D0%BE%D0%B2%D0%B5%D1%81%D1%82%D0%B8%20%D0%91%D0%B5%D0%BB%D0%BA%D0%B8%D0%BD%D0%B0.%20%D0%93%D1%80%D0%BE%D0%B1%D0%BE%D0%B2%D1%89%D0%B8%D0%BA%201990%20%D1%84%D0%B8%D0%BB%D1%8C%D0%BC","искать")</f>
        <v/>
      </c>
      <c r="N1310" s="3" t="n"/>
      <c r="O1310" s="2" t="n"/>
    </row>
    <row r="1311">
      <c r="A1311" s="2" t="n">
        <v>1310</v>
      </c>
      <c r="B1311" s="2" t="inlineStr">
        <is>
          <t>не сюжет</t>
        </is>
      </c>
      <c r="C1311" s="2" t="n">
        <v>7835</v>
      </c>
      <c r="D1311" s="3" t="inlineStr">
        <is>
          <t>Люди остаются людьми</t>
        </is>
      </c>
      <c r="E1311" s="2" t="n">
        <v>1965</v>
      </c>
      <c r="F1311" s="2" t="inlineStr">
        <is>
          <t>телефильм</t>
        </is>
      </c>
      <c r="G1311" s="2" t="n"/>
      <c r="H1311" s="2" t="n">
        <v>147</v>
      </c>
      <c r="I1311" s="2" t="inlineStr"/>
      <c r="J1311" s="2" t="inlineStr">
        <is>
          <t>да</t>
        </is>
      </c>
      <c r="K1311" s="3" t="inlineStr">
        <is>
          <t>Телевизионный фильм по одноименному роману Юрия Пиляра. Фильм положили "на полку" - на телеэкран он не вышел и с тех пор не издавался на носителях.</t>
        </is>
      </c>
      <c r="L1311" s="2" t="inlineStr">
        <is>
          <t>Кино_СССР сводный каталог.xlsx: список телефильмов</t>
        </is>
      </c>
      <c r="M1311" s="2">
        <f>HYPERLINK("https://ru.wikipedia.org/w/index.php?search=%D0%9B%D1%8E%D0%B4%D0%B8%20%D0%BE%D1%81%D1%82%D0%B0%D1%8E%D1%82%D1%81%D1%8F%20%D0%BB%D1%8E%D0%B4%D1%8C%D0%BC%D0%B8%201965%20%D1%84%D0%B8%D0%BB%D1%8C%D0%BC","искать")</f>
        <v/>
      </c>
      <c r="N1311" s="3" t="n"/>
      <c r="O1311" s="2" t="n"/>
    </row>
    <row r="1312">
      <c r="A1312" s="2" t="n">
        <v>1311</v>
      </c>
      <c r="B1312" s="2" t="inlineStr">
        <is>
          <t>не сюжет</t>
        </is>
      </c>
      <c r="C1312" s="2" t="n">
        <v>8939</v>
      </c>
      <c r="D1312" s="3" t="inlineStr">
        <is>
          <t>Повесть об агрономе</t>
        </is>
      </c>
      <c r="E1312" s="2" t="n">
        <v>1955</v>
      </c>
      <c r="F1312" s="2" t="inlineStr">
        <is>
          <t>кинофильм</t>
        </is>
      </c>
      <c r="G1312" s="2" t="n"/>
      <c r="H1312" s="2" t="n">
        <v>147</v>
      </c>
      <c r="I1312" s="2" t="inlineStr"/>
      <c r="J1312" s="2" t="inlineStr">
        <is>
          <t>да</t>
        </is>
      </c>
      <c r="K1312" s="3" t="inlineStr">
        <is>
          <t>По повести Галины Николаевой. Фильм на экраны не вышел, все материалы были уничтожены. В 1959 году по этой повести был снят фильм "В степной тиши".</t>
        </is>
      </c>
      <c r="L1312" s="2" t="inlineStr">
        <is>
          <t>Кино_СССР сводный каталог.xlsx: список фильмов (доп.)</t>
        </is>
      </c>
      <c r="M1312" s="2">
        <f>HYPERLINK("https://ru.wikipedia.org/w/index.php?search=%D0%9F%D0%BE%D0%B2%D0%B5%D1%81%D1%82%D1%8C%20%D0%BE%D0%B1%20%D0%B0%D0%B3%D1%80%D0%BE%D0%BD%D0%BE%D0%BC%D0%B5%201955%20%D1%84%D0%B8%D0%BB%D1%8C%D0%BC","искать")</f>
        <v/>
      </c>
      <c r="N1312" s="3" t="n"/>
      <c r="O1312" s="2" t="n"/>
    </row>
    <row r="1313">
      <c r="A1313" s="2" t="n">
        <v>1312</v>
      </c>
      <c r="B1313" s="2" t="inlineStr">
        <is>
          <t>не сюжет</t>
        </is>
      </c>
      <c r="C1313" s="2" t="n">
        <v>10583</v>
      </c>
      <c r="D1313" s="3" t="inlineStr">
        <is>
          <t>Приключение не удалось</t>
        </is>
      </c>
      <c r="E1313" s="2" t="n">
        <v>1974</v>
      </c>
      <c r="F1313" s="2" t="inlineStr">
        <is>
          <t>фильм-спектакль</t>
        </is>
      </c>
      <c r="G1313" s="2" t="inlineStr">
        <is>
          <t>Главная редакция программ для детей и юношества ЦТ</t>
        </is>
      </c>
      <c r="H1313" s="2" t="n">
        <v>147</v>
      </c>
      <c r="I1313" s="2" t="inlineStr"/>
      <c r="J1313" s="2" t="inlineStr">
        <is>
          <t>да</t>
        </is>
      </c>
      <c r="K1313" s="3" t="inlineStr">
        <is>
          <t>О жизни шестиклассников небольшого городка, об их взаимоотношениях друг с другом, о чувстве товарищества, умении прийти на помощь в трудную минуту.</t>
        </is>
      </c>
      <c r="L1313" s="2" t="inlineStr">
        <is>
          <t>https://www.kino-teatr.ru/teatr/movie/79295/annot/</t>
        </is>
      </c>
      <c r="M1313" s="2">
        <f>HYPERLINK("https://ru.wikipedia.org/w/index.php?search=%D0%9F%D1%80%D0%B8%D0%BA%D0%BB%D1%8E%D1%87%D0%B5%D0%BD%D0%B8%D0%B5%20%D0%BD%D0%B5%20%D1%83%D0%B4%D0%B0%D0%BB%D0%BE%D1%81%D1%8C%201974%20%D1%84%D0%B8%D0%BB%D1%8C%D0%BC","искать")</f>
        <v/>
      </c>
      <c r="N1313" s="3" t="n"/>
      <c r="O1313" s="2" t="n"/>
    </row>
    <row r="1314">
      <c r="A1314" s="2" t="n">
        <v>1313</v>
      </c>
      <c r="B1314" s="2" t="inlineStr">
        <is>
          <t>не сюжет</t>
        </is>
      </c>
      <c r="C1314" s="2" t="n">
        <v>10929</v>
      </c>
      <c r="D1314" s="3" t="inlineStr">
        <is>
          <t>Алексей Кольцов. Возвыситься до вашей дружбы...</t>
        </is>
      </c>
      <c r="E1314" s="2" t="n">
        <v>1982</v>
      </c>
      <c r="F1314" s="2" t="inlineStr">
        <is>
          <t>фильм-спектакль</t>
        </is>
      </c>
      <c r="G1314" s="2" t="inlineStr">
        <is>
          <t>Главная редакция научно-популярных и учебных программ ЦТ</t>
        </is>
      </c>
      <c r="H1314" s="2" t="n">
        <v>147</v>
      </c>
      <c r="I1314" s="2" t="inlineStr"/>
      <c r="J1314" s="2" t="inlineStr">
        <is>
          <t>да</t>
        </is>
      </c>
      <c r="K1314" s="3" t="inlineStr">
        <is>
          <t>Телепередача о жизни и творчестве поэта Алексея Кольцова критик Виссарион Григорьевич Белинский. Песни на стихи А.Кольцова исполняет Николай Тюрин.</t>
        </is>
      </c>
      <c r="L1314" s="2" t="inlineStr">
        <is>
          <t>https://www.kino-teatr.ru/teatr/movie/101974/annot/</t>
        </is>
      </c>
      <c r="M1314" s="2">
        <f>HYPERLINK("https://ru.wikipedia.org/w/index.php?search=%D0%90%D0%BB%D0%B5%D0%BA%D1%81%D0%B5%D0%B9%20%D0%9A%D0%BE%D0%BB%D1%8C%D1%86%D0%BE%D0%B2.%20%D0%92%D0%BE%D0%B7%D0%B2%D1%8B%D1%81%D0%B8%D1%82%D1%8C%D1%81%D1%8F%20%D0%B4%D0%BE%20%D0%B2%D0%B0%D1%88%D0%B5%D0%B9%20%D0%B4%D1%80%D1%83%D0%B6%D0%B1%D1%8B...%201982%20%D1%84%D0%B8%D0%BB%D1%8C%D0%BC","искать")</f>
        <v/>
      </c>
      <c r="N1314" s="3" t="n"/>
      <c r="O1314" s="2" t="n"/>
    </row>
    <row r="1315">
      <c r="A1315" s="2" t="n">
        <v>1314</v>
      </c>
      <c r="B1315" s="2" t="inlineStr">
        <is>
          <t>не сюжет</t>
        </is>
      </c>
      <c r="C1315" s="2" t="n">
        <v>11059</v>
      </c>
      <c r="D1315" s="3" t="inlineStr">
        <is>
          <t>Золушка</t>
        </is>
      </c>
      <c r="E1315" s="2" t="n">
        <v>1985</v>
      </c>
      <c r="F1315" s="2" t="inlineStr">
        <is>
          <t>фильм-спектакль</t>
        </is>
      </c>
      <c r="G1315" s="2" t="inlineStr">
        <is>
          <t>Лентелефильм</t>
        </is>
      </c>
      <c r="H1315" s="2" t="n">
        <v>147</v>
      </c>
      <c r="I1315" s="2" t="inlineStr"/>
      <c r="J1315" s="2" t="inlineStr">
        <is>
          <t>да</t>
        </is>
      </c>
      <c r="K1315" s="3" t="inlineStr">
        <is>
          <t>Телеверсия балета на музыку Сергея Прокофьева в постановке Ленинградского государственного академического театра оперы и балета имени С. М. Кирова.</t>
        </is>
      </c>
      <c r="L1315" s="2" t="inlineStr">
        <is>
          <t>https://www.kino-teatr.ru/teatr/movie/82058/annot/</t>
        </is>
      </c>
      <c r="M1315" s="2">
        <f>HYPERLINK("https://ru.wikipedia.org/w/index.php?search=%D0%97%D0%BE%D0%BB%D1%83%D1%88%D0%BA%D0%B0%201985%20%D1%84%D0%B8%D0%BB%D1%8C%D0%BC","искать")</f>
        <v/>
      </c>
      <c r="N1315" s="3" t="n"/>
      <c r="O1315" s="2" t="n"/>
    </row>
    <row r="1316">
      <c r="A1316" s="2" t="n">
        <v>1315</v>
      </c>
      <c r="B1316" s="2" t="inlineStr">
        <is>
          <t>не сюжет</t>
        </is>
      </c>
      <c r="C1316" s="2" t="n">
        <v>11189</v>
      </c>
      <c r="D1316" s="3" t="inlineStr">
        <is>
          <t>Брошь</t>
        </is>
      </c>
      <c r="E1316" s="2" t="n">
        <v>1988</v>
      </c>
      <c r="F1316" s="2" t="inlineStr">
        <is>
          <t>фильм-спектакль</t>
        </is>
      </c>
      <c r="G1316" s="2" t="inlineStr">
        <is>
          <t>Редакция литературно-драматических программ ЦТ</t>
        </is>
      </c>
      <c r="H1316" s="2" t="n">
        <v>147</v>
      </c>
      <c r="I1316" s="2" t="inlineStr"/>
      <c r="J1316" s="2" t="inlineStr">
        <is>
          <t>да</t>
        </is>
      </c>
      <c r="K1316" s="3" t="inlineStr">
        <is>
          <t>Артисты московских театров читают новеллу американского писателя Уильяма Фолкнера "Брошь". Использованы фрагменты книги Бориса Грибанова "Фолкнер".</t>
        </is>
      </c>
      <c r="L1316" s="2" t="inlineStr">
        <is>
          <t>https://www.kino-teatr.ru/teatr/movie/89196/annot/</t>
        </is>
      </c>
      <c r="M1316" s="2">
        <f>HYPERLINK("https://ru.wikipedia.org/w/index.php?search=%D0%91%D1%80%D0%BE%D1%88%D1%8C%201988%20%D1%84%D0%B8%D0%BB%D1%8C%D0%BC","искать")</f>
        <v/>
      </c>
      <c r="N1316" s="3" t="n"/>
      <c r="O1316" s="2" t="n"/>
    </row>
    <row r="1317">
      <c r="A1317" s="2" t="n">
        <v>1316</v>
      </c>
      <c r="B1317" s="2" t="inlineStr">
        <is>
          <t>не сюжет</t>
        </is>
      </c>
      <c r="C1317" s="2" t="n">
        <v>7247</v>
      </c>
      <c r="D1317" s="3" t="inlineStr">
        <is>
          <t>Белый шаман</t>
        </is>
      </c>
      <c r="E1317" s="2" t="n">
        <v>1982</v>
      </c>
      <c r="F1317" s="2" t="inlineStr">
        <is>
          <t>телефильм</t>
        </is>
      </c>
      <c r="G1317" s="2" t="n"/>
      <c r="H1317" s="2" t="n">
        <v>148</v>
      </c>
      <c r="I1317" s="2" t="inlineStr"/>
      <c r="J1317" s="2" t="inlineStr">
        <is>
          <t>да</t>
        </is>
      </c>
      <c r="K1317" s="3" t="inlineStr">
        <is>
          <t>Сериал по одноименному роману Н.Шундика(1979). Действие происходит в 1930—1940 годы. Герой фильма — охотник, пеpвый председатель чукотского колхоза.</t>
        </is>
      </c>
      <c r="L1317" s="2" t="inlineStr">
        <is>
          <t>Кино_СССР сводный каталог.xlsx: список телефильмов</t>
        </is>
      </c>
      <c r="M1317" s="2">
        <f>HYPERLINK("https://ru.wikipedia.org/w/index.php?search=%D0%91%D0%B5%D0%BB%D1%8B%D0%B9%20%D1%88%D0%B0%D0%BC%D0%B0%D0%BD%201982%20%D1%84%D0%B8%D0%BB%D1%8C%D0%BC","искать")</f>
        <v/>
      </c>
      <c r="N1317" s="3" t="n"/>
      <c r="O1317" s="2" t="n"/>
    </row>
    <row r="1318">
      <c r="A1318" s="2" t="n">
        <v>1317</v>
      </c>
      <c r="B1318" s="2" t="inlineStr">
        <is>
          <t>не сюжет</t>
        </is>
      </c>
      <c r="C1318" s="2" t="n">
        <v>7395</v>
      </c>
      <c r="D1318" s="3" t="inlineStr">
        <is>
          <t>Всадник, которого ждут</t>
        </is>
      </c>
      <c r="E1318" s="2" t="n">
        <v>1984</v>
      </c>
      <c r="F1318" s="2" t="inlineStr">
        <is>
          <t>телефильм</t>
        </is>
      </c>
      <c r="G1318" s="2" t="n"/>
      <c r="H1318" s="2" t="n">
        <v>148</v>
      </c>
      <c r="I1318" s="2" t="inlineStr"/>
      <c r="J1318" s="2" t="inlineStr">
        <is>
          <t>да</t>
        </is>
      </c>
      <c r="K1318" s="3" t="inlineStr">
        <is>
          <t>Հեծյալը, որին սպասում էին Телефильм. Приключенческо-романтическая история о “честном разбойнике”, заступнике бедных. Действие происходит в XIX веке.</t>
        </is>
      </c>
      <c r="L1318" s="2" t="inlineStr">
        <is>
          <t>Кино_СССР сводный каталог.xlsx: список телефильмов</t>
        </is>
      </c>
      <c r="M1318" s="2">
        <f>HYPERLINK("https://ru.wikipedia.org/w/index.php?search=%D0%92%D1%81%D0%B0%D0%B4%D0%BD%D0%B8%D0%BA%2C%20%D0%BA%D0%BE%D1%82%D0%BE%D1%80%D0%BE%D0%B3%D0%BE%20%D0%B6%D0%B4%D1%83%D1%82%201984%20%D1%84%D0%B8%D0%BB%D1%8C%D0%BC","искать")</f>
        <v/>
      </c>
      <c r="N1318" s="3" t="n"/>
      <c r="O1318" s="2" t="n"/>
    </row>
    <row r="1319">
      <c r="A1319" s="2" t="n">
        <v>1318</v>
      </c>
      <c r="B1319" s="2" t="inlineStr">
        <is>
          <t>не сюжет</t>
        </is>
      </c>
      <c r="C1319" s="2" t="n">
        <v>7669</v>
      </c>
      <c r="D1319" s="3" t="inlineStr">
        <is>
          <t>Иван Бабушкин</t>
        </is>
      </c>
      <c r="E1319" s="2" t="n">
        <v>1985</v>
      </c>
      <c r="F1319" s="2" t="inlineStr">
        <is>
          <t>телефильм</t>
        </is>
      </c>
      <c r="G1319" s="2" t="n"/>
      <c r="H1319" s="2" t="n">
        <v>148</v>
      </c>
      <c r="I1319" s="2" t="inlineStr"/>
      <c r="J1319" s="2" t="inlineStr">
        <is>
          <t>да</t>
        </is>
      </c>
      <c r="K1319" s="3" t="inlineStr">
        <is>
          <t>Сериал по мотивам повести А. Борщаговского "Сечень". О жизни и деятельности профессионального революционера, большевика Ивана Васильевича Бабушкина.</t>
        </is>
      </c>
      <c r="L1319" s="2" t="inlineStr">
        <is>
          <t>Кино_СССР сводный каталог.xlsx: список телефильмов</t>
        </is>
      </c>
      <c r="M1319" s="2">
        <f>HYPERLINK("https://ru.wikipedia.org/w/index.php?search=%D0%98%D0%B2%D0%B0%D0%BD%20%D0%91%D0%B0%D0%B1%D1%83%D1%88%D0%BA%D0%B8%D0%BD%201985%20%D1%84%D0%B8%D0%BB%D1%8C%D0%BC","искать")</f>
        <v/>
      </c>
      <c r="N1319" s="3" t="n"/>
      <c r="O1319" s="2" t="n"/>
    </row>
    <row r="1320">
      <c r="A1320" s="2" t="n">
        <v>1319</v>
      </c>
      <c r="B1320" s="2" t="inlineStr">
        <is>
          <t>не сюжет</t>
        </is>
      </c>
      <c r="C1320" s="2" t="n">
        <v>8002</v>
      </c>
      <c r="D1320" s="3" t="inlineStr">
        <is>
          <t>Новогодние приключения Маши и Вити</t>
        </is>
      </c>
      <c r="E1320" s="2" t="n">
        <v>1975</v>
      </c>
      <c r="F1320" s="2" t="inlineStr">
        <is>
          <t>телефильм</t>
        </is>
      </c>
      <c r="G1320" s="2" t="n"/>
      <c r="H1320" s="2" t="n">
        <v>148</v>
      </c>
      <c r="I1320" s="2" t="inlineStr"/>
      <c r="J1320" s="2" t="inlineStr">
        <is>
          <t>да</t>
        </is>
      </c>
      <c r="K1320" s="3" t="inlineStr">
        <is>
          <t>Новогодний праздничный музыкальный фильм для детей по мотивам русских народных сказок с участием Бабы-Яги, Лешего, Кота Матвея и Кащея Бессмертного.</t>
        </is>
      </c>
      <c r="L1320" s="2" t="inlineStr">
        <is>
          <t>Кино_СССР сводный каталог.xlsx: список телефильмов</t>
        </is>
      </c>
      <c r="M1320" s="2">
        <f>HYPERLINK("https://ru.wikipedia.org/w/index.php?search=%D0%9D%D0%BE%D0%B2%D0%BE%D0%B3%D0%BE%D0%B4%D0%BD%D0%B8%D0%B5%20%D0%BF%D1%80%D0%B8%D0%BA%D0%BB%D1%8E%D1%87%D0%B5%D0%BD%D0%B8%D1%8F%20%D0%9C%D0%B0%D1%88%D0%B8%20%D0%B8%20%D0%92%D0%B8%D1%82%D0%B8%201975%20%D1%84%D0%B8%D0%BB%D1%8C%D0%BC","искать")</f>
        <v/>
      </c>
      <c r="N1320" s="3" t="n"/>
      <c r="O1320" s="2" t="n"/>
    </row>
    <row r="1321">
      <c r="A1321" s="2" t="n">
        <v>1320</v>
      </c>
      <c r="B1321" s="2" t="inlineStr">
        <is>
          <t>не сюжет</t>
        </is>
      </c>
      <c r="C1321" s="2" t="n">
        <v>10466</v>
      </c>
      <c r="D1321" s="3" t="inlineStr">
        <is>
          <t>Развод по-нарымски</t>
        </is>
      </c>
      <c r="E1321" s="2" t="n">
        <v>1972</v>
      </c>
      <c r="F1321" s="2" t="inlineStr">
        <is>
          <t>фильм-спектакль</t>
        </is>
      </c>
      <c r="G1321" s="2" t="inlineStr">
        <is>
          <t>ЦТ</t>
        </is>
      </c>
      <c r="H1321" s="2" t="n">
        <v>148</v>
      </c>
      <c r="I1321" s="2" t="inlineStr"/>
      <c r="J1321" s="2" t="inlineStr">
        <is>
          <t>да</t>
        </is>
      </c>
      <c r="K1321" s="3" t="inlineStr">
        <is>
          <t>По одноименному рассказу В.Липатова.
Об участковом уполномоченном Федоре Ивановиче Анискине, который охраняет порядок и законность в родном колхозе.</t>
        </is>
      </c>
      <c r="L1321" s="2" t="inlineStr">
        <is>
          <t>https://www.kino-teatr.ru/teatr/movie/15845/annot/</t>
        </is>
      </c>
      <c r="M1321" s="2">
        <f>HYPERLINK("https://ru.wikipedia.org/w/index.php?search=%D0%A0%D0%B0%D0%B7%D0%B2%D0%BE%D0%B4%20%D0%BF%D0%BE-%D0%BD%D0%B0%D1%80%D1%8B%D0%BC%D1%81%D0%BA%D0%B8%201972%20%D1%84%D0%B8%D0%BB%D1%8C%D0%BC","искать")</f>
        <v/>
      </c>
      <c r="N1321" s="3" t="n"/>
      <c r="O1321" s="2" t="n"/>
    </row>
    <row r="1322">
      <c r="A1322" s="2" t="n">
        <v>1321</v>
      </c>
      <c r="B1322" s="2" t="inlineStr">
        <is>
          <t>не сюжет</t>
        </is>
      </c>
      <c r="C1322" s="2" t="n">
        <v>7838</v>
      </c>
      <c r="D1322" s="3" t="inlineStr">
        <is>
          <t>Майский снег</t>
        </is>
      </c>
      <c r="E1322" s="2" t="n">
        <v>1989</v>
      </c>
      <c r="F1322" s="2" t="inlineStr">
        <is>
          <t>телефильм</t>
        </is>
      </c>
      <c r="G1322" s="2" t="n"/>
      <c r="H1322" s="2" t="n">
        <v>149</v>
      </c>
      <c r="I1322" s="2" t="inlineStr"/>
      <c r="J1322" s="2" t="inlineStr">
        <is>
          <t>да</t>
        </is>
      </c>
      <c r="K1322" s="3" t="inlineStr">
        <is>
          <t>Начало 1960-х. Персонажами фильма являются дети. В этом фильме выражено стремление подростков добиться своих целей, формирование личности, характера.</t>
        </is>
      </c>
      <c r="L1322" s="2" t="inlineStr">
        <is>
          <t>Кино_СССР сводный каталог.xlsx: список телефильмов</t>
        </is>
      </c>
      <c r="M1322" s="2">
        <f>HYPERLINK("https://ru.wikipedia.org/w/index.php?search=%D0%9C%D0%B0%D0%B9%D1%81%D0%BA%D0%B8%D0%B9%20%D1%81%D0%BD%D0%B5%D0%B3%201989%20%D1%84%D0%B8%D0%BB%D1%8C%D0%BC","искать")</f>
        <v/>
      </c>
      <c r="N1322" s="3" t="n"/>
      <c r="O1322" s="2" t="n"/>
    </row>
    <row r="1323">
      <c r="A1323" s="2" t="n">
        <v>1322</v>
      </c>
      <c r="B1323" s="2" t="inlineStr">
        <is>
          <t>не сюжет</t>
        </is>
      </c>
      <c r="C1323" s="2" t="n">
        <v>10256</v>
      </c>
      <c r="D1323" s="3" t="inlineStr">
        <is>
          <t>Мы - мужчины</t>
        </is>
      </c>
      <c r="E1323" s="2" t="n">
        <v>1968</v>
      </c>
      <c r="F1323" s="2" t="inlineStr">
        <is>
          <t>фильм-спектакль</t>
        </is>
      </c>
      <c r="G1323" s="2" t="inlineStr">
        <is>
          <t>Центральное ТВ</t>
        </is>
      </c>
      <c r="H1323" s="2" t="n">
        <v>149</v>
      </c>
      <c r="I1323" s="2" t="inlineStr"/>
      <c r="J1323" s="2" t="inlineStr">
        <is>
          <t>да</t>
        </is>
      </c>
      <c r="K1323" s="3" t="inlineStr">
        <is>
          <t>Фильм-спектакль по трем рассказам австралийских писателей Джона Моррисона ("А утро было прекрасно" и "Мы - мужчины") и Ф. Харди ("Мэбел из Бангари").</t>
        </is>
      </c>
      <c r="L1323" s="2" t="inlineStr">
        <is>
          <t>https://www.kino-teatr.ru/teatr/movie/92889/annot/</t>
        </is>
      </c>
      <c r="M1323" s="2">
        <f>HYPERLINK("https://ru.wikipedia.org/w/index.php?search=%D0%9C%D1%8B%20-%20%D0%BC%D1%83%D0%B6%D1%87%D0%B8%D0%BD%D1%8B%201968%20%D1%84%D0%B8%D0%BB%D1%8C%D0%BC","искать")</f>
        <v/>
      </c>
      <c r="N1323" s="3" t="n"/>
      <c r="O1323" s="2" t="n"/>
    </row>
    <row r="1324">
      <c r="A1324" s="2" t="n">
        <v>1323</v>
      </c>
      <c r="B1324" s="2" t="inlineStr">
        <is>
          <t>не сюжет</t>
        </is>
      </c>
      <c r="C1324" s="2" t="n">
        <v>9287</v>
      </c>
      <c r="D1324" s="3" t="inlineStr">
        <is>
          <t>Всё впереди</t>
        </is>
      </c>
      <c r="E1324" s="2" t="n">
        <v>1990</v>
      </c>
      <c r="F1324" s="2" t="inlineStr">
        <is>
          <t>кинофильм</t>
        </is>
      </c>
      <c r="G1324" s="2" t="n"/>
      <c r="H1324" s="2" t="n">
        <v>150</v>
      </c>
      <c r="I1324" s="2" t="inlineStr"/>
      <c r="J1324" s="2" t="inlineStr">
        <is>
          <t>да</t>
        </is>
      </c>
      <c r="K1324" s="3" t="inlineStr">
        <is>
          <t>Экранизация романа известного писателя-почвенника Василия Белова, поднимающая проблемы пагубного влияния западной цивилизации на русскую ментальность.</t>
        </is>
      </c>
      <c r="L1324" s="2" t="inlineStr">
        <is>
          <t>Кино_СССР сводный каталог.xlsx: список фильмов (доп.)</t>
        </is>
      </c>
      <c r="M1324" s="2">
        <f>HYPERLINK("https://ru.wikipedia.org/w/index.php?search=%D0%92%D1%81%D1%91%20%D0%B2%D0%BF%D0%B5%D1%80%D0%B5%D0%B4%D0%B8%201990%20%D1%84%D0%B8%D0%BB%D1%8C%D0%BC","искать")</f>
        <v/>
      </c>
      <c r="N1324" s="3" t="n"/>
      <c r="O1324" s="2" t="n"/>
    </row>
    <row r="1325">
      <c r="A1325" s="2" t="n">
        <v>1324</v>
      </c>
      <c r="B1325" s="2" t="inlineStr">
        <is>
          <t>не сюжет</t>
        </is>
      </c>
      <c r="C1325" s="2" t="n">
        <v>10173</v>
      </c>
      <c r="D1325" s="3" t="inlineStr">
        <is>
          <t>Симфония, рожденная заново</t>
        </is>
      </c>
      <c r="E1325" s="2" t="n">
        <v>1966</v>
      </c>
      <c r="F1325" s="2" t="inlineStr">
        <is>
          <t>фильм-спектакль</t>
        </is>
      </c>
      <c r="G1325" s="2" t="n"/>
      <c r="H1325" s="2" t="n">
        <v>150</v>
      </c>
      <c r="I1325" s="2" t="inlineStr"/>
      <c r="J1325" s="2" t="inlineStr">
        <is>
          <t>да</t>
        </is>
      </c>
      <c r="K1325" s="3" t="inlineStr">
        <is>
          <t>О судьбе русского композитора, прообразом которого послужил Николай Яковлевич Мясковский. Действие телеспектакля охватывает период с 1912 по 1918 г.г.</t>
        </is>
      </c>
      <c r="L1325" s="2" t="inlineStr">
        <is>
          <t>https://www.kino-teatr.ru/teatr/movie/81258/annot/</t>
        </is>
      </c>
      <c r="M1325" s="2">
        <f>HYPERLINK("https://ru.wikipedia.org/w/index.php?search=%D0%A1%D0%B8%D0%BC%D1%84%D0%BE%D0%BD%D0%B8%D1%8F%2C%20%D1%80%D0%BE%D0%B6%D0%B4%D0%B5%D0%BD%D0%BD%D0%B0%D1%8F%20%D0%B7%D0%B0%D0%BD%D0%BE%D0%B2%D0%BE%201966%20%D1%84%D0%B8%D0%BB%D1%8C%D0%BC","искать")</f>
        <v/>
      </c>
      <c r="N1325" s="3" t="n"/>
      <c r="O1325" s="2" t="n"/>
    </row>
    <row r="1326">
      <c r="A1326" s="2" t="n">
        <v>1325</v>
      </c>
      <c r="B1326" s="2" t="inlineStr">
        <is>
          <t>не сюжет</t>
        </is>
      </c>
      <c r="C1326" s="2" t="n">
        <v>10276</v>
      </c>
      <c r="D1326" s="3" t="inlineStr">
        <is>
          <t>Тёмные аллеи</t>
        </is>
      </c>
      <c r="E1326" s="2" t="n">
        <v>1968</v>
      </c>
      <c r="F1326" s="2" t="inlineStr">
        <is>
          <t>фильм-спектакль</t>
        </is>
      </c>
      <c r="G1326" s="2" t="inlineStr">
        <is>
          <t>Ленинградская студия телевидения</t>
        </is>
      </c>
      <c r="H1326" s="2" t="n">
        <v>150</v>
      </c>
      <c r="I1326" s="2" t="inlineStr"/>
      <c r="J1326" s="2" t="inlineStr">
        <is>
          <t>да</t>
        </is>
      </c>
      <c r="K1326" s="3" t="inlineStr">
        <is>
          <t>Инсценировки рассказов И. А. Бунина из сборника "Тёмные аллеи": "Темные аллеи", "Мадрид" и "В Париже". В спектакле использована музыка С. Рахманинова.</t>
        </is>
      </c>
      <c r="L1326" s="2" t="inlineStr">
        <is>
          <t>https://www.kino-teatr.ru/teatr/movie/129331/annot/</t>
        </is>
      </c>
      <c r="M1326" s="2">
        <f>HYPERLINK("https://ru.wikipedia.org/w/index.php?search=%D0%A2%D1%91%D0%BC%D0%BD%D1%8B%D0%B5%20%D0%B0%D0%BB%D0%BB%D0%B5%D0%B8%201968%20%D1%84%D0%B8%D0%BB%D1%8C%D0%BC","искать")</f>
        <v/>
      </c>
      <c r="N1326" s="3" t="n"/>
      <c r="O1326" s="2" t="n"/>
    </row>
    <row r="1327">
      <c r="A1327" s="2" t="n">
        <v>1326</v>
      </c>
      <c r="B1327" s="2" t="inlineStr">
        <is>
          <t>не сюжет</t>
        </is>
      </c>
      <c r="C1327" s="2" t="n">
        <v>10963</v>
      </c>
      <c r="D1327" s="3" t="inlineStr">
        <is>
          <t>Ретро</t>
        </is>
      </c>
      <c r="E1327" s="2" t="n">
        <v>1982</v>
      </c>
      <c r="F1327" s="2" t="inlineStr">
        <is>
          <t>фильм-спектакль</t>
        </is>
      </c>
      <c r="G1327" s="2" t="inlineStr">
        <is>
          <t>Укртелефильм, Связанные проекты, Ретро, (1984),, (1984)</t>
        </is>
      </c>
      <c r="H1327" s="2" t="n">
        <v>150</v>
      </c>
      <c r="I1327" s="2" t="inlineStr"/>
      <c r="J1327" s="2" t="inlineStr">
        <is>
          <t>да</t>
        </is>
      </c>
      <c r="K1327" s="3" t="inlineStr">
        <is>
          <t>Фильм-спектакль по пьесе Александра Галина "Ретро" (1979) с участием корифеев киевского академического украинского драматического театра им. И.Франко.</t>
        </is>
      </c>
      <c r="L1327" s="2" t="inlineStr">
        <is>
          <t>https://www.kino-teatr.ru/teatr/movie/88229/annot/</t>
        </is>
      </c>
      <c r="M1327" s="2">
        <f>HYPERLINK("https://ru.wikipedia.org/w/index.php?search=%D0%A0%D0%B5%D1%82%D1%80%D0%BE%201982%20%D1%84%D0%B8%D0%BB%D1%8C%D0%BC","искать")</f>
        <v/>
      </c>
      <c r="N1327" s="3" t="n"/>
      <c r="O1327" s="2" t="n"/>
    </row>
    <row r="1328">
      <c r="A1328" s="2" t="n">
        <v>1327</v>
      </c>
      <c r="B1328" s="2" t="inlineStr">
        <is>
          <t>не сюжет</t>
        </is>
      </c>
      <c r="C1328" s="2" t="n">
        <v>10407</v>
      </c>
      <c r="D1328" s="3" t="inlineStr">
        <is>
          <t>На всякого мудреца довольно простоты</t>
        </is>
      </c>
      <c r="E1328" s="2" t="n">
        <v>1971</v>
      </c>
      <c r="F1328" s="2" t="inlineStr">
        <is>
          <t>фильм-спектакль</t>
        </is>
      </c>
      <c r="G1328" s="2" t="inlineStr">
        <is>
          <t>ТО Экран, Подборки фильмов, экранизации Островского</t>
        </is>
      </c>
      <c r="H1328" s="2" t="n">
        <v>151</v>
      </c>
      <c r="I1328" s="2" t="inlineStr"/>
      <c r="J1328" s="2" t="inlineStr">
        <is>
          <t>да</t>
        </is>
      </c>
      <c r="K1328" s="3" t="inlineStr">
        <is>
          <t>Телеверсия спектакля Театра имени Вахтангова по одноименной комедии А.Н.Островского (запись 1971 года).
Режиссеры Александра Ремизова, Борис Ниренбург.</t>
        </is>
      </c>
      <c r="L1328" s="2" t="inlineStr">
        <is>
          <t>https://www.kino-teatr.ru/teatr/movie/4152/annot/</t>
        </is>
      </c>
      <c r="M1328" s="2">
        <f>HYPERLINK("https://ru.wikipedia.org/w/index.php?search=%D0%9D%D0%B0%20%D0%B2%D1%81%D1%8F%D0%BA%D0%BE%D0%B3%D0%BE%20%D0%BC%D1%83%D0%B4%D1%80%D0%B5%D1%86%D0%B0%20%D0%B4%D0%BE%D0%B2%D0%BE%D0%BB%D1%8C%D0%BD%D0%BE%20%D0%BF%D1%80%D0%BE%D1%81%D1%82%D0%BE%D1%82%D1%8B%201971%20%D1%84%D0%B8%D0%BB%D1%8C%D0%BC","искать")</f>
        <v/>
      </c>
      <c r="N1328" s="3" t="n"/>
      <c r="O1328" s="2" t="n"/>
    </row>
    <row r="1329">
      <c r="A1329" s="2" t="n">
        <v>1328</v>
      </c>
      <c r="B1329" s="2" t="inlineStr">
        <is>
          <t>не сюжет</t>
        </is>
      </c>
      <c r="C1329" s="2" t="n">
        <v>10511</v>
      </c>
      <c r="D1329" s="3" t="inlineStr">
        <is>
          <t>Плотницкие рассказы</t>
        </is>
      </c>
      <c r="E1329" s="2" t="n">
        <v>1973</v>
      </c>
      <c r="F1329" s="2" t="inlineStr">
        <is>
          <t>фильм-спектакль</t>
        </is>
      </c>
      <c r="G1329" s="2" t="inlineStr">
        <is>
          <t>Гл. ред. лит-драм программ Россия</t>
        </is>
      </c>
      <c r="H1329" s="2" t="n">
        <v>151</v>
      </c>
      <c r="I1329" s="2" t="inlineStr"/>
      <c r="J1329" s="2" t="inlineStr">
        <is>
          <t>да</t>
        </is>
      </c>
      <c r="K1329" s="3" t="inlineStr">
        <is>
          <t>По мотивам одноименной повести Василия Белова. В основе телеспектакля - рассказ старого колхозного плотника Смолина о своей жизни и жизни родного села.</t>
        </is>
      </c>
      <c r="L1329" s="2" t="inlineStr">
        <is>
          <t>https://www.kino-teatr.ru/teatr/movie/14270/annot/</t>
        </is>
      </c>
      <c r="M1329" s="2">
        <f>HYPERLINK("https://ru.wikipedia.org/w/index.php?search=%D0%9F%D0%BB%D0%BE%D1%82%D0%BD%D0%B8%D1%86%D0%BA%D0%B8%D0%B5%20%D1%80%D0%B0%D1%81%D1%81%D0%BA%D0%B0%D0%B7%D1%8B%201973%20%D1%84%D0%B8%D0%BB%D1%8C%D0%BC","искать")</f>
        <v/>
      </c>
      <c r="N1329" s="3" t="n"/>
      <c r="O1329" s="2" t="n"/>
    </row>
    <row r="1330">
      <c r="A1330" s="2" t="n">
        <v>1329</v>
      </c>
      <c r="B1330" s="2" t="inlineStr">
        <is>
          <t>не сюжет</t>
        </is>
      </c>
      <c r="C1330" s="2" t="n">
        <v>11115</v>
      </c>
      <c r="D1330" s="3" t="inlineStr">
        <is>
          <t>Маленькая королева и другие</t>
        </is>
      </c>
      <c r="E1330" s="2" t="n">
        <v>1986</v>
      </c>
      <c r="F1330" s="2" t="inlineStr">
        <is>
          <t>фильм-спектакль</t>
        </is>
      </c>
      <c r="G1330" s="2" t="inlineStr">
        <is>
          <t>ОРТ</t>
        </is>
      </c>
      <c r="H1330" s="2" t="n">
        <v>151</v>
      </c>
      <c r="I1330" s="2" t="inlineStr"/>
      <c r="J1330" s="2" t="inlineStr">
        <is>
          <t>да</t>
        </is>
      </c>
      <c r="K1330" s="3" t="inlineStr">
        <is>
          <t>Телеспектакль по произведениям С.Я. Маршака (пьеса «Двенадцать месяцев» и стихотворения «Мистер Твистер», «Кот и лодырь», «Дама сдавала в багаж» и др.)</t>
        </is>
      </c>
      <c r="L1330" s="2" t="inlineStr">
        <is>
          <t>https://www.kino-teatr.ru/teatr/movie/3667/annot/</t>
        </is>
      </c>
      <c r="M1330" s="2">
        <f>HYPERLINK("https://ru.wikipedia.org/w/index.php?search=%D0%9C%D0%B0%D0%BB%D0%B5%D0%BD%D1%8C%D0%BA%D0%B0%D1%8F%20%D0%BA%D0%BE%D1%80%D0%BE%D0%BB%D0%B5%D0%B2%D0%B0%20%D0%B8%20%D0%B4%D1%80%D1%83%D0%B3%D0%B8%D0%B5%201986%20%D1%84%D0%B8%D0%BB%D1%8C%D0%BC","искать")</f>
        <v/>
      </c>
      <c r="N1330" s="3" t="n"/>
      <c r="O1330" s="2" t="n"/>
    </row>
    <row r="1331">
      <c r="A1331" s="2" t="n">
        <v>1330</v>
      </c>
      <c r="B1331" s="2" t="inlineStr">
        <is>
          <t>не сюжет</t>
        </is>
      </c>
      <c r="C1331" s="2" t="n">
        <v>11211</v>
      </c>
      <c r="D1331" s="3" t="inlineStr">
        <is>
          <t>Красное вино победы</t>
        </is>
      </c>
      <c r="E1331" s="2" t="n">
        <v>1988</v>
      </c>
      <c r="F1331" s="2" t="inlineStr">
        <is>
          <t>фильм-спектакль</t>
        </is>
      </c>
      <c r="G1331" s="2" t="inlineStr">
        <is>
          <t>Главная редакция литературно-драматических программ ЦТ</t>
        </is>
      </c>
      <c r="H1331" s="2" t="n">
        <v>151</v>
      </c>
      <c r="I1331" s="2" t="inlineStr"/>
      <c r="J1331" s="2" t="inlineStr">
        <is>
          <t>да</t>
        </is>
      </c>
      <c r="K1331" s="3" t="inlineStr">
        <is>
          <t>По рассказу Евгения Носова “Красное вино победы”.
Действие происходит в военном госпитале города Серпухов, в последние дни Великой Отечественной войны.</t>
        </is>
      </c>
      <c r="L1331" s="2" t="inlineStr">
        <is>
          <t>https://www.kino-teatr.ru/teatr/movie/3242/annot/</t>
        </is>
      </c>
      <c r="M1331" s="2">
        <f>HYPERLINK("https://ru.wikipedia.org/w/index.php?search=%D0%9A%D1%80%D0%B0%D1%81%D0%BD%D0%BE%D0%B5%20%D0%B2%D0%B8%D0%BD%D0%BE%20%D0%BF%D0%BE%D0%B1%D0%B5%D0%B4%D1%8B%201988%20%D1%84%D0%B8%D0%BB%D1%8C%D0%BC","искать")</f>
        <v/>
      </c>
      <c r="N1331" s="3" t="n"/>
      <c r="O1331" s="2" t="n"/>
    </row>
    <row r="1332">
      <c r="A1332" s="2" t="n">
        <v>1331</v>
      </c>
      <c r="B1332" s="2" t="inlineStr">
        <is>
          <t>не сюжет</t>
        </is>
      </c>
      <c r="C1332" s="2" t="n">
        <v>8472</v>
      </c>
      <c r="D1332" s="3" t="inlineStr">
        <is>
          <t>Третье измерение</t>
        </is>
      </c>
      <c r="E1332" s="2" t="n">
        <v>1981</v>
      </c>
      <c r="F1332" s="2" t="inlineStr">
        <is>
          <t>телефильм</t>
        </is>
      </c>
      <c r="G1332" s="2" t="n"/>
      <c r="H1332" s="2" t="n">
        <v>152</v>
      </c>
      <c r="I1332" s="2" t="inlineStr"/>
      <c r="J1332" s="2" t="inlineStr">
        <is>
          <t>да</t>
        </is>
      </c>
      <c r="K1332" s="3" t="inlineStr">
        <is>
          <t>Телесериал по мотивам одноименной повести Леонида Борича. Остросюжетная киноповесть об экипаже атомной подводной лодки Краснознаменного Северного флота.</t>
        </is>
      </c>
      <c r="L1332" s="2" t="inlineStr">
        <is>
          <t>Кино_СССР сводный каталог.xlsx: список телефильмов</t>
        </is>
      </c>
      <c r="M1332" s="2">
        <f>HYPERLINK("https://ru.wikipedia.org/w/index.php?search=%D0%A2%D1%80%D0%B5%D1%82%D1%8C%D0%B5%20%D0%B8%D0%B7%D0%BC%D0%B5%D1%80%D0%B5%D0%BD%D0%B8%D0%B5%201981%20%D1%84%D0%B8%D0%BB%D1%8C%D0%BC","искать")</f>
        <v/>
      </c>
      <c r="N1332" s="3" t="n"/>
      <c r="O1332" s="2" t="n"/>
    </row>
    <row r="1333">
      <c r="A1333" s="2" t="n">
        <v>1332</v>
      </c>
      <c r="B1333" s="2" t="inlineStr">
        <is>
          <t>не сюжет</t>
        </is>
      </c>
      <c r="C1333" s="2" t="n">
        <v>8953</v>
      </c>
      <c r="D1333" s="3" t="inlineStr">
        <is>
          <t>Половодье</t>
        </is>
      </c>
      <c r="E1333" s="2" t="n">
        <v>1936</v>
      </c>
      <c r="F1333" s="2" t="inlineStr">
        <is>
          <t>кинофильм</t>
        </is>
      </c>
      <c r="G1333" s="2" t="n"/>
      <c r="H1333" s="2" t="n">
        <v>152</v>
      </c>
      <c r="I1333" s="2" t="inlineStr"/>
      <c r="J1333" s="2" t="inlineStr">
        <is>
          <t>да</t>
        </is>
      </c>
      <c r="K1333" s="3" t="inlineStr">
        <is>
          <t>Индивидуализм ведет к вредительству, а потом и к убийству. Фильм сохранился в ГФФ в беспорядочном монтаже отдельных фрагментов и дублей в трех коробках.</t>
        </is>
      </c>
      <c r="L1333" s="2" t="inlineStr">
        <is>
          <t>Кино_СССР сводный каталог.xlsx: список фильмов (доп.)</t>
        </is>
      </c>
      <c r="M1333" s="2">
        <f>HYPERLINK("https://ru.wikipedia.org/w/index.php?search=%D0%9F%D0%BE%D0%BB%D0%BE%D0%B2%D0%BE%D0%B4%D1%8C%D0%B5%201936%20%D1%84%D0%B8%D0%BB%D1%8C%D0%BC","искать")</f>
        <v/>
      </c>
      <c r="N1333" s="3" t="n"/>
      <c r="O1333" s="2" t="n"/>
    </row>
    <row r="1334">
      <c r="A1334" s="2" t="n">
        <v>1333</v>
      </c>
      <c r="B1334" s="2" t="inlineStr">
        <is>
          <t>не сюжет</t>
        </is>
      </c>
      <c r="C1334" s="2" t="n">
        <v>10742</v>
      </c>
      <c r="D1334" s="3" t="inlineStr">
        <is>
          <t>Дядя Ваня</t>
        </is>
      </c>
      <c r="E1334" s="2" t="n">
        <v>1978</v>
      </c>
      <c r="F1334" s="2" t="inlineStr">
        <is>
          <t>фильм-спектакль</t>
        </is>
      </c>
      <c r="G1334" s="2" t="inlineStr">
        <is>
          <t>Телевидение Армении</t>
        </is>
      </c>
      <c r="H1334" s="2" t="n">
        <v>152</v>
      </c>
      <c r="I1334" s="2" t="inlineStr"/>
      <c r="J1334" s="2" t="inlineStr">
        <is>
          <t>да</t>
        </is>
      </c>
      <c r="K1334" s="3" t="inlineStr">
        <is>
          <t>Քեռի Վանյա
Действие происходит в усадьбе первой жены Серебрякова, где он вынужден жить, не имея возможности позволить себе достойную городскую квартиру.</t>
        </is>
      </c>
      <c r="L1334" s="2" t="inlineStr">
        <is>
          <t>https://www.kino-teatr.ru/teatr/movie/119723/annot/</t>
        </is>
      </c>
      <c r="M1334" s="2">
        <f>HYPERLINK("https://ru.wikipedia.org/w/index.php?search=%D0%94%D1%8F%D0%B4%D1%8F%20%D0%92%D0%B0%D0%BD%D1%8F%201978%20%D1%84%D0%B8%D0%BB%D1%8C%D0%BC","искать")</f>
        <v/>
      </c>
      <c r="N1334" s="3" t="n"/>
      <c r="O1334" s="2" t="n"/>
    </row>
    <row r="1335">
      <c r="A1335" s="2" t="n">
        <v>1334</v>
      </c>
      <c r="B1335" s="2" t="inlineStr">
        <is>
          <t>не сюжет</t>
        </is>
      </c>
      <c r="C1335" s="2" t="n">
        <v>7214</v>
      </c>
      <c r="D1335" s="3" t="inlineStr">
        <is>
          <t>Анютины глазки и барские ласки</t>
        </is>
      </c>
      <c r="E1335" s="2" t="n">
        <v>1990</v>
      </c>
      <c r="F1335" s="2" t="inlineStr">
        <is>
          <t>телефильм</t>
        </is>
      </c>
      <c r="G1335" s="2" t="n"/>
      <c r="H1335" s="2" t="n">
        <v>153</v>
      </c>
      <c r="I1335" s="2" t="inlineStr"/>
      <c r="J1335" s="2" t="inlineStr">
        <is>
          <t>да</t>
        </is>
      </c>
      <c r="K1335" s="3" t="inlineStr">
        <is>
          <t>Телефильм, водевиль, музыкальная комедия. По мотивам водевиля Д.Ленского "Барская спесь, или Анютины глазки". Балетмейстер Ольга Всеволодская-Голушкевич.</t>
        </is>
      </c>
      <c r="L1335" s="2" t="inlineStr">
        <is>
          <t>Кино_СССР сводный каталог.xlsx: список телефильмов</t>
        </is>
      </c>
      <c r="M1335" s="2">
        <f>HYPERLINK("https://ru.wikipedia.org/w/index.php?search=%D0%90%D0%BD%D1%8E%D1%82%D0%B8%D0%BD%D1%8B%20%D0%B3%D0%BB%D0%B0%D0%B7%D0%BA%D0%B8%20%D0%B8%20%D0%B1%D0%B0%D1%80%D1%81%D0%BA%D0%B8%D0%B5%20%D0%BB%D0%B0%D1%81%D0%BA%D0%B8%201990%20%D1%84%D0%B8%D0%BB%D1%8C%D0%BC","искать")</f>
        <v/>
      </c>
      <c r="N1335" s="3" t="n"/>
      <c r="O1335" s="2" t="n"/>
    </row>
    <row r="1336">
      <c r="A1336" s="2" t="n">
        <v>1335</v>
      </c>
      <c r="B1336" s="2" t="inlineStr">
        <is>
          <t>не сюжет</t>
        </is>
      </c>
      <c r="C1336" s="2" t="n">
        <v>7578</v>
      </c>
      <c r="D1336" s="3" t="inlineStr">
        <is>
          <t>Ехали в трамвае Ильф и Петров</t>
        </is>
      </c>
      <c r="E1336" s="2" t="n">
        <v>1971</v>
      </c>
      <c r="F1336" s="2" t="inlineStr">
        <is>
          <t>телефильм</t>
        </is>
      </c>
      <c r="G1336" s="2" t="n"/>
      <c r="H1336" s="2" t="n">
        <v>153</v>
      </c>
      <c r="I1336" s="2" t="inlineStr"/>
      <c r="J1336" s="2" t="inlineStr">
        <is>
          <t>да</t>
        </is>
      </c>
      <c r="K1336" s="3" t="inlineStr">
        <is>
          <t>Телефильм по фельетонам, рассказам, очеркам и записным книжкам Ильи Ильфа и Евгения Петрова. Комические эпизоды соединены с хроникальными кадрами Москвы.</t>
        </is>
      </c>
      <c r="L1336" s="2" t="inlineStr">
        <is>
          <t>Кино_СССР сводный каталог.xlsx: список телефильмов</t>
        </is>
      </c>
      <c r="M1336" s="2">
        <f>HYPERLINK("https://ru.wikipedia.org/w/index.php?search=%D0%95%D1%85%D0%B0%D0%BB%D0%B8%20%D0%B2%20%D1%82%D1%80%D0%B0%D0%BC%D0%B2%D0%B0%D0%B5%20%D0%98%D0%BB%D1%8C%D1%84%20%D0%B8%20%D0%9F%D0%B5%D1%82%D1%80%D0%BE%D0%B2%201971%20%D1%84%D0%B8%D0%BB%D1%8C%D0%BC","искать")</f>
        <v/>
      </c>
      <c r="N1336" s="3" t="n"/>
      <c r="O1336" s="2" t="n"/>
    </row>
    <row r="1337">
      <c r="A1337" s="2" t="n">
        <v>1336</v>
      </c>
      <c r="B1337" s="2" t="inlineStr">
        <is>
          <t>не сюжет</t>
        </is>
      </c>
      <c r="C1337" s="2" t="n">
        <v>7755</v>
      </c>
      <c r="D1337" s="3" t="inlineStr">
        <is>
          <t>Короли и капуста</t>
        </is>
      </c>
      <c r="E1337" s="2" t="n">
        <v>1978</v>
      </c>
      <c r="F1337" s="2" t="inlineStr">
        <is>
          <t>телефильм</t>
        </is>
      </c>
      <c r="G1337" s="2" t="n"/>
      <c r="H1337" s="2" t="n">
        <v>153</v>
      </c>
      <c r="I1337" s="2" t="inlineStr"/>
      <c r="J1337" s="2" t="inlineStr">
        <is>
          <t>да</t>
        </is>
      </c>
      <c r="K1337" s="3" t="inlineStr">
        <is>
          <t>Телефильм по мотивам одноименного романа О.Генри. Действие фильма разворачивается в условной стране "Анчурия", где каждый год выбирают нового президента.</t>
        </is>
      </c>
      <c r="L1337" s="2" t="inlineStr">
        <is>
          <t>Кино_СССР сводный каталог.xlsx: список телефильмов</t>
        </is>
      </c>
      <c r="M1337" s="2">
        <f>HYPERLINK("https://ru.wikipedia.org/w/index.php?search=%D0%9A%D0%BE%D1%80%D0%BE%D0%BB%D0%B8%20%D0%B8%20%D0%BA%D0%B0%D0%BF%D1%83%D1%81%D1%82%D0%B0%201978%20%D1%84%D0%B8%D0%BB%D1%8C%D0%BC","искать")</f>
        <v/>
      </c>
      <c r="N1337" s="3" t="n"/>
      <c r="O1337" s="2" t="n"/>
    </row>
    <row r="1338">
      <c r="A1338" s="2" t="n">
        <v>1337</v>
      </c>
      <c r="B1338" s="2" t="inlineStr">
        <is>
          <t>не сюжет</t>
        </is>
      </c>
      <c r="C1338" s="2" t="n">
        <v>8643</v>
      </c>
      <c r="D1338" s="3" t="inlineStr">
        <is>
          <t>В старой Москве</t>
        </is>
      </c>
      <c r="E1338" s="2" t="n">
        <v>1967</v>
      </c>
      <c r="F1338" s="2" t="inlineStr">
        <is>
          <t>кинофильм</t>
        </is>
      </c>
      <c r="G1338" s="2" t="n"/>
      <c r="H1338" s="2" t="n">
        <v>153</v>
      </c>
      <c r="I1338" s="2" t="inlineStr"/>
      <c r="J1338" s="2" t="inlineStr">
        <is>
          <t>да</t>
        </is>
      </c>
      <c r="K1338" s="3" t="inlineStr">
        <is>
          <t>По пьесе Веры Пановой «В старой Москве. Картины» (1940, опубликована 1957), основанной на произведениях А.М.Горького, а также выдержек из газеты "Искра".</t>
        </is>
      </c>
      <c r="L1338" s="2" t="inlineStr">
        <is>
          <t>Кино_СССР сводный каталог.xlsx: список фильмов (доп.)</t>
        </is>
      </c>
      <c r="M1338" s="2">
        <f>HYPERLINK("https://ru.wikipedia.org/w/index.php?search=%D0%92%20%D1%81%D1%82%D0%B0%D1%80%D0%BE%D0%B9%20%D0%9C%D0%BE%D1%81%D0%BA%D0%B2%D0%B5%201967%20%D1%84%D0%B8%D0%BB%D1%8C%D0%BC","искать")</f>
        <v/>
      </c>
      <c r="N1338" s="3" t="n"/>
      <c r="O1338" s="2" t="n"/>
    </row>
    <row r="1339">
      <c r="A1339" s="2" t="n">
        <v>1338</v>
      </c>
      <c r="B1339" s="2" t="inlineStr">
        <is>
          <t>не сюжет</t>
        </is>
      </c>
      <c r="C1339" s="2" t="n">
        <v>10513</v>
      </c>
      <c r="D1339" s="3" t="inlineStr">
        <is>
          <t>Пушкинские сказки</t>
        </is>
      </c>
      <c r="E1339" s="2" t="n">
        <v>1973</v>
      </c>
      <c r="F1339" s="2" t="inlineStr">
        <is>
          <t>фильм-спектакль</t>
        </is>
      </c>
      <c r="G1339" s="2" t="inlineStr">
        <is>
          <t>ТО "Экран"</t>
        </is>
      </c>
      <c r="H1339" s="2" t="n">
        <v>153</v>
      </c>
      <c r="I1339" s="2" t="inlineStr"/>
      <c r="J1339" s="2" t="inlineStr">
        <is>
          <t>да</t>
        </is>
      </c>
      <c r="K1339" s="3" t="inlineStr">
        <is>
          <t>Телеверсия сказок А.С.Пушкина "Сказка о рыбкаке и рыбке" и "Сказка о мертвой царевне и семи богатырях" в постановке актеров Центрального детского театра.</t>
        </is>
      </c>
      <c r="L1339" s="2" t="inlineStr">
        <is>
          <t>https://www.kino-teatr.ru/teatr/movie/90306/annot/</t>
        </is>
      </c>
      <c r="M1339" s="2">
        <f>HYPERLINK("https://ru.wikipedia.org/w/index.php?search=%D0%9F%D1%83%D1%88%D0%BA%D0%B8%D0%BD%D1%81%D0%BA%D0%B8%D0%B5%20%D1%81%D0%BA%D0%B0%D0%B7%D0%BA%D0%B8%201973%20%D1%84%D0%B8%D0%BB%D1%8C%D0%BC","искать")</f>
        <v/>
      </c>
      <c r="N1339" s="3" t="n"/>
      <c r="O1339" s="2" t="n"/>
    </row>
    <row r="1340">
      <c r="A1340" s="2" t="n">
        <v>1339</v>
      </c>
      <c r="B1340" s="2" t="inlineStr">
        <is>
          <t>не сюжет</t>
        </is>
      </c>
      <c r="C1340" s="2" t="n">
        <v>7739</v>
      </c>
      <c r="D1340" s="3" t="inlineStr">
        <is>
          <t>Кодры</t>
        </is>
      </c>
      <c r="E1340" s="2" t="n">
        <v>1990</v>
      </c>
      <c r="F1340" s="2" t="inlineStr">
        <is>
          <t>телефильм</t>
        </is>
      </c>
      <c r="G1340" s="2" t="n"/>
      <c r="H1340" s="2" t="n">
        <v>154</v>
      </c>
      <c r="I1340" s="2" t="inlineStr"/>
      <c r="J1340" s="2" t="inlineStr">
        <is>
          <t>да</t>
        </is>
      </c>
      <c r="K1340" s="3" t="inlineStr">
        <is>
          <t>По мотивам романов Иона Чобану "Кодры", "Мосты" и "Кукоара". Телесериал "Кодры" стал своего рода панорамой жизни молдавского села второй половины ХХ века.</t>
        </is>
      </c>
      <c r="L1340" s="2" t="inlineStr">
        <is>
          <t>Кино_СССР сводный каталог.xlsx: список телефильмов</t>
        </is>
      </c>
      <c r="M1340" s="2">
        <f>HYPERLINK("https://ru.wikipedia.org/w/index.php?search=%D0%9A%D0%BE%D0%B4%D1%80%D1%8B%201990%20%D1%84%D0%B8%D0%BB%D1%8C%D0%BC","искать")</f>
        <v/>
      </c>
      <c r="N1340" s="3" t="n"/>
      <c r="O1340" s="2" t="n"/>
    </row>
    <row r="1341">
      <c r="A1341" s="2" t="n">
        <v>1340</v>
      </c>
      <c r="B1341" s="2" t="inlineStr">
        <is>
          <t>не сюжет</t>
        </is>
      </c>
      <c r="C1341" s="2" t="n">
        <v>10046</v>
      </c>
      <c r="D1341" s="3" t="inlineStr">
        <is>
          <t>Зеркало</t>
        </is>
      </c>
      <c r="E1341" s="2" t="n">
        <v>1990</v>
      </c>
      <c r="F1341" s="2" t="inlineStr">
        <is>
          <t>кинофильм</t>
        </is>
      </c>
      <c r="G1341" s="2" t="inlineStr">
        <is>
          <t>"Дебют" (Азербайджанфильм)</t>
        </is>
      </c>
      <c r="H1341" s="2" t="n">
        <v>154</v>
      </c>
      <c r="I1341" s="2" t="inlineStr"/>
      <c r="J1341" s="2" t="inlineStr">
        <is>
          <t>да</t>
        </is>
      </c>
      <c r="K1341" s="3" t="inlineStr">
        <is>
          <t>Фильм, повествует о человеке, прибывшем в город со своими традициями, обычаями за зеркалом и в городской атмосфере теряется его статус деревенского героя.</t>
        </is>
      </c>
      <c r="L1341" s="2" t="inlineStr">
        <is>
          <t>https://www.kino-teatr.ru/short/movie/sov/85388/annot/</t>
        </is>
      </c>
      <c r="M1341" s="2">
        <f>HYPERLINK("https://ru.wikipedia.org/w/index.php?search=%D0%97%D0%B5%D1%80%D0%BA%D0%B0%D0%BB%D0%BE%201990%20%D1%84%D0%B8%D0%BB%D1%8C%D0%BC","искать")</f>
        <v/>
      </c>
      <c r="N1341" s="3" t="n"/>
      <c r="O1341" s="2" t="n"/>
    </row>
    <row r="1342">
      <c r="A1342" s="2" t="n">
        <v>1341</v>
      </c>
      <c r="B1342" s="2" t="inlineStr">
        <is>
          <t>не сюжет</t>
        </is>
      </c>
      <c r="C1342" s="2" t="n">
        <v>10340</v>
      </c>
      <c r="D1342" s="3" t="inlineStr">
        <is>
          <t>Финист - Ясный сокол</t>
        </is>
      </c>
      <c r="E1342" s="2" t="n">
        <v>1969</v>
      </c>
      <c r="F1342" s="2" t="inlineStr">
        <is>
          <t>фильм-спектакль</t>
        </is>
      </c>
      <c r="G1342" s="2" t="inlineStr">
        <is>
          <t>Главная редакция литературно-драматических программ</t>
        </is>
      </c>
      <c r="H1342" s="2" t="n">
        <v>154</v>
      </c>
      <c r="I1342" s="2" t="inlineStr"/>
      <c r="J1342" s="2" t="inlineStr">
        <is>
          <t>да</t>
        </is>
      </c>
      <c r="K1342" s="3" t="inlineStr">
        <is>
          <t>Единственная сохранившаяся постановка из передачи "Приход сказки" эта передача выходила в эфир ЦТ до передачи "В гостях у сказки" с Валентиной Леонтьевой.</t>
        </is>
      </c>
      <c r="L1342" s="2" t="inlineStr">
        <is>
          <t>https://www.kino-teatr.ru/teatr/movie/101568/annot/</t>
        </is>
      </c>
      <c r="M1342" s="2">
        <f>HYPERLINK("https://ru.wikipedia.org/w/index.php?search=%D0%A4%D0%B8%D0%BD%D0%B8%D1%81%D1%82%20-%20%D0%AF%D1%81%D0%BD%D1%8B%D0%B9%20%D1%81%D0%BE%D0%BA%D0%BE%D0%BB%201969%20%D1%84%D0%B8%D0%BB%D1%8C%D0%BC","искать")</f>
        <v/>
      </c>
      <c r="N1342" s="3" t="n"/>
      <c r="O1342" s="2" t="n"/>
    </row>
    <row r="1343">
      <c r="A1343" s="2" t="n">
        <v>1342</v>
      </c>
      <c r="B1343" s="2" t="inlineStr">
        <is>
          <t>не сюжет</t>
        </is>
      </c>
      <c r="C1343" s="2" t="n">
        <v>10935</v>
      </c>
      <c r="D1343" s="3" t="inlineStr">
        <is>
          <t>Гренада</t>
        </is>
      </c>
      <c r="E1343" s="2" t="n">
        <v>1982</v>
      </c>
      <c r="F1343" s="2" t="inlineStr">
        <is>
          <t>фильм-спектакль</t>
        </is>
      </c>
      <c r="G1343" s="2" t="inlineStr">
        <is>
          <t>Главная редакция литературно-драматических программ ЦТ</t>
        </is>
      </c>
      <c r="H1343" s="2" t="n">
        <v>154</v>
      </c>
      <c r="I1343" s="2" t="inlineStr"/>
      <c r="J1343" s="2" t="inlineStr">
        <is>
          <t>да</t>
        </is>
      </c>
      <c r="K1343" s="3" t="inlineStr">
        <is>
          <t>Драматическая легенда о поэте Михаиле Светлове по сценической композиции А. Ремеза и П. Штейна в постановке Московского театра имени Ленинского комсомола.</t>
        </is>
      </c>
      <c r="L1343" s="2" t="inlineStr">
        <is>
          <t>https://www.kino-teatr.ru/teatr/movie/80785/annot/</t>
        </is>
      </c>
      <c r="M1343" s="2">
        <f>HYPERLINK("https://ru.wikipedia.org/w/index.php?search=%D0%93%D1%80%D0%B5%D0%BD%D0%B0%D0%B4%D0%B0%201982%20%D1%84%D0%B8%D0%BB%D1%8C%D0%BC","искать")</f>
        <v/>
      </c>
      <c r="N1343" s="3" t="n"/>
      <c r="O1343" s="2" t="n"/>
    </row>
    <row r="1344">
      <c r="A1344" s="2" t="n">
        <v>1343</v>
      </c>
      <c r="B1344" s="2" t="inlineStr">
        <is>
          <t>не сюжет</t>
        </is>
      </c>
      <c r="C1344" s="2" t="n">
        <v>8366</v>
      </c>
      <c r="D1344" s="3" t="inlineStr">
        <is>
          <t>Снег</t>
        </is>
      </c>
      <c r="E1344" s="2" t="n">
        <v>1982</v>
      </c>
      <c r="F1344" s="2" t="inlineStr">
        <is>
          <t>телефильм</t>
        </is>
      </c>
      <c r="G1344" s="2" t="n"/>
      <c r="H1344" s="2" t="n">
        <v>155</v>
      </c>
      <c r="I1344" s="2" t="inlineStr"/>
      <c r="J1344" s="2" t="inlineStr">
        <is>
          <t>да</t>
        </is>
      </c>
      <c r="K1344" s="3" t="inlineStr">
        <is>
          <t>Дипломная работа Дмитрия Рождественского в Ленинградской консерватории. По мотивам рассказов К.Г.Паустовского. В основе фильма-оперы - музыка Д.А.Прицкера.</t>
        </is>
      </c>
      <c r="L1344" s="2" t="inlineStr">
        <is>
          <t>Кино_СССР сводный каталог.xlsx: список телефильмов</t>
        </is>
      </c>
      <c r="M1344" s="2">
        <f>HYPERLINK("https://ru.wikipedia.org/w/index.php?search=%D0%A1%D0%BD%D0%B5%D0%B3%201982%20%D1%84%D0%B8%D0%BB%D1%8C%D0%BC","искать")</f>
        <v/>
      </c>
      <c r="N1344" s="3" t="n"/>
      <c r="O1344" s="2" t="n"/>
    </row>
    <row r="1345">
      <c r="A1345" s="2" t="n">
        <v>1344</v>
      </c>
      <c r="B1345" s="2" t="inlineStr">
        <is>
          <t>не сюжет</t>
        </is>
      </c>
      <c r="C1345" s="2" t="n">
        <v>8528</v>
      </c>
      <c r="D1345" s="3" t="inlineStr">
        <is>
          <t>Хочу понять</t>
        </is>
      </c>
      <c r="E1345" s="2" t="n">
        <v>1980</v>
      </c>
      <c r="F1345" s="2" t="inlineStr">
        <is>
          <t>телефильм</t>
        </is>
      </c>
      <c r="G1345" s="2" t="n"/>
      <c r="H1345" s="2" t="n">
        <v>155</v>
      </c>
      <c r="I1345" s="2" t="inlineStr"/>
      <c r="J1345" s="2" t="inlineStr">
        <is>
          <t>да</t>
        </is>
      </c>
      <c r="K1345" s="3" t="inlineStr">
        <is>
          <t>Телефильм по мотивам одноименной пьесы Наби Хазри "Эхо". Герой фильма поздно, но понимает, что счастье заключается лишь в благоустроенной и беспечной жизни</t>
        </is>
      </c>
      <c r="L1345" s="2" t="inlineStr">
        <is>
          <t>Кино_СССР сводный каталог.xlsx: список телефильмов</t>
        </is>
      </c>
      <c r="M1345" s="2">
        <f>HYPERLINK("https://ru.wikipedia.org/w/index.php?search=%D0%A5%D0%BE%D1%87%D1%83%20%D0%BF%D0%BE%D0%BD%D1%8F%D1%82%D1%8C%201980%20%D1%84%D0%B8%D0%BB%D1%8C%D0%BC","искать")</f>
        <v/>
      </c>
      <c r="N1345" s="3" t="n"/>
      <c r="O1345" s="2" t="n"/>
    </row>
    <row r="1346">
      <c r="A1346" s="2" t="n">
        <v>1345</v>
      </c>
      <c r="B1346" s="2" t="inlineStr">
        <is>
          <t>не сюжет</t>
        </is>
      </c>
      <c r="C1346" s="2" t="n">
        <v>8560</v>
      </c>
      <c r="D1346" s="3" t="inlineStr">
        <is>
          <t>Четыре воскресенья</t>
        </is>
      </c>
      <c r="E1346" s="2" t="n">
        <v>1974</v>
      </c>
      <c r="F1346" s="2" t="inlineStr">
        <is>
          <t>телефильм</t>
        </is>
      </c>
      <c r="G1346" s="2" t="n"/>
      <c r="H1346" s="2" t="n">
        <v>155</v>
      </c>
      <c r="I1346" s="2" t="inlineStr"/>
      <c r="J1346" s="2" t="inlineStr">
        <is>
          <t>да</t>
        </is>
      </c>
      <c r="K1346" s="3" t="inlineStr">
        <is>
          <t>Телефильм по мотивам одноименной повести Гусейна Аббасзаде. О друзьях, встретившихся после войны, которые воевали в Белоруссии в одном партизанском отряде.</t>
        </is>
      </c>
      <c r="L1346" s="2" t="inlineStr">
        <is>
          <t>Кино_СССР сводный каталог.xlsx: список телефильмов</t>
        </is>
      </c>
      <c r="M1346" s="2">
        <f>HYPERLINK("https://ru.wikipedia.org/w/index.php?search=%D0%A7%D0%B5%D1%82%D1%8B%D1%80%D0%B5%20%D0%B2%D0%BE%D1%81%D0%BA%D1%80%D0%B5%D1%81%D0%B5%D0%BD%D1%8C%D1%8F%201974%20%D1%84%D0%B8%D0%BB%D1%8C%D0%BC","искать")</f>
        <v/>
      </c>
      <c r="N1346" s="3" t="n"/>
      <c r="O1346" s="2" t="n"/>
    </row>
    <row r="1347">
      <c r="A1347" s="2" t="n">
        <v>1346</v>
      </c>
      <c r="B1347" s="2" t="inlineStr">
        <is>
          <t>не сюжет</t>
        </is>
      </c>
      <c r="C1347" s="2" t="n">
        <v>9548</v>
      </c>
      <c r="D1347" s="3" t="inlineStr">
        <is>
          <t>Перлимплин</t>
        </is>
      </c>
      <c r="E1347" s="2" t="n">
        <v>1991</v>
      </c>
      <c r="F1347" s="2" t="inlineStr">
        <is>
          <t>кинофильм</t>
        </is>
      </c>
      <c r="G1347" s="2" t="n"/>
      <c r="H1347" s="2" t="n">
        <v>155</v>
      </c>
      <c r="I1347" s="2" t="inlineStr"/>
      <c r="J1347" s="2" t="inlineStr">
        <is>
          <t>да</t>
        </is>
      </c>
      <c r="K1347" s="3" t="inlineStr">
        <is>
          <t>Фантазии на тему личного жизненного опыта и пьесы Федерико Гарсиа Лорки "Любовь дона Перлимплина", а также старых классических фильмов и авангардного Дали.</t>
        </is>
      </c>
      <c r="L1347" s="2" t="inlineStr">
        <is>
          <t>Кино_СССР сводный каталог.xlsx: список фильмов (доп.)</t>
        </is>
      </c>
      <c r="M1347" s="2">
        <f>HYPERLINK("https://ru.wikipedia.org/w/index.php?search=%D0%9F%D0%B5%D1%80%D0%BB%D0%B8%D0%BC%D0%BF%D0%BB%D0%B8%D0%BD%201991%20%D1%84%D0%B8%D0%BB%D1%8C%D0%BC","искать")</f>
        <v/>
      </c>
      <c r="N1347" s="3" t="n"/>
      <c r="O1347" s="2" t="n"/>
    </row>
    <row r="1348">
      <c r="A1348" s="2" t="n">
        <v>1347</v>
      </c>
      <c r="B1348" s="2" t="inlineStr">
        <is>
          <t>не сюжет</t>
        </is>
      </c>
      <c r="C1348" s="2" t="n">
        <v>10231</v>
      </c>
      <c r="D1348" s="3" t="inlineStr">
        <is>
          <t>Бешеные деньги</t>
        </is>
      </c>
      <c r="E1348" s="2" t="n">
        <v>1968</v>
      </c>
      <c r="F1348" s="2" t="inlineStr">
        <is>
          <t>фильм-спектакль</t>
        </is>
      </c>
      <c r="G1348" s="2" t="inlineStr">
        <is>
          <t>Ленинградское ТВ</t>
        </is>
      </c>
      <c r="H1348" s="2" t="n">
        <v>155</v>
      </c>
      <c r="I1348" s="2" t="inlineStr"/>
      <c r="J1348" s="2" t="inlineStr">
        <is>
          <t>да</t>
        </is>
      </c>
      <c r="K1348" s="3" t="inlineStr">
        <is>
          <t>Телевизионная экранизация пьесы А. Н. Островского «Бешеные деньги», созданная самым плодовитым режиссером ленинградского телевидения Александром Белинским.</t>
        </is>
      </c>
      <c r="L1348" s="2" t="inlineStr">
        <is>
          <t>https://www.kino-teatr.ru/teatr/movie/79317/annot/</t>
        </is>
      </c>
      <c r="M1348" s="2">
        <f>HYPERLINK("https://ru.wikipedia.org/w/index.php?search=%D0%91%D0%B5%D1%88%D0%B5%D0%BD%D1%8B%D0%B5%20%D0%B4%D0%B5%D0%BD%D1%8C%D0%B3%D0%B8%201968%20%D1%84%D0%B8%D0%BB%D1%8C%D0%BC","искать")</f>
        <v/>
      </c>
      <c r="N1348" s="3" t="n"/>
      <c r="O1348" s="2" t="n"/>
    </row>
    <row r="1349">
      <c r="A1349" s="2" t="n">
        <v>1348</v>
      </c>
      <c r="B1349" s="2" t="inlineStr">
        <is>
          <t>не сюжет</t>
        </is>
      </c>
      <c r="C1349" s="2" t="n">
        <v>10324</v>
      </c>
      <c r="D1349" s="3" t="inlineStr">
        <is>
          <t>Полтава</t>
        </is>
      </c>
      <c r="E1349" s="2" t="n">
        <v>1969</v>
      </c>
      <c r="F1349" s="2" t="inlineStr">
        <is>
          <t>фильм-спектакль</t>
        </is>
      </c>
      <c r="G1349" s="2" t="inlineStr">
        <is>
          <t>Центральное телевидение</t>
        </is>
      </c>
      <c r="H1349" s="2" t="n">
        <v>155</v>
      </c>
      <c r="I1349" s="2" t="inlineStr"/>
      <c r="J1349" s="2" t="inlineStr">
        <is>
          <t>да</t>
        </is>
      </c>
      <c r="K1349" s="3" t="inlineStr">
        <is>
          <t>Литературно-музыкальный спектакль по историческим документам и опере Петра Ильича Чайковского "Мазепа".
Действие происходит на Украине в начале XVIII века.</t>
        </is>
      </c>
      <c r="L1349" s="2" t="inlineStr">
        <is>
          <t>https://www.kino-teatr.ru/teatr/movie/104927/annot/</t>
        </is>
      </c>
      <c r="M1349" s="2">
        <f>HYPERLINK("https://ru.wikipedia.org/w/index.php?search=%D0%9F%D0%BE%D0%BB%D1%82%D0%B0%D0%B2%D0%B0%201969%20%D1%84%D0%B8%D0%BB%D1%8C%D0%BC","искать")</f>
        <v/>
      </c>
      <c r="N1349" s="3" t="n"/>
      <c r="O1349" s="2" t="n"/>
    </row>
    <row r="1350">
      <c r="A1350" s="2" t="n">
        <v>1349</v>
      </c>
      <c r="B1350" s="2" t="inlineStr">
        <is>
          <t>не сюжет</t>
        </is>
      </c>
      <c r="C1350" s="2" t="n">
        <v>11126</v>
      </c>
      <c r="D1350" s="3" t="inlineStr">
        <is>
          <t>Потомству верное преданье</t>
        </is>
      </c>
      <c r="E1350" s="2" t="n">
        <v>1986</v>
      </c>
      <c r="F1350" s="2" t="inlineStr">
        <is>
          <t>фильм-спектакль</t>
        </is>
      </c>
      <c r="G1350" s="2" t="inlineStr">
        <is>
          <t>Главная редакция научно-популярных и учебных программ ЦТ</t>
        </is>
      </c>
      <c r="H1350" s="2" t="n">
        <v>155</v>
      </c>
      <c r="I1350" s="2" t="inlineStr"/>
      <c r="J1350" s="2" t="inlineStr">
        <is>
          <t>да</t>
        </is>
      </c>
      <c r="K1350" s="3" t="inlineStr">
        <is>
          <t>В основе фильма-концерта театральные легенды, анекдоты, фрагменты пьес А.Н. Островского "Лес" и А.П. Чехова "Лебединая песня" в исполнении Георгия Буркова.</t>
        </is>
      </c>
      <c r="L1350" s="2" t="inlineStr">
        <is>
          <t>https://www.kino-teatr.ru/teatr/movie/105513/annot/</t>
        </is>
      </c>
      <c r="M1350" s="2">
        <f>HYPERLINK("https://ru.wikipedia.org/w/index.php?search=%D0%9F%D0%BE%D1%82%D0%BE%D0%BC%D1%81%D1%82%D0%B2%D1%83%20%D0%B2%D0%B5%D1%80%D0%BD%D0%BE%D0%B5%20%D0%BF%D1%80%D0%B5%D0%B4%D0%B0%D0%BD%D1%8C%D0%B5%201986%20%D1%84%D0%B8%D0%BB%D1%8C%D0%BC","искать")</f>
        <v/>
      </c>
      <c r="N1350" s="3" t="n"/>
      <c r="O1350" s="2" t="n"/>
    </row>
    <row r="1351">
      <c r="A1351" s="2" t="n">
        <v>1350</v>
      </c>
      <c r="B1351" s="2" t="inlineStr">
        <is>
          <t>не сюжет</t>
        </is>
      </c>
      <c r="C1351" s="2" t="n">
        <v>7601</v>
      </c>
      <c r="D1351" s="3" t="inlineStr">
        <is>
          <t>Жизнь Клима Самгина</t>
        </is>
      </c>
      <c r="E1351" s="2" t="n">
        <v>1986</v>
      </c>
      <c r="F1351" s="2" t="inlineStr">
        <is>
          <t>телефильм</t>
        </is>
      </c>
      <c r="G1351" s="2" t="inlineStr">
        <is>
          <t>Ленфильм</t>
        </is>
      </c>
      <c r="H1351" s="2" t="n">
        <v>156</v>
      </c>
      <c r="I1351" s="2" t="inlineStr"/>
      <c r="J1351" s="2" t="inlineStr">
        <is>
          <t>да</t>
        </is>
      </c>
      <c r="K1351" s="3" t="inlineStr">
        <is>
          <t>Телесериал по одноименному роману Максима Горького. Жизнь интеллигента Самгина, показанная на фоне грандиозной панорамы российской жизни с 1877 по 1917 год.</t>
        </is>
      </c>
      <c r="L1351" s="2" t="inlineStr">
        <is>
          <t>Кино_СССР сводный каталог.xlsx: список телефильмов</t>
        </is>
      </c>
      <c r="M1351" s="2">
        <f>HYPERLINK("https://ru.wikipedia.org/w/index.php?search=%D0%96%D0%B8%D0%B7%D0%BD%D1%8C%20%D0%9A%D0%BB%D0%B8%D0%BC%D0%B0%20%D0%A1%D0%B0%D0%BC%D0%B3%D0%B8%D0%BD%D0%B0%201986%20%D1%84%D0%B8%D0%BB%D1%8C%D0%BC","искать")</f>
        <v/>
      </c>
      <c r="N1351" s="3" t="n"/>
      <c r="O1351" s="2" t="n"/>
    </row>
    <row r="1352">
      <c r="A1352" s="2" t="n">
        <v>1351</v>
      </c>
      <c r="B1352" s="2" t="inlineStr">
        <is>
          <t>не сюжет</t>
        </is>
      </c>
      <c r="C1352" s="2" t="n">
        <v>9125</v>
      </c>
      <c r="D1352" s="3" t="inlineStr">
        <is>
          <t>Улица Ладычука</t>
        </is>
      </c>
      <c r="E1352" s="2" t="n">
        <v>1962</v>
      </c>
      <c r="F1352" s="2" t="inlineStr">
        <is>
          <t>кинофильм</t>
        </is>
      </c>
      <c r="G1352" s="2" t="n"/>
      <c r="H1352" s="2" t="n">
        <v>156</v>
      </c>
      <c r="I1352" s="2" t="inlineStr"/>
      <c r="J1352" s="2" t="inlineStr">
        <is>
          <t>да</t>
        </is>
      </c>
      <c r="K1352" s="3" t="inlineStr">
        <is>
          <t>Фильм херсонской студии телевидения о  председателе исполкома Херсонского городского Совета А.К.Ладычуке, начальнике штаба херсонского партизанского отряда.</t>
        </is>
      </c>
      <c r="L1352" s="2" t="inlineStr">
        <is>
          <t>Кино_СССР сводный каталог.xlsx: список фильмов (доп.)</t>
        </is>
      </c>
      <c r="M1352" s="2">
        <f>HYPERLINK("https://ru.wikipedia.org/w/index.php?search=%D0%A3%D0%BB%D0%B8%D1%86%D0%B0%20%D0%9B%D0%B0%D0%B4%D1%8B%D1%87%D1%83%D0%BA%D0%B0%201962%20%D1%84%D0%B8%D0%BB%D1%8C%D0%BC","искать")</f>
        <v/>
      </c>
      <c r="N1352" s="3" t="n"/>
      <c r="O1352" s="2" t="n"/>
    </row>
    <row r="1353">
      <c r="A1353" s="2" t="n">
        <v>1352</v>
      </c>
      <c r="B1353" s="2" t="inlineStr">
        <is>
          <t>не сюжет</t>
        </is>
      </c>
      <c r="C1353" s="2" t="n">
        <v>11079</v>
      </c>
      <c r="D1353" s="3" t="inlineStr">
        <is>
          <t>Сеанс гипнотизёра</t>
        </is>
      </c>
      <c r="E1353" s="2" t="n">
        <v>1985</v>
      </c>
      <c r="F1353" s="2" t="inlineStr">
        <is>
          <t>фильм-спектакль</t>
        </is>
      </c>
      <c r="G1353" s="2" t="inlineStr">
        <is>
          <t>Главная редакция литературно-драматических программ ЦТ</t>
        </is>
      </c>
      <c r="H1353" s="2" t="n">
        <v>156</v>
      </c>
      <c r="I1353" s="2" t="inlineStr"/>
      <c r="J1353" s="2" t="inlineStr">
        <is>
          <t>да</t>
        </is>
      </c>
      <c r="K1353" s="3" t="inlineStr">
        <is>
          <t>По мотивам юмористических рассказов Леонида Ленча "Сеанс гипнотизера", "Дорогие гости", "Неразборчивый почерк", "Запарка", "Каша", "Свидание", "Живая душа".</t>
        </is>
      </c>
      <c r="L1353" s="2" t="inlineStr">
        <is>
          <t>https://www.kino-teatr.ru/teatr/movie/12121/annot/</t>
        </is>
      </c>
      <c r="M1353" s="2">
        <f>HYPERLINK("https://ru.wikipedia.org/w/index.php?search=%D0%A1%D0%B5%D0%B0%D0%BD%D1%81%20%D0%B3%D0%B8%D0%BF%D0%BD%D0%BE%D1%82%D0%B8%D0%B7%D1%91%D1%80%D0%B0%201985%20%D1%84%D0%B8%D0%BB%D1%8C%D0%BC","искать")</f>
        <v/>
      </c>
      <c r="N1353" s="3" t="n"/>
      <c r="O1353" s="2" t="n"/>
    </row>
    <row r="1354">
      <c r="A1354" s="2" t="n">
        <v>1353</v>
      </c>
      <c r="B1354" s="2" t="inlineStr">
        <is>
          <t>не сюжет</t>
        </is>
      </c>
      <c r="C1354" s="2" t="n">
        <v>7236</v>
      </c>
      <c r="D1354" s="3" t="inlineStr">
        <is>
          <t>Барбора Радвилайте</t>
        </is>
      </c>
      <c r="E1354" s="2" t="n">
        <v>1982</v>
      </c>
      <c r="F1354" s="2" t="inlineStr">
        <is>
          <t>телефильм</t>
        </is>
      </c>
      <c r="G1354" s="2" t="n"/>
      <c r="H1354" s="2" t="n">
        <v>157</v>
      </c>
      <c r="I1354" s="2" t="inlineStr"/>
      <c r="J1354" s="2" t="inlineStr">
        <is>
          <t>да</t>
        </is>
      </c>
      <c r="K1354" s="3" t="inlineStr">
        <is>
          <t>Исторический телефильм поставлен по одноимённой драме Ю.Грушаса. Это трагическая история любви короля Польши и Литвы Сигизмунда Августа и Барборы Радвилайте.</t>
        </is>
      </c>
      <c r="L1354" s="2" t="inlineStr">
        <is>
          <t>Кино_СССР сводный каталог.xlsx: список телефильмов</t>
        </is>
      </c>
      <c r="M1354" s="2">
        <f>HYPERLINK("https://ru.wikipedia.org/w/index.php?search=%D0%91%D0%B0%D1%80%D0%B1%D0%BE%D1%80%D0%B0%20%D0%A0%D0%B0%D0%B4%D0%B2%D0%B8%D0%BB%D0%B0%D0%B9%D1%82%D0%B5%201982%20%D1%84%D0%B8%D0%BB%D1%8C%D0%BC","искать")</f>
        <v/>
      </c>
      <c r="N1354" s="3" t="n"/>
      <c r="O1354" s="2" t="n"/>
    </row>
    <row r="1355">
      <c r="A1355" s="2" t="n">
        <v>1354</v>
      </c>
      <c r="B1355" s="2" t="inlineStr">
        <is>
          <t>не сюжет</t>
        </is>
      </c>
      <c r="C1355" s="2" t="n">
        <v>9476</v>
      </c>
      <c r="D1355" s="3" t="inlineStr">
        <is>
          <t>Мистификатор</t>
        </is>
      </c>
      <c r="E1355" s="2" t="n">
        <v>1990</v>
      </c>
      <c r="F1355" s="2" t="inlineStr">
        <is>
          <t>кинофильм</t>
        </is>
      </c>
      <c r="G1355" s="2" t="n"/>
      <c r="H1355" s="2" t="n">
        <v>157</v>
      </c>
      <c r="I1355" s="2" t="inlineStr"/>
      <c r="J1355" s="2" t="inlineStr">
        <is>
          <t>да</t>
        </is>
      </c>
      <c r="K1355" s="3" t="inlineStr">
        <is>
          <t>Первая и единственная лента, снятая режиссером в СССР (сам Ян Михайлов уехал вместе с фильмом в Израиль). Объединяет три новеллы о любви, зле и жажде власти.</t>
        </is>
      </c>
      <c r="L1355" s="2" t="inlineStr">
        <is>
          <t>Кино_СССР сводный каталог.xlsx: список фильмов (доп.)</t>
        </is>
      </c>
      <c r="M1355" s="2">
        <f>HYPERLINK("https://ru.wikipedia.org/w/index.php?search=%D0%9C%D0%B8%D1%81%D1%82%D0%B8%D1%84%D0%B8%D0%BA%D0%B0%D1%82%D0%BE%D1%80%201990%20%D1%84%D0%B8%D0%BB%D1%8C%D0%BC","искать")</f>
        <v/>
      </c>
      <c r="N1355" s="3" t="n"/>
      <c r="O1355" s="2" t="n"/>
    </row>
    <row r="1356">
      <c r="A1356" s="2" t="n">
        <v>1355</v>
      </c>
      <c r="B1356" s="2" t="inlineStr">
        <is>
          <t>не сюжет</t>
        </is>
      </c>
      <c r="C1356" s="2" t="n">
        <v>10272</v>
      </c>
      <c r="D1356" s="3" t="inlineStr">
        <is>
          <t>Пять миллионов</t>
        </is>
      </c>
      <c r="E1356" s="2" t="n">
        <v>1968</v>
      </c>
      <c r="F1356" s="2" t="inlineStr">
        <is>
          <t>фильм-спектакль</t>
        </is>
      </c>
      <c r="G1356" s="2" t="inlineStr">
        <is>
          <t>Ленинградское телевидение</t>
        </is>
      </c>
      <c r="H1356" s="2" t="n">
        <v>157</v>
      </c>
      <c r="I1356" s="2" t="inlineStr"/>
      <c r="J1356" s="2" t="inlineStr">
        <is>
          <t>да</t>
        </is>
      </c>
      <c r="K1356" s="3" t="inlineStr">
        <is>
          <t>Телеспектакль по "Парижскому сценарию" Ильи Ильфа и Евгения Петрова.
Музыка из произведений Чарли Чаплина.
Действие происходит в маленькой буржуазной стране.</t>
        </is>
      </c>
      <c r="L1356" s="2" t="inlineStr">
        <is>
          <t>https://www.kino-teatr.ru/teatr/movie/122974/annot/</t>
        </is>
      </c>
      <c r="M1356" s="2">
        <f>HYPERLINK("https://ru.wikipedia.org/w/index.php?search=%D0%9F%D1%8F%D1%82%D1%8C%20%D0%BC%D0%B8%D0%BB%D0%BB%D0%B8%D0%BE%D0%BD%D0%BE%D0%B2%201968%20%D1%84%D0%B8%D0%BB%D1%8C%D0%BC","искать")</f>
        <v/>
      </c>
      <c r="N1356" s="3" t="n"/>
      <c r="O1356" s="2" t="n"/>
    </row>
    <row r="1357">
      <c r="A1357" s="2" t="n">
        <v>1356</v>
      </c>
      <c r="B1357" s="2" t="inlineStr">
        <is>
          <t>не сюжет</t>
        </is>
      </c>
      <c r="C1357" s="2" t="n">
        <v>7279</v>
      </c>
      <c r="D1357" s="3" t="inlineStr">
        <is>
          <t>Буйная</t>
        </is>
      </c>
      <c r="E1357" s="2" t="n">
        <v>1990</v>
      </c>
      <c r="F1357" s="2" t="inlineStr">
        <is>
          <t>телефильм</t>
        </is>
      </c>
      <c r="G1357" s="2" t="n"/>
      <c r="H1357" s="2" t="n">
        <v>158</v>
      </c>
      <c r="I1357" s="2" t="inlineStr"/>
      <c r="J1357" s="2" t="inlineStr">
        <is>
          <t>да</t>
        </is>
      </c>
      <c r="K1357" s="3" t="inlineStr">
        <is>
          <t>Рассказ о драматической жизни народной художницы Катерины Белокур, принесшей свою любовь в жертву призванию. В фильме используются письма и картины художницы.</t>
        </is>
      </c>
      <c r="L1357" s="2" t="inlineStr">
        <is>
          <t>Кино_СССР сводный каталог.xlsx: список телефильмов</t>
        </is>
      </c>
      <c r="M1357" s="2">
        <f>HYPERLINK("https://ru.wikipedia.org/w/index.php?search=%D0%91%D1%83%D0%B9%D0%BD%D0%B0%D1%8F%201990%20%D1%84%D0%B8%D0%BB%D1%8C%D0%BC","искать")</f>
        <v/>
      </c>
      <c r="N1357" s="3" t="n"/>
      <c r="O1357" s="2" t="n"/>
    </row>
    <row r="1358">
      <c r="A1358" s="2" t="n">
        <v>1357</v>
      </c>
      <c r="B1358" s="2" t="inlineStr">
        <is>
          <t>не сюжет</t>
        </is>
      </c>
      <c r="C1358" s="2" t="n">
        <v>9829</v>
      </c>
      <c r="D1358" s="3" t="inlineStr">
        <is>
          <t>Сын</t>
        </is>
      </c>
      <c r="E1358" s="2" t="n">
        <v>1965</v>
      </c>
      <c r="F1358" s="2" t="inlineStr">
        <is>
          <t>кинофильм</t>
        </is>
      </c>
      <c r="G1358" s="2" t="inlineStr">
        <is>
          <t>ВГИК, Связанные проекты, Сыновья уходят в бой, (1969)</t>
        </is>
      </c>
      <c r="H1358" s="2" t="n">
        <v>158</v>
      </c>
      <c r="I1358" s="2" t="inlineStr"/>
      <c r="J1358" s="2" t="inlineStr">
        <is>
          <t>да</t>
        </is>
      </c>
      <c r="K1358" s="3" t="inlineStr">
        <is>
          <t>Фантазия-воспоминание.
«Уходят матери от нас не сразу, нет. Нам только кажется, что сразу. Они уходят медленно и странно Шагами маленькими по ступеням лет...»</t>
        </is>
      </c>
      <c r="L1358" s="2" t="inlineStr">
        <is>
          <t>https://www.kino-teatr.ru/short/movie/sov/9987/annot/</t>
        </is>
      </c>
      <c r="M1358" s="2">
        <f>HYPERLINK("https://ru.wikipedia.org/w/index.php?search=%D0%A1%D1%8B%D0%BD%201965%20%D1%84%D0%B8%D0%BB%D1%8C%D0%BC","искать")</f>
        <v/>
      </c>
      <c r="N1358" s="3" t="n"/>
      <c r="O1358" s="2" t="n"/>
    </row>
    <row r="1359">
      <c r="A1359" s="2" t="n">
        <v>1358</v>
      </c>
      <c r="B1359" s="2" t="inlineStr">
        <is>
          <t>не сюжет</t>
        </is>
      </c>
      <c r="C1359" s="2" t="n">
        <v>10385</v>
      </c>
      <c r="D1359" s="3" t="inlineStr">
        <is>
          <t>Дай сердцу волю - заведет в неволю</t>
        </is>
      </c>
      <c r="E1359" s="2" t="n">
        <v>1971</v>
      </c>
      <c r="F1359" s="2" t="inlineStr">
        <is>
          <t>фильм-спектакль</t>
        </is>
      </c>
      <c r="G1359" s="2" t="inlineStr">
        <is>
          <t>Укртелефильм</t>
        </is>
      </c>
      <c r="H1359" s="2" t="n">
        <v>158</v>
      </c>
      <c r="I1359" s="2" t="inlineStr"/>
      <c r="J1359" s="2" t="inlineStr">
        <is>
          <t>да</t>
        </is>
      </c>
      <c r="K1359" s="3" t="inlineStr">
        <is>
          <t>По одноименной пьесе М.Кропивницкого в постановке Тернопольского музыкально-драматического театра им. Т.Г.Шевченко.
Действие происходит на Украине в XIX веке.</t>
        </is>
      </c>
      <c r="L1359" s="2" t="inlineStr">
        <is>
          <t>https://www.kino-teatr.ru/teatr/movie/93005/annot/</t>
        </is>
      </c>
      <c r="M1359" s="2">
        <f>HYPERLINK("https://ru.wikipedia.org/w/index.php?search=%D0%94%D0%B0%D0%B9%20%D1%81%D0%B5%D1%80%D0%B4%D1%86%D1%83%20%D0%B2%D0%BE%D0%BB%D1%8E%20-%20%D0%B7%D0%B0%D0%B2%D0%B5%D0%B4%D0%B5%D1%82%20%D0%B2%20%D0%BD%D0%B5%D0%B2%D0%BE%D0%BB%D1%8E%201971%20%D1%84%D0%B8%D0%BB%D1%8C%D0%BC","искать")</f>
        <v/>
      </c>
      <c r="N1359" s="3" t="n"/>
      <c r="O1359" s="2" t="n"/>
    </row>
    <row r="1360">
      <c r="A1360" s="2" t="n">
        <v>1359</v>
      </c>
      <c r="B1360" s="2" t="inlineStr">
        <is>
          <t>не сюжет</t>
        </is>
      </c>
      <c r="C1360" s="2" t="n">
        <v>10454</v>
      </c>
      <c r="D1360" s="3" t="inlineStr">
        <is>
          <t>Мужество жить</t>
        </is>
      </c>
      <c r="E1360" s="2" t="n">
        <v>1972</v>
      </c>
      <c r="F1360" s="2" t="inlineStr">
        <is>
          <t>фильм-спектакль</t>
        </is>
      </c>
      <c r="G1360" s="2" t="inlineStr">
        <is>
          <t>Ленинградское телевидение</t>
        </is>
      </c>
      <c r="H1360" s="2" t="n">
        <v>158</v>
      </c>
      <c r="I1360" s="2" t="inlineStr"/>
      <c r="J1360" s="2" t="inlineStr">
        <is>
          <t>да</t>
        </is>
      </c>
      <c r="K1360" s="3" t="inlineStr">
        <is>
          <t>По документальной повести Б.Костюковского "Земные братья" о трагической судьбе бригадира комсомольской бригады на строительстве Братской ГЭС Бориса Гайнулина.</t>
        </is>
      </c>
      <c r="L1360" s="2" t="inlineStr">
        <is>
          <t>https://www.kino-teatr.ru/teatr/movie/118381/annot/</t>
        </is>
      </c>
      <c r="M1360" s="2">
        <f>HYPERLINK("https://ru.wikipedia.org/w/index.php?search=%D0%9C%D1%83%D0%B6%D0%B5%D1%81%D1%82%D0%B2%D0%BE%20%D0%B6%D0%B8%D1%82%D1%8C%201972%20%D1%84%D0%B8%D0%BB%D1%8C%D0%BC","искать")</f>
        <v/>
      </c>
      <c r="N1360" s="3" t="n"/>
      <c r="O1360" s="2" t="n"/>
    </row>
    <row r="1361">
      <c r="A1361" s="2" t="n">
        <v>1360</v>
      </c>
      <c r="B1361" s="2" t="inlineStr">
        <is>
          <t>не сюжет</t>
        </is>
      </c>
      <c r="C1361" s="2" t="n">
        <v>11132</v>
      </c>
      <c r="D1361" s="3" t="inlineStr">
        <is>
          <t>Скажите им правду</t>
        </is>
      </c>
      <c r="E1361" s="2" t="n">
        <v>1986</v>
      </c>
      <c r="F1361" s="2" t="inlineStr">
        <is>
          <t>фильм-спектакль</t>
        </is>
      </c>
      <c r="G1361" s="2" t="inlineStr">
        <is>
          <t>Главная редакция научно-популярных и учебных программ ЦТ</t>
        </is>
      </c>
      <c r="H1361" s="2" t="n">
        <v>158</v>
      </c>
      <c r="I1361" s="2" t="inlineStr"/>
      <c r="J1361" s="2" t="inlineStr">
        <is>
          <t>да</t>
        </is>
      </c>
      <c r="K1361" s="3" t="inlineStr">
        <is>
          <t>Телеспектакль рассказывает о Первом Всероссийском съезде по борьбе с пьянством (1909-1910гг.). Снят с участием зрителей в доме культуры завода "Серп и молот".</t>
        </is>
      </c>
      <c r="L1361" s="2" t="inlineStr">
        <is>
          <t>https://www.kino-teatr.ru/teatr/movie/84413/annot/</t>
        </is>
      </c>
      <c r="M1361" s="2">
        <f>HYPERLINK("https://ru.wikipedia.org/w/index.php?search=%D0%A1%D0%BA%D0%B0%D0%B6%D0%B8%D1%82%D0%B5%20%D0%B8%D0%BC%20%D0%BF%D1%80%D0%B0%D0%B2%D0%B4%D1%83%201986%20%D1%84%D0%B8%D0%BB%D1%8C%D0%BC","искать")</f>
        <v/>
      </c>
      <c r="N1361" s="3" t="n"/>
      <c r="O1361" s="2" t="n"/>
    </row>
    <row r="1362">
      <c r="A1362" s="2" t="n">
        <v>1361</v>
      </c>
      <c r="B1362" s="2" t="inlineStr">
        <is>
          <t>не сюжет</t>
        </is>
      </c>
      <c r="C1362" s="2" t="n">
        <v>10113</v>
      </c>
      <c r="D1362" s="3" t="inlineStr">
        <is>
          <t>Павлик Морозов</t>
        </is>
      </c>
      <c r="E1362" s="2" t="n">
        <v>1963</v>
      </c>
      <c r="F1362" s="2" t="inlineStr">
        <is>
          <t>фильм-спектакль</t>
        </is>
      </c>
      <c r="G1362" s="2" t="n"/>
      <c r="H1362" s="2" t="n">
        <v>159</v>
      </c>
      <c r="I1362" s="2" t="inlineStr"/>
      <c r="J1362" s="2" t="inlineStr">
        <is>
          <t>да</t>
        </is>
      </c>
      <c r="K1362" s="3" t="inlineStr">
        <is>
          <t>Фильм снят по одноименной повести А. Яковлева о самом известном пионере тридцатых годов прошлого столетия, который был вписан в историю пионерии под номером 1.</t>
        </is>
      </c>
      <c r="L1362" s="2" t="inlineStr">
        <is>
          <t>https://www.kino-teatr.ru/teatr/movie/82334/annot/</t>
        </is>
      </c>
      <c r="M1362" s="2">
        <f>HYPERLINK("https://ru.wikipedia.org/w/index.php?search=%D0%9F%D0%B0%D0%B2%D0%BB%D0%B8%D0%BA%20%D0%9C%D0%BE%D1%80%D0%BE%D0%B7%D0%BE%D0%B2%201963%20%D1%84%D0%B8%D0%BB%D1%8C%D0%BC","искать")</f>
        <v/>
      </c>
      <c r="N1362" s="3" t="n"/>
      <c r="O1362" s="2" t="n"/>
    </row>
    <row r="1363">
      <c r="A1363" s="2" t="n">
        <v>1362</v>
      </c>
      <c r="B1363" s="2" t="inlineStr">
        <is>
          <t>не сюжет</t>
        </is>
      </c>
      <c r="C1363" s="2" t="n">
        <v>10572</v>
      </c>
      <c r="D1363" s="3" t="inlineStr">
        <is>
          <t>Моё поколение</t>
        </is>
      </c>
      <c r="E1363" s="2" t="n">
        <v>1974</v>
      </c>
      <c r="F1363" s="2" t="inlineStr">
        <is>
          <t>фильм-спектакль</t>
        </is>
      </c>
      <c r="G1363" s="2" t="inlineStr">
        <is>
          <t>Главная редакция литературно-драматических программ ЦТ</t>
        </is>
      </c>
      <c r="H1363" s="2" t="n">
        <v>159</v>
      </c>
      <c r="I1363" s="2" t="inlineStr"/>
      <c r="J1363" s="2" t="inlineStr">
        <is>
          <t>да</t>
        </is>
      </c>
      <c r="K1363" s="3" t="inlineStr">
        <is>
          <t>По одноименному роману Бориса Горбатова.
О молодежи, вступившей в ряды комсомола в начале 1920-х годов. Герои фильма - жители маленького городка на юге России.</t>
        </is>
      </c>
      <c r="L1363" s="2" t="inlineStr">
        <is>
          <t>https://www.kino-teatr.ru/teatr/movie/14608/annot/</t>
        </is>
      </c>
      <c r="M1363" s="2">
        <f>HYPERLINK("https://ru.wikipedia.org/w/index.php?search=%D0%9C%D0%BE%D1%91%20%D0%BF%D0%BE%D0%BA%D0%BE%D0%BB%D0%B5%D0%BD%D0%B8%D0%B5%201974%20%D1%84%D0%B8%D0%BB%D1%8C%D0%BC","искать")</f>
        <v/>
      </c>
      <c r="N1363" s="3" t="n"/>
      <c r="O1363" s="2" t="n"/>
    </row>
    <row r="1364">
      <c r="A1364" s="2" t="n">
        <v>1363</v>
      </c>
      <c r="B1364" s="2" t="inlineStr">
        <is>
          <t>не сюжет</t>
        </is>
      </c>
      <c r="C1364" s="2" t="n">
        <v>7256</v>
      </c>
      <c r="D1364" s="3" t="inlineStr">
        <is>
          <t>Блуждающие огоньки</t>
        </is>
      </c>
      <c r="E1364" s="2" t="n">
        <v>1979</v>
      </c>
      <c r="F1364" s="2" t="inlineStr">
        <is>
          <t>телефильм</t>
        </is>
      </c>
      <c r="G1364" s="2" t="n"/>
      <c r="H1364" s="2" t="n">
        <v>160</v>
      </c>
      <c r="I1364" s="2" t="inlineStr"/>
      <c r="J1364" s="2" t="inlineStr">
        <is>
          <t>да</t>
        </is>
      </c>
      <c r="K1364" s="3" t="inlineStr">
        <is>
          <t>Телефильм по мотивам сказок Х.-К.Андерсена. В основе сюжета - сказки Андерсена "Девочка, наступившая на хлеб", "Тень", "Золотой мальчик", "Новое платье короля".</t>
        </is>
      </c>
      <c r="L1364" s="2" t="inlineStr">
        <is>
          <t>Кино_СССР сводный каталог.xlsx: список телефильмов</t>
        </is>
      </c>
      <c r="M1364" s="2">
        <f>HYPERLINK("https://ru.wikipedia.org/w/index.php?search=%D0%91%D0%BB%D1%83%D0%B6%D0%B4%D0%B0%D1%8E%D1%89%D0%B8%D0%B5%20%D0%BE%D0%B3%D0%BE%D0%BD%D1%8C%D0%BA%D0%B8%201979%20%D1%84%D0%B8%D0%BB%D1%8C%D0%BC","искать")</f>
        <v/>
      </c>
      <c r="N1364" s="3" t="n"/>
      <c r="O1364" s="2" t="n"/>
    </row>
    <row r="1365">
      <c r="A1365" s="2" t="n">
        <v>1364</v>
      </c>
      <c r="B1365" s="2" t="inlineStr">
        <is>
          <t>не сюжет</t>
        </is>
      </c>
      <c r="C1365" s="2" t="n">
        <v>10506</v>
      </c>
      <c r="D1365" s="3" t="inlineStr">
        <is>
          <t>Московские каникулы</t>
        </is>
      </c>
      <c r="E1365" s="2" t="n">
        <v>1973</v>
      </c>
      <c r="F1365" s="2" t="inlineStr">
        <is>
          <t>фильм-спектакль</t>
        </is>
      </c>
      <c r="G1365" s="2" t="inlineStr">
        <is>
          <t>Главная редакция программ для детей и юношества ЦТ</t>
        </is>
      </c>
      <c r="H1365" s="2" t="n">
        <v>160</v>
      </c>
      <c r="I1365" s="2" t="inlineStr"/>
      <c r="J1365" s="2" t="inlineStr">
        <is>
          <t>да</t>
        </is>
      </c>
      <c r="K1365" s="3" t="inlineStr">
        <is>
          <t>Телеспектакль по одноименной пьесе А.Кузнецова в постановке Центрального детского театра.
О старшеклассниках, выборе ими жизненного пути, первой любви и дружбе.</t>
        </is>
      </c>
      <c r="L1365" s="2" t="inlineStr">
        <is>
          <t>https://www.kino-teatr.ru/teatr/movie/79275/annot/</t>
        </is>
      </c>
      <c r="M1365" s="2">
        <f>HYPERLINK("https://ru.wikipedia.org/w/index.php?search=%D0%9C%D0%BE%D1%81%D0%BA%D0%BE%D0%B2%D1%81%D0%BA%D0%B8%D0%B5%20%D0%BA%D0%B0%D0%BD%D0%B8%D0%BA%D1%83%D0%BB%D1%8B%201973%20%D1%84%D0%B8%D0%BB%D1%8C%D0%BC","искать")</f>
        <v/>
      </c>
      <c r="N1365" s="3" t="n"/>
      <c r="O1365" s="2" t="n"/>
    </row>
    <row r="1366">
      <c r="A1366" s="2" t="n">
        <v>1365</v>
      </c>
      <c r="B1366" s="2" t="inlineStr">
        <is>
          <t>не сюжет</t>
        </is>
      </c>
      <c r="C1366" s="2" t="n">
        <v>9674</v>
      </c>
      <c r="D1366" s="3" t="inlineStr">
        <is>
          <t>Сто дней до приказа...</t>
        </is>
      </c>
      <c r="E1366" s="2" t="n">
        <v>1990</v>
      </c>
      <c r="F1366" s="2" t="inlineStr">
        <is>
          <t>кинофильм</t>
        </is>
      </c>
      <c r="G1366" s="2" t="n"/>
      <c r="H1366" s="2" t="n">
        <v>161</v>
      </c>
      <c r="I1366" s="2" t="inlineStr"/>
      <c r="J1366" s="2" t="inlineStr">
        <is>
          <t>да</t>
        </is>
      </c>
      <c r="K1366" s="3" t="inlineStr">
        <is>
          <t>Повесть Юрия Полякова, которая легла в основу сценария фильма, одна из первых в отечественной литературе впервые осветившая социальные проблемы армейской службы.</t>
        </is>
      </c>
      <c r="L1366" s="2" t="inlineStr">
        <is>
          <t>Кино_СССР сводный каталог.xlsx: список фильмов (доп.)</t>
        </is>
      </c>
      <c r="M1366" s="2">
        <f>HYPERLINK("https://ru.wikipedia.org/w/index.php?search=%D0%A1%D1%82%D0%BE%20%D0%B4%D0%BD%D0%B5%D0%B9%20%D0%B4%D0%BE%20%D0%BF%D1%80%D0%B8%D0%BA%D0%B0%D0%B7%D0%B0...%201990%20%D1%84%D0%B8%D0%BB%D1%8C%D0%BC","искать")</f>
        <v/>
      </c>
      <c r="N1366" s="3" t="n"/>
      <c r="O1366" s="2" t="n"/>
    </row>
    <row r="1367">
      <c r="A1367" s="2" t="n">
        <v>1366</v>
      </c>
      <c r="B1367" s="2" t="inlineStr">
        <is>
          <t>не сюжет</t>
        </is>
      </c>
      <c r="C1367" s="2" t="n">
        <v>9840</v>
      </c>
      <c r="D1367" s="3" t="inlineStr">
        <is>
          <t>Пауза</t>
        </is>
      </c>
      <c r="E1367" s="2" t="n">
        <v>1967</v>
      </c>
      <c r="F1367" s="2" t="inlineStr">
        <is>
          <t>телефильм</t>
        </is>
      </c>
      <c r="G1367" s="2" t="inlineStr">
        <is>
          <t>Центральное ТВ</t>
        </is>
      </c>
      <c r="H1367" s="2" t="n">
        <v>161</v>
      </c>
      <c r="I1367" s="2" t="inlineStr"/>
      <c r="J1367" s="2" t="inlineStr">
        <is>
          <t>да</t>
        </is>
      </c>
      <c r="K1367" s="3" t="inlineStr">
        <is>
          <t>По мотивам "Новогоднего рассказа" Валентина Катаева.
Один из эпизодов в жизни советского разведчика в оккупированном городе во время Великой Отечественной войны.</t>
        </is>
      </c>
      <c r="L1367" s="2" t="inlineStr">
        <is>
          <t>https://www.kino-teatr.ru/short/movie/sov/92781/annot/</t>
        </is>
      </c>
      <c r="M1367" s="2">
        <f>HYPERLINK("https://ru.wikipedia.org/w/index.php?search=%D0%9F%D0%B0%D1%83%D0%B7%D0%B0%201967%20%D1%84%D0%B8%D0%BB%D1%8C%D0%BC","искать")</f>
        <v/>
      </c>
      <c r="N1367" s="3" t="n"/>
      <c r="O1367" s="2" t="n"/>
    </row>
    <row r="1368">
      <c r="A1368" s="2" t="n">
        <v>1367</v>
      </c>
      <c r="B1368" s="2" t="inlineStr">
        <is>
          <t>не сюжет</t>
        </is>
      </c>
      <c r="C1368" s="2" t="n">
        <v>10448</v>
      </c>
      <c r="D1368" s="3" t="inlineStr">
        <is>
          <t>Льды уходят в океан</t>
        </is>
      </c>
      <c r="E1368" s="2" t="n">
        <v>1972</v>
      </c>
      <c r="F1368" s="2" t="inlineStr">
        <is>
          <t>фильм-спектакль</t>
        </is>
      </c>
      <c r="G1368" s="2" t="inlineStr">
        <is>
          <t>Главная редакция литературно-драматических программ ЦТ</t>
        </is>
      </c>
      <c r="H1368" s="2" t="n">
        <v>161</v>
      </c>
      <c r="I1368" s="2" t="inlineStr"/>
      <c r="J1368" s="2" t="inlineStr">
        <is>
          <t>да</t>
        </is>
      </c>
      <c r="K1368" s="3" t="inlineStr">
        <is>
          <t>О трудовых буднях бригады докеров. Действие происходит на Крайнем Севере в одном из крупных портовых городов.
По одноименному роману Петра Лебеденко(1966, 1971).</t>
        </is>
      </c>
      <c r="L1368" s="2" t="inlineStr">
        <is>
          <t>https://www.kino-teatr.ru/teatr/movie/37786/annot/</t>
        </is>
      </c>
      <c r="M1368" s="2">
        <f>HYPERLINK("https://ru.wikipedia.org/w/index.php?search=%D0%9B%D1%8C%D0%B4%D1%8B%20%D1%83%D1%85%D0%BE%D0%B4%D1%8F%D1%82%20%D0%B2%20%D0%BE%D0%BA%D0%B5%D0%B0%D0%BD%201972%20%D1%84%D0%B8%D0%BB%D1%8C%D0%BC","искать")</f>
        <v/>
      </c>
      <c r="N1368" s="3" t="n"/>
      <c r="O1368" s="2" t="n"/>
    </row>
    <row r="1369">
      <c r="A1369" s="2" t="n">
        <v>1368</v>
      </c>
      <c r="B1369" s="2" t="inlineStr">
        <is>
          <t>не сюжет</t>
        </is>
      </c>
      <c r="C1369" s="2" t="n">
        <v>7468</v>
      </c>
      <c r="D1369" s="3" t="inlineStr">
        <is>
          <t>Гу-га</t>
        </is>
      </c>
      <c r="E1369" s="2" t="n">
        <v>1989</v>
      </c>
      <c r="F1369" s="2" t="inlineStr">
        <is>
          <t>телефильм</t>
        </is>
      </c>
      <c r="G1369" s="2" t="n"/>
      <c r="H1369" s="2" t="n">
        <v>162</v>
      </c>
      <c r="I1369" s="2" t="inlineStr"/>
      <c r="J1369" s="2" t="inlineStr">
        <is>
          <t>да</t>
        </is>
      </c>
      <c r="K1369" s="3" t="inlineStr">
        <is>
          <t>Фильм снят по одноименной повести Мориса Симашко. О батальонах штрафников времен второй мировой войны, месяц службы в которых приравнивался к десяти годам тюрьмы.</t>
        </is>
      </c>
      <c r="L1369" s="2" t="inlineStr">
        <is>
          <t>Кино_СССР сводный каталог.xlsx: список телефильмов</t>
        </is>
      </c>
      <c r="M1369" s="2">
        <f>HYPERLINK("https://ru.wikipedia.org/w/index.php?search=%D0%93%D1%83-%D0%B3%D0%B0%201989%20%D1%84%D0%B8%D0%BB%D1%8C%D0%BC","искать")</f>
        <v/>
      </c>
      <c r="N1369" s="3" t="n"/>
      <c r="O1369" s="2" t="n"/>
    </row>
    <row r="1370">
      <c r="A1370" s="2" t="n">
        <v>1369</v>
      </c>
      <c r="B1370" s="2" t="inlineStr">
        <is>
          <t>не сюжет</t>
        </is>
      </c>
      <c r="C1370" s="2" t="n">
        <v>7906</v>
      </c>
      <c r="D1370" s="3" t="inlineStr">
        <is>
          <t>Мужество</t>
        </is>
      </c>
      <c r="E1370" s="2" t="n">
        <v>1980</v>
      </c>
      <c r="F1370" s="2" t="inlineStr">
        <is>
          <t>телефильм</t>
        </is>
      </c>
      <c r="G1370" s="2" t="n"/>
      <c r="H1370" s="2" t="n">
        <v>162</v>
      </c>
      <c r="I1370" s="2" t="inlineStr"/>
      <c r="J1370" s="2" t="inlineStr">
        <is>
          <t>да</t>
        </is>
      </c>
      <c r="K1370" s="3" t="inlineStr">
        <is>
          <t>Телесериал по одноименному роману Веры Кетлинской. О строительстве в тайге нового города Комсомольска-на-Амуре в 1932 году, об энтузиазме строителей-комсомольцев.</t>
        </is>
      </c>
      <c r="L1370" s="2" t="inlineStr">
        <is>
          <t>Кино_СССР сводный каталог.xlsx: список телефильмов</t>
        </is>
      </c>
      <c r="M1370" s="2">
        <f>HYPERLINK("https://ru.wikipedia.org/w/index.php?search=%D0%9C%D1%83%D0%B6%D0%B5%D1%81%D1%82%D0%B2%D0%BE%201980%20%D1%84%D0%B8%D0%BB%D1%8C%D0%BC","искать")</f>
        <v/>
      </c>
      <c r="N1370" s="3" t="n"/>
      <c r="O1370" s="2" t="n"/>
    </row>
    <row r="1371">
      <c r="A1371" s="2" t="n">
        <v>1370</v>
      </c>
      <c r="B1371" s="2" t="inlineStr">
        <is>
          <t>не сюжет</t>
        </is>
      </c>
      <c r="C1371" s="2" t="n">
        <v>7890</v>
      </c>
      <c r="D1371" s="3" t="inlineStr">
        <is>
          <t>Мой генерал</t>
        </is>
      </c>
      <c r="E1371" s="2" t="n">
        <v>1979</v>
      </c>
      <c r="F1371" s="2" t="inlineStr">
        <is>
          <t>телефильм</t>
        </is>
      </c>
      <c r="G1371" s="2" t="inlineStr">
        <is>
          <t>к/с им. Довженко</t>
        </is>
      </c>
      <c r="H1371" s="2" t="n">
        <v>163</v>
      </c>
      <c r="I1371" s="2" t="inlineStr"/>
      <c r="J1371" s="2" t="inlineStr">
        <is>
          <t>да</t>
        </is>
      </c>
      <c r="K1371" s="3" t="inlineStr">
        <is>
          <t>По прозе Альберта Лиханова. Телефильм о большой дружбе двенадцатилетнего Антона со своим дедом-генералом, который оказал решающее влияние на его духовное развитие.</t>
        </is>
      </c>
      <c r="L1371" s="2" t="inlineStr">
        <is>
          <t>Кино_СССР сводный каталог.xlsx: список телефильмов</t>
        </is>
      </c>
      <c r="M1371" s="2">
        <f>HYPERLINK("https://ru.wikipedia.org/w/index.php?search=%D0%9C%D0%BE%D0%B9%20%D0%B3%D0%B5%D0%BD%D0%B5%D1%80%D0%B0%D0%BB%201979%20%D1%84%D0%B8%D0%BB%D1%8C%D0%BC","искать")</f>
        <v/>
      </c>
      <c r="N1371" s="3" t="n"/>
      <c r="O1371" s="2" t="n"/>
    </row>
    <row r="1372">
      <c r="A1372" s="2" t="n">
        <v>1371</v>
      </c>
      <c r="B1372" s="2" t="inlineStr">
        <is>
          <t>не сюжет</t>
        </is>
      </c>
      <c r="C1372" s="2" t="n">
        <v>8105</v>
      </c>
      <c r="D1372" s="3" t="inlineStr">
        <is>
          <t>Песнь о любви</t>
        </is>
      </c>
      <c r="E1372" s="2" t="n">
        <v>1984</v>
      </c>
      <c r="F1372" s="2" t="inlineStr">
        <is>
          <t>телефильм</t>
        </is>
      </c>
      <c r="G1372" s="2" t="n"/>
      <c r="H1372" s="2" t="n">
        <v>163</v>
      </c>
      <c r="I1372" s="2" t="inlineStr"/>
      <c r="J1372" s="2" t="inlineStr">
        <is>
          <t>да</t>
        </is>
      </c>
      <c r="K1372" s="3" t="inlineStr">
        <is>
          <t>Картина создана на основе романа Чингиза Айтматова "И дольше века длится день...", по легенде о трагической любви акына-сказителя Раймалы и юной красавицы Бегимай.</t>
        </is>
      </c>
      <c r="L1372" s="2" t="inlineStr">
        <is>
          <t>Кино_СССР сводный каталог.xlsx: список телефильмов</t>
        </is>
      </c>
      <c r="M1372" s="2">
        <f>HYPERLINK("https://ru.wikipedia.org/w/index.php?search=%D0%9F%D0%B5%D1%81%D0%BD%D1%8C%20%D0%BE%20%D0%BB%D1%8E%D0%B1%D0%B2%D0%B8%201984%20%D1%84%D0%B8%D0%BB%D1%8C%D0%BC","искать")</f>
        <v/>
      </c>
      <c r="N1372" s="3" t="n"/>
      <c r="O1372" s="2" t="n"/>
    </row>
    <row r="1373">
      <c r="A1373" s="2" t="n">
        <v>1372</v>
      </c>
      <c r="B1373" s="2" t="inlineStr">
        <is>
          <t>не сюжет</t>
        </is>
      </c>
      <c r="C1373" s="2" t="n">
        <v>9216</v>
      </c>
      <c r="D1373" s="3" t="inlineStr">
        <is>
          <t>Бакенбарды</t>
        </is>
      </c>
      <c r="E1373" s="2" t="n">
        <v>1990</v>
      </c>
      <c r="F1373" s="2" t="inlineStr">
        <is>
          <t>кинофильм</t>
        </is>
      </c>
      <c r="G1373" s="2" t="n"/>
      <c r="H1373" s="2" t="n">
        <v>163</v>
      </c>
      <c r="I1373" s="2" t="inlineStr"/>
      <c r="J1373" s="2" t="inlineStr">
        <is>
          <t>да</t>
        </is>
      </c>
      <c r="K1373" s="3" t="inlineStr">
        <is>
          <t>Стремительно набирает силу только что возникшее в провинциальном городке общество пушкинистов. Основное отличие каждого его участника - это пушкинские бакенбарды..</t>
        </is>
      </c>
      <c r="L1373" s="2" t="inlineStr">
        <is>
          <t>Кино_СССР сводный каталог.xlsx: список фильмов (доп.)</t>
        </is>
      </c>
      <c r="M1373" s="2">
        <f>HYPERLINK("https://ru.wikipedia.org/w/index.php?search=%D0%91%D0%B0%D0%BA%D0%B5%D0%BD%D0%B1%D0%B0%D1%80%D0%B4%D1%8B%201990%20%D1%84%D0%B8%D0%BB%D1%8C%D0%BC","искать")</f>
        <v/>
      </c>
      <c r="N1373" s="3" t="n"/>
      <c r="O1373" s="2" t="n"/>
    </row>
    <row r="1374">
      <c r="A1374" s="2" t="n">
        <v>1373</v>
      </c>
      <c r="B1374" s="2" t="inlineStr">
        <is>
          <t>не сюжет</t>
        </is>
      </c>
      <c r="C1374" s="2" t="n">
        <v>11302</v>
      </c>
      <c r="D1374" s="3" t="inlineStr">
        <is>
          <t>...И аз воздам</t>
        </is>
      </c>
      <c r="E1374" s="2" t="n">
        <v>1990</v>
      </c>
      <c r="F1374" s="2" t="inlineStr">
        <is>
          <t>фильм-спектакль</t>
        </is>
      </c>
      <c r="G1374" s="2" t="n"/>
      <c r="H1374" s="2" t="n">
        <v>163</v>
      </c>
      <c r="I1374" s="2" t="inlineStr"/>
      <c r="J1374" s="2" t="inlineStr">
        <is>
          <t>да</t>
        </is>
      </c>
      <c r="K1374" s="3" t="inlineStr">
        <is>
          <t>По одноименной пьесе С.Кузнецова в постановке Государственного академического Малого театра Союза ССР. О последних днях жизни русского царя Николая II и его семьи.</t>
        </is>
      </c>
      <c r="L1374" s="2" t="inlineStr">
        <is>
          <t>https://www.kino-teatr.ru/teatr/movie/82046/annot/</t>
        </is>
      </c>
      <c r="M1374" s="2">
        <f>HYPERLINK("https://ru.wikipedia.org/w/index.php?search=...%D0%98%20%D0%B0%D0%B7%20%D0%B2%D0%BE%D0%B7%D0%B4%D0%B0%D0%BC%201990%20%D1%84%D0%B8%D0%BB%D1%8C%D0%BC","искать")</f>
        <v/>
      </c>
      <c r="N1374" s="3" t="n"/>
      <c r="O1374" s="2" t="n"/>
    </row>
    <row r="1375">
      <c r="A1375" s="2" t="n">
        <v>1374</v>
      </c>
      <c r="B1375" s="2" t="inlineStr">
        <is>
          <t>не сюжет</t>
        </is>
      </c>
      <c r="C1375" s="2" t="n">
        <v>7704</v>
      </c>
      <c r="D1375" s="3" t="inlineStr">
        <is>
          <t>Камертон</t>
        </is>
      </c>
      <c r="E1375" s="2" t="n">
        <v>1979</v>
      </c>
      <c r="F1375" s="2" t="inlineStr">
        <is>
          <t>телефильм</t>
        </is>
      </c>
      <c r="G1375" s="2" t="n"/>
      <c r="H1375" s="2" t="n">
        <v>164</v>
      </c>
      <c r="I1375" s="2" t="inlineStr"/>
      <c r="J1375" s="2" t="inlineStr">
        <is>
          <t>да</t>
        </is>
      </c>
      <c r="K1375" s="3" t="inlineStr">
        <is>
          <t>Телефильм. Школа, семья, взаимоотношения в классе, первая любовь - проблемы старшеклассников, которые поднимают создатели фильма. Использованы рисунки Нади Рушевой.</t>
        </is>
      </c>
      <c r="L1375" s="2" t="inlineStr">
        <is>
          <t>Кино_СССР сводный каталог.xlsx: список телефильмов</t>
        </is>
      </c>
      <c r="M1375" s="2">
        <f>HYPERLINK("https://ru.wikipedia.org/w/index.php?search=%D0%9A%D0%B0%D0%BC%D0%B5%D1%80%D1%82%D0%BE%D0%BD%201979%20%D1%84%D0%B8%D0%BB%D1%8C%D0%BC","искать")</f>
        <v/>
      </c>
      <c r="N1375" s="3" t="n"/>
      <c r="O1375" s="2" t="n"/>
    </row>
    <row r="1376">
      <c r="A1376" s="2" t="n">
        <v>1375</v>
      </c>
      <c r="B1376" s="2" t="inlineStr">
        <is>
          <t>не сюжет</t>
        </is>
      </c>
      <c r="C1376" s="2" t="n">
        <v>10954</v>
      </c>
      <c r="D1376" s="3" t="inlineStr">
        <is>
          <t>Поверю и пойду</t>
        </is>
      </c>
      <c r="E1376" s="2" t="n">
        <v>1982</v>
      </c>
      <c r="F1376" s="2" t="inlineStr">
        <is>
          <t>фильм-спектакль</t>
        </is>
      </c>
      <c r="G1376" s="2" t="inlineStr">
        <is>
          <t>Главная редакция литературно-драматических программ ЦТ</t>
        </is>
      </c>
      <c r="H1376" s="2" t="n">
        <v>164</v>
      </c>
      <c r="I1376" s="2" t="inlineStr"/>
      <c r="J1376" s="2" t="inlineStr">
        <is>
          <t>да</t>
        </is>
      </c>
      <c r="K1376" s="3" t="inlineStr">
        <is>
          <t>По одноименной пьесе Романа Солнцева в постановке Московского драматического театра имени К.С. Станиславского.
В центре повествования - рабочая династия Колупаевых.</t>
        </is>
      </c>
      <c r="L1376" s="2" t="inlineStr">
        <is>
          <t>https://www.kino-teatr.ru/teatr/movie/17233/annot/</t>
        </is>
      </c>
      <c r="M1376" s="2">
        <f>HYPERLINK("https://ru.wikipedia.org/w/index.php?search=%D0%9F%D0%BE%D0%B2%D0%B5%D1%80%D1%8E%20%D0%B8%20%D0%BF%D0%BE%D0%B9%D0%B4%D1%83%201982%20%D1%84%D0%B8%D0%BB%D1%8C%D0%BC","искать")</f>
        <v/>
      </c>
      <c r="N1376" s="3" t="n"/>
      <c r="O1376" s="2" t="n"/>
    </row>
    <row r="1377">
      <c r="A1377" s="2" t="n">
        <v>1376</v>
      </c>
      <c r="B1377" s="2" t="inlineStr">
        <is>
          <t>не сюжет</t>
        </is>
      </c>
      <c r="C1377" s="2" t="n">
        <v>7541</v>
      </c>
      <c r="D1377" s="3" t="inlineStr">
        <is>
          <t>Дом строится</t>
        </is>
      </c>
      <c r="E1377" s="2" t="n">
        <v>1978</v>
      </c>
      <c r="F1377" s="2" t="inlineStr">
        <is>
          <t>телефильм</t>
        </is>
      </c>
      <c r="G1377" s="2" t="inlineStr">
        <is>
          <t>Ленфильм</t>
        </is>
      </c>
      <c r="H1377" s="2" t="n">
        <v>165</v>
      </c>
      <c r="I1377" s="2" t="inlineStr"/>
      <c r="J1377" s="2" t="inlineStr">
        <is>
          <t>да</t>
        </is>
      </c>
      <c r="K1377" s="3" t="inlineStr">
        <is>
          <t>По мотивам повести А.Иванова "Дом строится". В основе сюжета конфликт, возникший в архитектурном проектном институте. В фильме использована музыка Сильвиуса Л.Вайса.</t>
        </is>
      </c>
      <c r="L1377" s="2" t="inlineStr">
        <is>
          <t>Кино_СССР сводный каталог.xlsx: список телефильмов</t>
        </is>
      </c>
      <c r="M1377" s="2">
        <f>HYPERLINK("https://ru.wikipedia.org/w/index.php?search=%D0%94%D0%BE%D0%BC%20%D1%81%D1%82%D1%80%D0%BE%D0%B8%D1%82%D1%81%D1%8F%201978%20%D1%84%D0%B8%D0%BB%D1%8C%D0%BC","искать")</f>
        <v/>
      </c>
      <c r="N1377" s="3" t="n"/>
      <c r="O1377" s="2" t="n"/>
    </row>
    <row r="1378">
      <c r="A1378" s="2" t="n">
        <v>1377</v>
      </c>
      <c r="B1378" s="2" t="inlineStr">
        <is>
          <t>не сюжет</t>
        </is>
      </c>
      <c r="C1378" s="2" t="n">
        <v>10105</v>
      </c>
      <c r="D1378" s="3" t="inlineStr">
        <is>
          <t>Бабушкин роман</t>
        </is>
      </c>
      <c r="E1378" s="2" t="n">
        <v>1963</v>
      </c>
      <c r="F1378" s="2" t="inlineStr">
        <is>
          <t>фильм-спектакль</t>
        </is>
      </c>
      <c r="G1378" s="2" t="inlineStr">
        <is>
          <t>Центральное телевидение</t>
        </is>
      </c>
      <c r="H1378" s="2" t="n">
        <v>165</v>
      </c>
      <c r="I1378" s="2" t="inlineStr"/>
      <c r="J1378" s="2" t="inlineStr">
        <is>
          <t>да</t>
        </is>
      </c>
      <c r="K1378" s="3" t="inlineStr">
        <is>
          <t>Комедия А.Эннекена и А.Мийо на музыку Ф.Эрве.
В 1886 году в этой пьесе под названием "Лили" играл К.С.Станиславский.
В спектакле заняты актеры театра им. Вахтангова.</t>
        </is>
      </c>
      <c r="L1378" s="2" t="inlineStr">
        <is>
          <t>https://www.kino-teatr.ru/teatr/movie/136217/annot/</t>
        </is>
      </c>
      <c r="M1378" s="2">
        <f>HYPERLINK("https://ru.wikipedia.org/w/index.php?search=%D0%91%D0%B0%D0%B1%D1%83%D1%88%D0%BA%D0%B8%D0%BD%20%D1%80%D0%BE%D0%BC%D0%B0%D0%BD%201963%20%D1%84%D0%B8%D0%BB%D1%8C%D0%BC","искать")</f>
        <v/>
      </c>
      <c r="N1378" s="3" t="n"/>
      <c r="O1378" s="2" t="n"/>
    </row>
    <row r="1379">
      <c r="A1379" s="2" t="n">
        <v>1378</v>
      </c>
      <c r="B1379" s="2" t="inlineStr">
        <is>
          <t>не сюжет</t>
        </is>
      </c>
      <c r="C1379" s="2" t="n">
        <v>10403</v>
      </c>
      <c r="D1379" s="3" t="inlineStr">
        <is>
          <t>Маленькие трагедии</t>
        </is>
      </c>
      <c r="E1379" s="2" t="n">
        <v>1971</v>
      </c>
      <c r="F1379" s="2" t="inlineStr">
        <is>
          <t>фильм-спектакль</t>
        </is>
      </c>
      <c r="G1379" s="2" t="inlineStr">
        <is>
          <t>Творческое объединение "Экран"</t>
        </is>
      </c>
      <c r="H1379" s="2" t="n">
        <v>165</v>
      </c>
      <c r="I1379" s="2" t="inlineStr"/>
      <c r="J1379" s="2" t="inlineStr">
        <is>
          <t>да</t>
        </is>
      </c>
      <c r="K1379" s="3" t="inlineStr">
        <is>
          <t>Телеспектакль по пьесам А.С. Пушкина "Скупой рыцарь", "Моцарт и Сальери" в постановке Ленинградского государственного академического театра драмы имени А.С. Пушкина.</t>
        </is>
      </c>
      <c r="L1379" s="2" t="inlineStr">
        <is>
          <t>https://www.kino-teatr.ru/teatr/movie/111079/annot/</t>
        </is>
      </c>
      <c r="M1379" s="2">
        <f>HYPERLINK("https://ru.wikipedia.org/w/index.php?search=%D0%9C%D0%B0%D0%BB%D0%B5%D0%BD%D1%8C%D0%BA%D0%B8%D0%B5%20%D1%82%D1%80%D0%B0%D0%B3%D0%B5%D0%B4%D0%B8%D0%B8%201971%20%D1%84%D0%B8%D0%BB%D1%8C%D0%BC","искать")</f>
        <v/>
      </c>
      <c r="N1379" s="3" t="n"/>
      <c r="O1379" s="2" t="n"/>
    </row>
    <row r="1380">
      <c r="A1380" s="2" t="n">
        <v>1379</v>
      </c>
      <c r="B1380" s="2" t="inlineStr">
        <is>
          <t>не сюжет</t>
        </is>
      </c>
      <c r="C1380" s="2" t="n">
        <v>10719</v>
      </c>
      <c r="D1380" s="3" t="inlineStr">
        <is>
          <t>Урте</t>
        </is>
      </c>
      <c r="E1380" s="2" t="n">
        <v>1977</v>
      </c>
      <c r="F1380" s="2" t="inlineStr">
        <is>
          <t>фильм-спектакль</t>
        </is>
      </c>
      <c r="G1380" s="2" t="inlineStr">
        <is>
          <t>Литовское телевидение</t>
        </is>
      </c>
      <c r="H1380" s="2" t="n">
        <v>165</v>
      </c>
      <c r="I1380" s="2" t="inlineStr"/>
      <c r="J1380" s="2" t="inlineStr">
        <is>
          <t>да</t>
        </is>
      </c>
      <c r="K1380" s="3" t="inlineStr">
        <is>
          <t>По мотивам романа литовской писательницы Евы Симонайтите "Судьба Шимонисов".
В спектакле рассказывается о судьбе одного из членов крестьянской семьи - Урте Шимоните.</t>
        </is>
      </c>
      <c r="L1380" s="2" t="inlineStr">
        <is>
          <t>https://www.kino-teatr.ru/teatr/movie/105703/annot/</t>
        </is>
      </c>
      <c r="M1380" s="2">
        <f>HYPERLINK("https://ru.wikipedia.org/w/index.php?search=%D0%A3%D1%80%D1%82%D0%B5%201977%20%D1%84%D0%B8%D0%BB%D1%8C%D0%BC","искать")</f>
        <v/>
      </c>
      <c r="N1380" s="3" t="n"/>
      <c r="O1380" s="2" t="n"/>
    </row>
    <row r="1381">
      <c r="A1381" s="2" t="n">
        <v>1380</v>
      </c>
      <c r="B1381" s="2" t="inlineStr">
        <is>
          <t>не сюжет</t>
        </is>
      </c>
      <c r="C1381" s="2" t="n">
        <v>11133</v>
      </c>
      <c r="D1381" s="3" t="inlineStr">
        <is>
          <t>Снежная королева</t>
        </is>
      </c>
      <c r="E1381" s="2" t="n">
        <v>1986</v>
      </c>
      <c r="F1381" s="2" t="inlineStr">
        <is>
          <t>фильм-спектакль</t>
        </is>
      </c>
      <c r="G1381" s="2" t="inlineStr">
        <is>
          <t>Эстонское телевидение (ETV)</t>
        </is>
      </c>
      <c r="H1381" s="2" t="n">
        <v>165</v>
      </c>
      <c r="I1381" s="2" t="inlineStr"/>
      <c r="J1381" s="2" t="inlineStr">
        <is>
          <t>да</t>
        </is>
      </c>
      <c r="K1381" s="3" t="inlineStr">
        <is>
          <t>Спектакль поставлен по одноименной пьесе советского драматурга Евгения Шварца (во основе пьесы сюжет известной сказки датского сказочника Ганса Христиана Андерсена).</t>
        </is>
      </c>
      <c r="L1381" s="2" t="inlineStr">
        <is>
          <t>https://www.kino-teatr.ru/teatr/movie/86347/annot/</t>
        </is>
      </c>
      <c r="M1381" s="2">
        <f>HYPERLINK("https://ru.wikipedia.org/w/index.php?search=%D0%A1%D0%BD%D0%B5%D0%B6%D0%BD%D0%B0%D1%8F%20%D0%BA%D0%BE%D1%80%D0%BE%D0%BB%D0%B5%D0%B2%D0%B0%201986%20%D1%84%D0%B8%D0%BB%D1%8C%D0%BC","искать")</f>
        <v/>
      </c>
      <c r="N1381" s="3" t="n"/>
      <c r="O1381" s="2" t="n"/>
    </row>
    <row r="1382">
      <c r="A1382" s="2" t="n">
        <v>1381</v>
      </c>
      <c r="B1382" s="2" t="inlineStr">
        <is>
          <t>не сюжет</t>
        </is>
      </c>
      <c r="C1382" s="2" t="n">
        <v>11259</v>
      </c>
      <c r="D1382" s="3" t="inlineStr">
        <is>
          <t>Игра в детектив. Выпуск 3</t>
        </is>
      </c>
      <c r="E1382" s="2" t="n">
        <v>1989</v>
      </c>
      <c r="F1382" s="2" t="inlineStr">
        <is>
          <t>фильм-спектакль</t>
        </is>
      </c>
      <c r="G1382" s="2" t="inlineStr">
        <is>
          <t>Главная редакция литературно-драматических программ ЦТ</t>
        </is>
      </c>
      <c r="H1382" s="2" t="n">
        <v>165</v>
      </c>
      <c r="I1382" s="2" t="inlineStr"/>
      <c r="J1382" s="2" t="inlineStr">
        <is>
          <t>да</t>
        </is>
      </c>
      <c r="K1382" s="3" t="inlineStr">
        <is>
          <t>Третий выпуск из цикла "Игра в детектив". Одна из новелл телеспектакля - "Убийство актрисы" построена на основе спектакля "Гамлет" в постановке Театра на Юго-Западе.</t>
        </is>
      </c>
      <c r="L1382" s="2" t="inlineStr">
        <is>
          <t>https://www.kino-teatr.ru/teatr/movie/149276/annot/</t>
        </is>
      </c>
      <c r="M1382" s="2">
        <f>HYPERLINK("https://ru.wikipedia.org/w/index.php?search=%D0%98%D0%B3%D1%80%D0%B0%20%D0%B2%20%D0%B4%D0%B5%D1%82%D0%B5%D0%BA%D1%82%D0%B8%D0%B2.%20%D0%92%D1%8B%D0%BF%D1%83%D1%81%D0%BA%203%201989%20%D1%84%D0%B8%D0%BB%D1%8C%D0%BC","искать")</f>
        <v/>
      </c>
      <c r="N1382" s="3" t="n"/>
      <c r="O1382" s="2" t="n"/>
    </row>
    <row r="1383">
      <c r="A1383" s="2" t="n">
        <v>1382</v>
      </c>
      <c r="B1383" s="2" t="inlineStr">
        <is>
          <t>не сюжет</t>
        </is>
      </c>
      <c r="C1383" s="2" t="n">
        <v>9801</v>
      </c>
      <c r="D1383" s="3" t="inlineStr">
        <is>
          <t>Молодость, выпуск 5-й (киноальманах) (1981, 1983)</t>
        </is>
      </c>
      <c r="E1383" s="2" t="n">
        <v>1981</v>
      </c>
      <c r="F1383" s="2" t="inlineStr">
        <is>
          <t>кинофильм</t>
        </is>
      </c>
      <c r="G1383" s="2" t="inlineStr">
        <is>
          <t>Мосфильм</t>
        </is>
      </c>
      <c r="H1383" s="2" t="n">
        <v>166</v>
      </c>
      <c r="I1383" s="2" t="inlineStr"/>
      <c r="J1383" s="2" t="inlineStr">
        <is>
          <t>да</t>
        </is>
      </c>
      <c r="K1383" s="3" t="inlineStr">
        <is>
          <t>Киноальманах состоит из трех короткометражных фильмов: "Визит", реж. Евгений Герасимов; "Полоса везения", реж. Семен Морозов; "Золотые рыбки", реж. Александр Майоров.</t>
        </is>
      </c>
      <c r="L1383" s="2" t="inlineStr">
        <is>
          <t>https://www.kino-teatr.ru/kino/movie/sov/5374/annot/</t>
        </is>
      </c>
      <c r="M1383" s="2">
        <f>HYPERLINK("https://ru.wikipedia.org/w/index.php?search=%D0%9C%D0%BE%D0%BB%D0%BE%D0%B4%D0%BE%D1%81%D1%82%D1%8C%2C%20%D0%B2%D1%8B%D0%BF%D1%83%D1%81%D0%BA%205-%D0%B9%20%28%D0%BA%D0%B8%D0%BD%D0%BE%D0%B0%D0%BB%D1%8C%D0%BC%D0%B0%D0%BD%D0%B0%D1%85%29%20%281981%2C%201983%29%201981%20%D1%84%D0%B8%D0%BB%D1%8C%D0%BC","искать")</f>
        <v/>
      </c>
      <c r="N1383" s="3" t="n"/>
      <c r="O1383" s="2" t="n"/>
    </row>
    <row r="1384">
      <c r="A1384" s="2" t="n">
        <v>1383</v>
      </c>
      <c r="B1384" s="2" t="inlineStr">
        <is>
          <t>не сюжет</t>
        </is>
      </c>
      <c r="C1384" s="2" t="n">
        <v>10039</v>
      </c>
      <c r="D1384" s="3" t="inlineStr">
        <is>
          <t>Круг</t>
        </is>
      </c>
      <c r="E1384" s="2" t="n">
        <v>1989</v>
      </c>
      <c r="F1384" s="2" t="inlineStr">
        <is>
          <t>кинофильм</t>
        </is>
      </c>
      <c r="G1384" s="2" t="inlineStr">
        <is>
          <t>Азербайджанфильм</t>
        </is>
      </c>
      <c r="H1384" s="2" t="n">
        <v>166</v>
      </c>
      <c r="I1384" s="2" t="inlineStr"/>
      <c r="J1384" s="2" t="inlineStr">
        <is>
          <t>да</t>
        </is>
      </c>
      <c r="K1384" s="3" t="inlineStr">
        <is>
          <t>Курсовая работа режиссера Зии Шихлинского (мастерская Александра Митты).
Фильм рассказывает о воздействии на одну семью политических событий 1989 года в Азербайджане.</t>
        </is>
      </c>
      <c r="L1384" s="2" t="inlineStr">
        <is>
          <t>https://www.kino-teatr.ru/short/movie/sov/85402/annot/</t>
        </is>
      </c>
      <c r="M1384" s="2">
        <f>HYPERLINK("https://ru.wikipedia.org/w/index.php?search=%D0%9A%D1%80%D1%83%D0%B3%201989%20%D1%84%D0%B8%D0%BB%D1%8C%D0%BC","искать")</f>
        <v/>
      </c>
      <c r="N1384" s="3" t="n"/>
      <c r="O1384" s="2" t="n"/>
    </row>
    <row r="1385">
      <c r="A1385" s="2" t="n">
        <v>1384</v>
      </c>
      <c r="B1385" s="2" t="inlineStr">
        <is>
          <t>не сюжет</t>
        </is>
      </c>
      <c r="C1385" s="2" t="n">
        <v>9036</v>
      </c>
      <c r="D1385" s="3" t="inlineStr">
        <is>
          <t>Сельские финансисты</t>
        </is>
      </c>
      <c r="E1385" s="2" t="n">
        <v>1990</v>
      </c>
      <c r="F1385" s="2" t="inlineStr">
        <is>
          <t>кинофильм</t>
        </is>
      </c>
      <c r="G1385" s="2" t="n"/>
      <c r="H1385" s="2" t="n">
        <v>167</v>
      </c>
      <c r="I1385" s="2" t="inlineStr"/>
      <c r="J1385" s="2" t="inlineStr">
        <is>
          <t>да</t>
        </is>
      </c>
      <c r="K1385" s="3" t="inlineStr">
        <is>
          <t>В рекламном фильме три новеллы: "Кто о настоящем, кто о будущем", "Кубышка" и "Коровки", объединённые слоганом - "Труженики села, Сберегательный банк к Вашим услугам!"</t>
        </is>
      </c>
      <c r="L1385" s="2" t="inlineStr">
        <is>
          <t>Кино_СССР сводный каталог.xlsx: список фильмов (доп.)</t>
        </is>
      </c>
      <c r="M1385" s="2">
        <f>HYPERLINK("https://ru.wikipedia.org/w/index.php?search=%D0%A1%D0%B5%D0%BB%D1%8C%D1%81%D0%BA%D0%B8%D0%B5%20%D1%84%D0%B8%D0%BD%D0%B0%D0%BD%D1%81%D0%B8%D1%81%D1%82%D1%8B%201990%20%D1%84%D0%B8%D0%BB%D1%8C%D0%BC","искать")</f>
        <v/>
      </c>
      <c r="N1385" s="3" t="n"/>
      <c r="O1385" s="2" t="n"/>
    </row>
    <row r="1386">
      <c r="A1386" s="2" t="n">
        <v>1385</v>
      </c>
      <c r="B1386" s="2" t="inlineStr">
        <is>
          <t>не сюжет</t>
        </is>
      </c>
      <c r="C1386" s="2" t="n">
        <v>8567</v>
      </c>
      <c r="D1386" s="3" t="inlineStr">
        <is>
          <t>Чудак</t>
        </is>
      </c>
      <c r="E1386" s="2" t="n">
        <v>1979</v>
      </c>
      <c r="F1386" s="2" t="inlineStr">
        <is>
          <t>телефильм</t>
        </is>
      </c>
      <c r="G1386" s="2" t="n"/>
      <c r="H1386" s="2" t="n">
        <v>168</v>
      </c>
      <c r="I1386" s="2" t="inlineStr"/>
      <c r="J1386" s="2" t="inlineStr">
        <is>
          <t>да</t>
        </is>
      </c>
      <c r="K1386" s="3" t="inlineStr">
        <is>
          <t>Телефильм по мотивам одноименной пьесы Назыма Хикмета. Поднимаются важные нравственные вопросы, такие, как человек, и его моральная чистота, борьба за свое достоинство.</t>
        </is>
      </c>
      <c r="L1386" s="2" t="inlineStr">
        <is>
          <t>Кино_СССР сводный каталог.xlsx: список телефильмов</t>
        </is>
      </c>
      <c r="M1386" s="2">
        <f>HYPERLINK("https://ru.wikipedia.org/w/index.php?search=%D0%A7%D1%83%D0%B4%D0%B0%D0%BA%201979%20%D1%84%D0%B8%D0%BB%D1%8C%D0%BC","искать")</f>
        <v/>
      </c>
      <c r="N1386" s="3" t="n"/>
      <c r="O1386" s="2" t="n"/>
    </row>
    <row r="1387">
      <c r="A1387" s="2" t="n">
        <v>1386</v>
      </c>
      <c r="B1387" s="2" t="inlineStr">
        <is>
          <t>не сюжет</t>
        </is>
      </c>
      <c r="C1387" s="2" t="n">
        <v>11187</v>
      </c>
      <c r="D1387" s="3" t="inlineStr">
        <is>
          <t>1945</t>
        </is>
      </c>
      <c r="E1387" s="2" t="n">
        <v>1988</v>
      </c>
      <c r="F1387" s="2" t="inlineStr">
        <is>
          <t>фильм-спектакль</t>
        </is>
      </c>
      <c r="G1387" s="2" t="inlineStr">
        <is>
          <t>Главная редакция литературно-драматических программ</t>
        </is>
      </c>
      <c r="H1387" s="2" t="n">
        <v>168</v>
      </c>
      <c r="I1387" s="2" t="inlineStr"/>
      <c r="J1387" s="2" t="inlineStr">
        <is>
          <t>да</t>
        </is>
      </c>
      <c r="K1387" s="3" t="inlineStr">
        <is>
          <t>Композиция-моноспектакль по произведениям советских поэтов и писателей, воевавших на фронтах Великой Отечественной войны, в постановке Московского театра "Современник".</t>
        </is>
      </c>
      <c r="L1387" s="2" t="inlineStr">
        <is>
          <t>https://www.kino-teatr.ru/teatr/movie/17116/annot/</t>
        </is>
      </c>
      <c r="M1387" s="2">
        <f>HYPERLINK("https://ru.wikipedia.org/w/index.php?search=1945%201988%20%D1%84%D0%B8%D0%BB%D1%8C%D0%BC","искать")</f>
        <v/>
      </c>
      <c r="N1387" s="3" t="n"/>
      <c r="O1387" s="2" t="n"/>
    </row>
    <row r="1388">
      <c r="A1388" s="2" t="n">
        <v>1387</v>
      </c>
      <c r="B1388" s="2" t="inlineStr">
        <is>
          <t>не сюжет</t>
        </is>
      </c>
      <c r="C1388" s="2" t="n">
        <v>7510</v>
      </c>
      <c r="D1388" s="3" t="inlineStr">
        <is>
          <t>Детство Тёмы</t>
        </is>
      </c>
      <c r="E1388" s="2" t="n">
        <v>1990</v>
      </c>
      <c r="F1388" s="2" t="inlineStr">
        <is>
          <t>телефильм</t>
        </is>
      </c>
      <c r="G1388" s="2" t="n"/>
      <c r="H1388" s="2" t="n">
        <v>169</v>
      </c>
      <c r="I1388" s="2" t="inlineStr"/>
      <c r="J1388" s="2" t="inlineStr">
        <is>
          <t>да</t>
        </is>
      </c>
      <c r="K1388" s="3" t="inlineStr">
        <is>
          <t>На фоне неспешного течения жизни, налаженного быта дворянской усадьбы, авторы прослеживают становление детской души. Герой фильма - гимназист первого года Тема Карташов.</t>
        </is>
      </c>
      <c r="L1388" s="2" t="inlineStr">
        <is>
          <t>Кино_СССР сводный каталог.xlsx: список телефильмов</t>
        </is>
      </c>
      <c r="M1388" s="2">
        <f>HYPERLINK("https://ru.wikipedia.org/w/index.php?search=%D0%94%D0%B5%D1%82%D1%81%D1%82%D0%B2%D0%BE%20%D0%A2%D1%91%D0%BC%D1%8B%201990%20%D1%84%D0%B8%D0%BB%D1%8C%D0%BC","искать")</f>
        <v/>
      </c>
      <c r="N1388" s="3" t="n"/>
      <c r="O1388" s="2" t="n"/>
    </row>
    <row r="1389">
      <c r="A1389" s="2" t="n">
        <v>1388</v>
      </c>
      <c r="B1389" s="2" t="inlineStr">
        <is>
          <t>не сюжет</t>
        </is>
      </c>
      <c r="C1389" s="2" t="n">
        <v>8704</v>
      </c>
      <c r="D1389" s="3" t="inlineStr">
        <is>
          <t>Дождь на радуницу</t>
        </is>
      </c>
      <c r="E1389" s="2" t="n">
        <v>1966</v>
      </c>
      <c r="F1389" s="2" t="inlineStr">
        <is>
          <t>кинофильм</t>
        </is>
      </c>
      <c r="G1389" s="2" t="n"/>
      <c r="H1389" s="2" t="n">
        <v>169</v>
      </c>
      <c r="I1389" s="2" t="inlineStr"/>
      <c r="J1389" s="2" t="inlineStr">
        <is>
          <t>да</t>
        </is>
      </c>
      <c r="K1389" s="3" t="inlineStr">
        <is>
          <t>По рассказу В.М.Шугаева. Герои фильма - молодые строители Братска, для которых тяжелый, порой героический труд является и гражданским долгом, и высоким смыслом их жизни.</t>
        </is>
      </c>
      <c r="L1389" s="2" t="inlineStr">
        <is>
          <t>Кино_СССР сводный каталог.xlsx: список фильмов (доп.)</t>
        </is>
      </c>
      <c r="M1389" s="2">
        <f>HYPERLINK("https://ru.wikipedia.org/w/index.php?search=%D0%94%D0%BE%D0%B6%D0%B4%D1%8C%20%D0%BD%D0%B0%20%D1%80%D0%B0%D0%B4%D1%83%D0%BD%D0%B8%D1%86%D1%83%201966%20%D1%84%D0%B8%D0%BB%D1%8C%D0%BC","искать")</f>
        <v/>
      </c>
      <c r="N1389" s="3" t="n"/>
      <c r="O1389" s="2" t="n"/>
    </row>
    <row r="1390">
      <c r="A1390" s="2" t="n">
        <v>1389</v>
      </c>
      <c r="B1390" s="2" t="inlineStr">
        <is>
          <t>не сюжет</t>
        </is>
      </c>
      <c r="C1390" s="2" t="n">
        <v>8993</v>
      </c>
      <c r="D1390" s="3" t="inlineStr">
        <is>
          <t>Птица</t>
        </is>
      </c>
      <c r="E1390" s="2" t="n">
        <v>1990</v>
      </c>
      <c r="F1390" s="2" t="inlineStr">
        <is>
          <t>кинофильм</t>
        </is>
      </c>
      <c r="G1390" s="2" t="n"/>
      <c r="H1390" s="2" t="n">
        <v>169</v>
      </c>
      <c r="I1390" s="2" t="inlineStr"/>
      <c r="J1390" s="2" t="inlineStr">
        <is>
          <t>да</t>
        </is>
      </c>
      <c r="K1390" s="3" t="inlineStr">
        <is>
          <t>Обесцененность человеческой индивидуальности в обществе, с которым вплотную встречается молодой человек - так коротко можно описать предлагаемый идейный контекст фильма.</t>
        </is>
      </c>
      <c r="L1390" s="2" t="inlineStr">
        <is>
          <t>Кино_СССР сводный каталог.xlsx: список фильмов (доп.)</t>
        </is>
      </c>
      <c r="M1390" s="2">
        <f>HYPERLINK("https://ru.wikipedia.org/w/index.php?search=%D0%9F%D1%82%D0%B8%D1%86%D0%B0%201990%20%D1%84%D0%B8%D0%BB%D1%8C%D0%BC","искать")</f>
        <v/>
      </c>
      <c r="N1390" s="3" t="n"/>
      <c r="O1390" s="2" t="n"/>
    </row>
    <row r="1391">
      <c r="A1391" s="2" t="n">
        <v>1390</v>
      </c>
      <c r="B1391" s="2" t="inlineStr">
        <is>
          <t>не сюжет</t>
        </is>
      </c>
      <c r="C1391" s="2" t="n">
        <v>9322</v>
      </c>
      <c r="D1391" s="3" t="inlineStr">
        <is>
          <t>Дамский портной</t>
        </is>
      </c>
      <c r="E1391" s="2" t="n">
        <v>1990</v>
      </c>
      <c r="F1391" s="2" t="inlineStr">
        <is>
          <t>кинофильм</t>
        </is>
      </c>
      <c r="G1391" s="2" t="n"/>
      <c r="H1391" s="2" t="n">
        <v>169</v>
      </c>
      <c r="I1391" s="2" t="inlineStr"/>
      <c r="J1391" s="2" t="inlineStr">
        <is>
          <t>да</t>
        </is>
      </c>
      <c r="K1391" s="3" t="inlineStr">
        <is>
          <t>По мотивам одноименной повести Александра Борщаговского. Последние день и ночь из жизни еврейской семьи из Киева, расстрелянной фашистами осенью 1941 года на Бабьем Яру.</t>
        </is>
      </c>
      <c r="L1391" s="2" t="inlineStr">
        <is>
          <t>Кино_СССР сводный каталог.xlsx: список фильмов (доп.)</t>
        </is>
      </c>
      <c r="M1391" s="2">
        <f>HYPERLINK("https://ru.wikipedia.org/w/index.php?search=%D0%94%D0%B0%D0%BC%D1%81%D0%BA%D0%B8%D0%B9%20%D0%BF%D0%BE%D1%80%D1%82%D0%BD%D0%BE%D0%B9%201990%20%D1%84%D0%B8%D0%BB%D1%8C%D0%BC","искать")</f>
        <v/>
      </c>
      <c r="N1391" s="3" t="n"/>
      <c r="O1391" s="2" t="n"/>
    </row>
    <row r="1392">
      <c r="A1392" s="2" t="n">
        <v>1391</v>
      </c>
      <c r="B1392" s="2" t="inlineStr">
        <is>
          <t>не сюжет</t>
        </is>
      </c>
      <c r="C1392" s="2" t="n">
        <v>10662</v>
      </c>
      <c r="D1392" s="3" t="inlineStr">
        <is>
          <t>Петя и волк</t>
        </is>
      </c>
      <c r="E1392" s="2" t="n">
        <v>1976</v>
      </c>
      <c r="F1392" s="2" t="inlineStr">
        <is>
          <t>фильм-спектакль</t>
        </is>
      </c>
      <c r="G1392" s="2" t="inlineStr">
        <is>
          <t>Творческое объединение "Экран"</t>
        </is>
      </c>
      <c r="H1392" s="2" t="n">
        <v>169</v>
      </c>
      <c r="I1392" s="2" t="inlineStr"/>
      <c r="J1392" s="2" t="inlineStr">
        <is>
          <t>да</t>
        </is>
      </c>
      <c r="K1392" s="3" t="inlineStr">
        <is>
          <t>Симфоническая сказка Сергея Прокофьева в исполнении Государственного академического симфонического оркестра СССР.
В фильме использованы рисунки учащихся московских школ.</t>
        </is>
      </c>
      <c r="L1392" s="2" t="inlineStr">
        <is>
          <t>https://www.kino-teatr.ru/teatr/movie/79853/annot/</t>
        </is>
      </c>
      <c r="M1392" s="2">
        <f>HYPERLINK("https://ru.wikipedia.org/w/index.php?search=%D0%9F%D0%B5%D1%82%D1%8F%20%D0%B8%20%D0%B2%D0%BE%D0%BB%D0%BA%201976%20%D1%84%D0%B8%D0%BB%D1%8C%D0%BC","искать")</f>
        <v/>
      </c>
      <c r="N1392" s="3" t="n"/>
      <c r="O1392" s="2" t="n"/>
    </row>
    <row r="1393">
      <c r="A1393" s="2" t="n">
        <v>1392</v>
      </c>
      <c r="B1393" s="2" t="inlineStr">
        <is>
          <t>не сюжет</t>
        </is>
      </c>
      <c r="C1393" s="2" t="n">
        <v>7813</v>
      </c>
      <c r="D1393" s="3" t="inlineStr">
        <is>
          <t>Личная жизнь директора</t>
        </is>
      </c>
      <c r="E1393" s="2" t="n">
        <v>1981</v>
      </c>
      <c r="F1393" s="2" t="inlineStr">
        <is>
          <t>телефильм</t>
        </is>
      </c>
      <c r="G1393" s="2" t="n"/>
      <c r="H1393" s="2" t="n">
        <v>170</v>
      </c>
      <c r="I1393" s="2" t="inlineStr"/>
      <c r="J1393" s="2" t="inlineStr">
        <is>
          <t>да</t>
        </is>
      </c>
      <c r="K1393" s="3" t="inlineStr">
        <is>
          <t>По мотивам одноименного романа В.Гейдеко. Герой телефильма - директор крупного комбината, остро ощущающий личную ответственность перед обществом за все, к чему причастен.</t>
        </is>
      </c>
      <c r="L1393" s="2" t="inlineStr">
        <is>
          <t>Кино_СССР сводный каталог.xlsx: список телефильмов</t>
        </is>
      </c>
      <c r="M1393" s="2">
        <f>HYPERLINK("https://ru.wikipedia.org/w/index.php?search=%D0%9B%D0%B8%D1%87%D0%BD%D0%B0%D1%8F%20%D0%B6%D0%B8%D0%B7%D0%BD%D1%8C%20%D0%B4%D0%B8%D1%80%D0%B5%D0%BA%D1%82%D0%BE%D1%80%D0%B0%201981%20%D1%84%D0%B8%D0%BB%D1%8C%D0%BC","искать")</f>
        <v/>
      </c>
      <c r="N1393" s="3" t="n"/>
      <c r="O1393" s="2" t="n"/>
    </row>
    <row r="1394">
      <c r="A1394" s="2" t="n">
        <v>1393</v>
      </c>
      <c r="B1394" s="2" t="inlineStr">
        <is>
          <t>не сюжет</t>
        </is>
      </c>
      <c r="C1394" s="2" t="n">
        <v>8950</v>
      </c>
      <c r="D1394" s="3" t="inlineStr">
        <is>
          <t>Поклонись наступившему дню</t>
        </is>
      </c>
      <c r="E1394" s="2" t="n">
        <v>1977</v>
      </c>
      <c r="F1394" s="2" t="inlineStr">
        <is>
          <t>кинофильм</t>
        </is>
      </c>
      <c r="G1394" s="2" t="n"/>
      <c r="H1394" s="2" t="n">
        <v>170</v>
      </c>
      <c r="I1394" s="2" t="inlineStr"/>
      <c r="J1394" s="2" t="inlineStr">
        <is>
          <t>да</t>
        </is>
      </c>
      <c r="K1394" s="3" t="inlineStr">
        <is>
          <t>Խոնարհվիր վաղվա օրվան Фильм повествует о взаимоотношениях старшего и младшего поколений, о традициях, благодаря которым наступающий день оказывается достойным прошедшего.</t>
        </is>
      </c>
      <c r="L1394" s="2" t="inlineStr">
        <is>
          <t>Кино_СССР сводный каталог.xlsx: список фильмов (доп.)</t>
        </is>
      </c>
      <c r="M1394" s="2">
        <f>HYPERLINK("https://ru.wikipedia.org/w/index.php?search=%D0%9F%D0%BE%D0%BA%D0%BB%D0%BE%D0%BD%D0%B8%D1%81%D1%8C%20%D0%BD%D0%B0%D1%81%D1%82%D1%83%D0%BF%D0%B8%D0%B2%D1%88%D0%B5%D0%BC%D1%83%20%D0%B4%D0%BD%D1%8E%201977%20%D1%84%D0%B8%D0%BB%D1%8C%D0%BC","искать")</f>
        <v/>
      </c>
      <c r="N1394" s="3" t="n"/>
      <c r="O1394" s="2" t="n"/>
    </row>
    <row r="1395">
      <c r="A1395" s="2" t="n">
        <v>1394</v>
      </c>
      <c r="B1395" s="2" t="inlineStr">
        <is>
          <t>не сюжет</t>
        </is>
      </c>
      <c r="C1395" s="2" t="n">
        <v>10435</v>
      </c>
      <c r="D1395" s="3" t="inlineStr">
        <is>
          <t>Волшебник из Шираза</t>
        </is>
      </c>
      <c r="E1395" s="2" t="n">
        <v>1972</v>
      </c>
      <c r="F1395" s="2" t="inlineStr">
        <is>
          <t>фильм-спектакль</t>
        </is>
      </c>
      <c r="G1395" s="2" t="inlineStr">
        <is>
          <t>Центральное телевидение</t>
        </is>
      </c>
      <c r="H1395" s="2" t="n">
        <v>170</v>
      </c>
      <c r="I1395" s="2" t="inlineStr"/>
      <c r="J1395" s="2" t="inlineStr">
        <is>
          <t>да</t>
        </is>
      </c>
      <c r="K1395" s="3" t="inlineStr">
        <is>
          <t>Литературная композиция по произведениям персидского поэта XIV века Шамседдина Хафиза в исполнении артиста Московского драматического театра на Таганке Вениамина Смехова.</t>
        </is>
      </c>
      <c r="L1395" s="2" t="inlineStr">
        <is>
          <t>https://www.kino-teatr.ru/teatr/movie/101525/annot/</t>
        </is>
      </c>
      <c r="M1395" s="2">
        <f>HYPERLINK("https://ru.wikipedia.org/w/index.php?search=%D0%92%D0%BE%D0%BB%D1%88%D0%B5%D0%B1%D0%BD%D0%B8%D0%BA%20%D0%B8%D0%B7%20%D0%A8%D0%B8%D1%80%D0%B0%D0%B7%D0%B0%201972%20%D1%84%D0%B8%D0%BB%D1%8C%D0%BC","искать")</f>
        <v/>
      </c>
      <c r="N1395" s="3" t="n"/>
      <c r="O1395" s="2" t="n"/>
    </row>
    <row r="1396">
      <c r="A1396" s="2" t="n">
        <v>1395</v>
      </c>
      <c r="B1396" s="2" t="inlineStr">
        <is>
          <t>не сюжет</t>
        </is>
      </c>
      <c r="C1396" s="2" t="n">
        <v>11231</v>
      </c>
      <c r="D1396" s="3" t="inlineStr">
        <is>
          <t>У войны не женское лицо</t>
        </is>
      </c>
      <c r="E1396" s="2" t="n">
        <v>1988</v>
      </c>
      <c r="F1396" s="2" t="inlineStr">
        <is>
          <t>фильм-спектакль</t>
        </is>
      </c>
      <c r="G1396" s="2" t="inlineStr">
        <is>
          <t>Главная редакция литературно-драматических программ ЦТ</t>
        </is>
      </c>
      <c r="H1396" s="2" t="n">
        <v>170</v>
      </c>
      <c r="I1396" s="2" t="inlineStr"/>
      <c r="J1396" s="2" t="inlineStr">
        <is>
          <t>да</t>
        </is>
      </c>
      <c r="K1396" s="3" t="inlineStr">
        <is>
          <t>Телеверсия спектакля Омского театра драмы по одноименной книге белорусской писательницы Светланы Алексиевич о судьбах пяти девушек, прошедших Великую Отечественную войну.</t>
        </is>
      </c>
      <c r="L1396" s="2" t="inlineStr">
        <is>
          <t>https://www.kino-teatr.ru/teatr/movie/81973/annot/</t>
        </is>
      </c>
      <c r="M1396" s="2">
        <f>HYPERLINK("https://ru.wikipedia.org/w/index.php?search=%D0%A3%20%D0%B2%D0%BE%D0%B9%D0%BD%D1%8B%20%D0%BD%D0%B5%20%D0%B6%D0%B5%D0%BD%D1%81%D0%BA%D0%BE%D0%B5%20%D0%BB%D0%B8%D1%86%D0%BE%201988%20%D1%84%D0%B8%D0%BB%D1%8C%D0%BC","искать")</f>
        <v/>
      </c>
      <c r="N1396" s="3" t="n"/>
      <c r="O1396" s="2" t="n"/>
    </row>
    <row r="1397">
      <c r="A1397" s="2" t="n">
        <v>1396</v>
      </c>
      <c r="B1397" s="2" t="inlineStr">
        <is>
          <t>не сюжет</t>
        </is>
      </c>
      <c r="C1397" s="2" t="n">
        <v>11345</v>
      </c>
      <c r="D1397" s="3" t="inlineStr">
        <is>
          <t>Скандальное происшествие</t>
        </is>
      </c>
      <c r="E1397" s="2" t="n">
        <v>1991</v>
      </c>
      <c r="F1397" s="2" t="inlineStr">
        <is>
          <t>фильм-спектакль</t>
        </is>
      </c>
      <c r="G1397" s="2" t="inlineStr">
        <is>
          <t>Лира (Ленинградское ТВ)</t>
        </is>
      </c>
      <c r="H1397" s="2" t="n">
        <v>170</v>
      </c>
      <c r="I1397" s="2" t="inlineStr"/>
      <c r="J1397" s="2" t="inlineStr">
        <is>
          <t>да</t>
        </is>
      </c>
      <c r="K1397" s="3" t="inlineStr">
        <is>
          <t>Телеспектакль. По радиопьесе Ф. Дюрренматта, произведениям Б. Брехта и Э. Хэмингуэя.
В основе телеспектакля — радиопьеса Ф. Дюрренматта «Страницкий и Национальный герой».</t>
        </is>
      </c>
      <c r="L1397" s="2" t="inlineStr">
        <is>
          <t>https://www.kino-teatr.ru/teatr/movie/8295/annot/</t>
        </is>
      </c>
      <c r="M1397" s="2">
        <f>HYPERLINK("https://ru.wikipedia.org/w/index.php?search=%D0%A1%D0%BA%D0%B0%D0%BD%D0%B4%D0%B0%D0%BB%D1%8C%D0%BD%D0%BE%D0%B5%20%D0%BF%D1%80%D0%BE%D0%B8%D1%81%D1%88%D0%B5%D1%81%D1%82%D0%B2%D0%B8%D0%B5%201991%20%D1%84%D0%B8%D0%BB%D1%8C%D0%BC","искать")</f>
        <v/>
      </c>
      <c r="N1397" s="3" t="n"/>
      <c r="O1397" s="2" t="n"/>
    </row>
    <row r="1398">
      <c r="A1398" s="2" t="n">
        <v>1397</v>
      </c>
      <c r="B1398" s="2" t="inlineStr">
        <is>
          <t>не сюжет</t>
        </is>
      </c>
      <c r="C1398" s="2" t="n">
        <v>7319</v>
      </c>
      <c r="D1398" s="3" t="inlineStr">
        <is>
          <t>Вера, Надежда, Любовь</t>
        </is>
      </c>
      <c r="E1398" s="2" t="n">
        <v>1972</v>
      </c>
      <c r="F1398" s="2" t="inlineStr">
        <is>
          <t>телефильм</t>
        </is>
      </c>
      <c r="G1398" s="2" t="inlineStr">
        <is>
          <t>к/с им. Довженко</t>
        </is>
      </c>
      <c r="H1398" s="2" t="n">
        <v>171</v>
      </c>
      <c r="I1398" s="2" t="inlineStr"/>
      <c r="J1398" s="2" t="inlineStr">
        <is>
          <t>да</t>
        </is>
      </c>
      <c r="K1398" s="3" t="inlineStr">
        <is>
          <t>Телевизионный фильм. О жизни трех поколений потомственных ткачих Московской фабрики «Трехгорная мануфактура». Картина состоит из трех фильмов: «Вера», «Надежда», «Любовь».</t>
        </is>
      </c>
      <c r="L1398" s="2" t="inlineStr">
        <is>
          <t>Кино_СССР сводный каталог.xlsx: список телефильмов</t>
        </is>
      </c>
      <c r="M1398" s="2">
        <f>HYPERLINK("https://ru.wikipedia.org/w/index.php?search=%D0%92%D0%B5%D1%80%D0%B0%2C%20%D0%9D%D0%B0%D0%B4%D0%B5%D0%B6%D0%B4%D0%B0%2C%20%D0%9B%D1%8E%D0%B1%D0%BE%D0%B2%D1%8C%201972%20%D1%84%D0%B8%D0%BB%D1%8C%D0%BC","искать")</f>
        <v/>
      </c>
      <c r="N1398" s="3" t="n"/>
      <c r="O1398" s="2" t="n"/>
    </row>
    <row r="1399">
      <c r="A1399" s="2" t="n">
        <v>1398</v>
      </c>
      <c r="B1399" s="2" t="inlineStr">
        <is>
          <t>не сюжет</t>
        </is>
      </c>
      <c r="C1399" s="2" t="n">
        <v>7483</v>
      </c>
      <c r="D1399" s="3" t="inlineStr">
        <is>
          <t>Дверь, открытая для тебя</t>
        </is>
      </c>
      <c r="E1399" s="2" t="n">
        <v>1984</v>
      </c>
      <c r="F1399" s="2" t="inlineStr">
        <is>
          <t>телефильм</t>
        </is>
      </c>
      <c r="G1399" s="2" t="n"/>
      <c r="H1399" s="2" t="n">
        <v>171</v>
      </c>
      <c r="I1399" s="2" t="inlineStr"/>
      <c r="J1399" s="2" t="inlineStr">
        <is>
          <t>да</t>
        </is>
      </c>
      <c r="K1399" s="3" t="inlineStr">
        <is>
          <t>Об одном из современных колхозов Советской Латвии. Красной нитью проходит через фильм тема потомственности и ответственности людей перед землей, перед будущим родных мест.</t>
        </is>
      </c>
      <c r="L1399" s="2" t="inlineStr">
        <is>
          <t>Кино_СССР сводный каталог.xlsx: список телефильмов</t>
        </is>
      </c>
      <c r="M1399" s="2">
        <f>HYPERLINK("https://ru.wikipedia.org/w/index.php?search=%D0%94%D0%B2%D0%B5%D1%80%D1%8C%2C%20%D0%BE%D1%82%D0%BA%D1%80%D1%8B%D1%82%D0%B0%D1%8F%20%D0%B4%D0%BB%D1%8F%20%D1%82%D0%B5%D0%B1%D1%8F%201984%20%D1%84%D0%B8%D0%BB%D1%8C%D0%BC","искать")</f>
        <v/>
      </c>
      <c r="N1399" s="3" t="n"/>
      <c r="O1399" s="2" t="n"/>
    </row>
    <row r="1400">
      <c r="A1400" s="2" t="n">
        <v>1399</v>
      </c>
      <c r="B1400" s="2" t="inlineStr">
        <is>
          <t>не сюжет</t>
        </is>
      </c>
      <c r="C1400" s="2" t="n">
        <v>7663</v>
      </c>
      <c r="D1400" s="3" t="inlineStr">
        <is>
          <t>И придет день...</t>
        </is>
      </c>
      <c r="E1400" s="2" t="n">
        <v>1979</v>
      </c>
      <c r="F1400" s="2" t="inlineStr">
        <is>
          <t>телефильм</t>
        </is>
      </c>
      <c r="G1400" s="2" t="n"/>
      <c r="H1400" s="2" t="n">
        <v>171</v>
      </c>
      <c r="I1400" s="2" t="inlineStr"/>
      <c r="J1400" s="2" t="inlineStr">
        <is>
          <t>да</t>
        </is>
      </c>
      <c r="K1400" s="3" t="inlineStr">
        <is>
          <t>Герой телефильма - председатель Совета колхозов одного из районов Молдавии - дальновидный руководитель, решающий важные проблемы, связанные с агропромышленной интеграцией.</t>
        </is>
      </c>
      <c r="L1400" s="2" t="inlineStr">
        <is>
          <t>Кино_СССР сводный каталог.xlsx: список телефильмов</t>
        </is>
      </c>
      <c r="M1400" s="2">
        <f>HYPERLINK("https://ru.wikipedia.org/w/index.php?search=%D0%98%20%D0%BF%D1%80%D0%B8%D0%B4%D0%B5%D1%82%20%D0%B4%D0%B5%D0%BD%D1%8C...%201979%20%D1%84%D0%B8%D0%BB%D1%8C%D0%BC","искать")</f>
        <v/>
      </c>
      <c r="N1400" s="3" t="n"/>
      <c r="O1400" s="2" t="n"/>
    </row>
    <row r="1401">
      <c r="A1401" s="2" t="n">
        <v>1400</v>
      </c>
      <c r="B1401" s="2" t="inlineStr">
        <is>
          <t>не сюжет</t>
        </is>
      </c>
      <c r="C1401" s="2" t="n">
        <v>8513</v>
      </c>
      <c r="D1401" s="3" t="inlineStr">
        <is>
          <t>Фирангиз</t>
        </is>
      </c>
      <c r="E1401" s="2" t="n">
        <v>1975</v>
      </c>
      <c r="F1401" s="2" t="inlineStr">
        <is>
          <t>телефильм</t>
        </is>
      </c>
      <c r="G1401" s="2" t="n"/>
      <c r="H1401" s="2" t="n">
        <v>171</v>
      </c>
      <c r="I1401" s="2" t="inlineStr"/>
      <c r="J1401" s="2" t="inlineStr">
        <is>
          <t>да</t>
        </is>
      </c>
      <c r="K1401" s="3" t="inlineStr">
        <is>
          <t>Телефильм по мотивам повести Байрам Байрамова "Прохлада". Повествует об отношении женщины, находящейся на ответственной должности к своей семье и взаимоотношении с людьми.</t>
        </is>
      </c>
      <c r="L1401" s="2" t="inlineStr">
        <is>
          <t>Кино_СССР сводный каталог.xlsx: список телефильмов</t>
        </is>
      </c>
      <c r="M1401" s="2">
        <f>HYPERLINK("https://ru.wikipedia.org/w/index.php?search=%D0%A4%D0%B8%D1%80%D0%B0%D0%BD%D0%B3%D0%B8%D0%B7%201975%20%D1%84%D0%B8%D0%BB%D1%8C%D0%BC","искать")</f>
        <v/>
      </c>
      <c r="N1401" s="3" t="n"/>
      <c r="O1401" s="2" t="n"/>
    </row>
    <row r="1402">
      <c r="A1402" s="2" t="n">
        <v>1401</v>
      </c>
      <c r="B1402" s="2" t="inlineStr">
        <is>
          <t>не сюжет</t>
        </is>
      </c>
      <c r="C1402" s="2" t="n">
        <v>10797</v>
      </c>
      <c r="D1402" s="3" t="inlineStr">
        <is>
          <t>Горное гнездо</t>
        </is>
      </c>
      <c r="E1402" s="2" t="n">
        <v>1979</v>
      </c>
      <c r="F1402" s="2" t="inlineStr">
        <is>
          <t>фильм-спектакль</t>
        </is>
      </c>
      <c r="G1402" s="2" t="inlineStr">
        <is>
          <t>Главная редакция литературно-драматических программ ЦТ</t>
        </is>
      </c>
      <c r="H1402" s="2" t="n">
        <v>171</v>
      </c>
      <c r="I1402" s="2" t="inlineStr"/>
      <c r="J1402" s="2" t="inlineStr">
        <is>
          <t>да</t>
        </is>
      </c>
      <c r="K1402" s="3" t="inlineStr">
        <is>
          <t>По мотивам одноименного романа Д.Мамина-Сибиряка в постановке Московского театра имени М.Н.Ермоловой.
Действие происходит в конце XIX века на одном из горнорудных заводов.</t>
        </is>
      </c>
      <c r="L1402" s="2" t="inlineStr">
        <is>
          <t>https://www.kino-teatr.ru/teatr/movie/1446/annot/</t>
        </is>
      </c>
      <c r="M1402" s="2">
        <f>HYPERLINK("https://ru.wikipedia.org/w/index.php?search=%D0%93%D0%BE%D1%80%D0%BD%D0%BE%D0%B5%20%D0%B3%D0%BD%D0%B5%D0%B7%D0%B4%D0%BE%201979%20%D1%84%D0%B8%D0%BB%D1%8C%D0%BC","искать")</f>
        <v/>
      </c>
      <c r="N1402" s="3" t="n"/>
      <c r="O1402" s="2" t="n"/>
    </row>
    <row r="1403">
      <c r="A1403" s="2" t="n">
        <v>1402</v>
      </c>
      <c r="B1403" s="2" t="inlineStr">
        <is>
          <t>не сюжет</t>
        </is>
      </c>
      <c r="C1403" s="2" t="n">
        <v>7608</v>
      </c>
      <c r="D1403" s="3" t="inlineStr">
        <is>
          <t>Жменяки</t>
        </is>
      </c>
      <c r="E1403" s="2" t="n">
        <v>1987</v>
      </c>
      <c r="F1403" s="2" t="inlineStr">
        <is>
          <t>телефильм</t>
        </is>
      </c>
      <c r="G1403" s="2" t="inlineStr">
        <is>
          <t>Укртелефильм</t>
        </is>
      </c>
      <c r="H1403" s="2" t="n">
        <v>172</v>
      </c>
      <c r="I1403" s="2" t="inlineStr"/>
      <c r="J1403" s="2" t="inlineStr">
        <is>
          <t>да</t>
        </is>
      </c>
      <c r="K1403" s="3" t="inlineStr">
        <is>
          <t>По одноименной трилогии Михаила Томчания, в которой рассказывается о жизни представителей разных поколений семьи Жменяков из закарпатского села в бурные 30-40 годы XX века.</t>
        </is>
      </c>
      <c r="L1403" s="2" t="inlineStr">
        <is>
          <t>Кино_СССР сводный каталог.xlsx: список телефильмов</t>
        </is>
      </c>
      <c r="M1403" s="2">
        <f>HYPERLINK("https://ru.wikipedia.org/w/index.php?search=%D0%96%D0%BC%D0%B5%D0%BD%D1%8F%D0%BA%D0%B8%201987%20%D1%84%D0%B8%D0%BB%D1%8C%D0%BC","искать")</f>
        <v/>
      </c>
      <c r="N1403" s="3" t="n"/>
      <c r="O1403" s="2" t="n"/>
    </row>
    <row r="1404">
      <c r="A1404" s="2" t="n">
        <v>1403</v>
      </c>
      <c r="B1404" s="2" t="inlineStr">
        <is>
          <t>не сюжет</t>
        </is>
      </c>
      <c r="C1404" s="2" t="n">
        <v>7714</v>
      </c>
      <c r="D1404" s="3" t="inlineStr">
        <is>
          <t>Капли дождя</t>
        </is>
      </c>
      <c r="E1404" s="2" t="n">
        <v>1981</v>
      </c>
      <c r="F1404" s="2" t="inlineStr">
        <is>
          <t>телефильм</t>
        </is>
      </c>
      <c r="G1404" s="2" t="n"/>
      <c r="H1404" s="2" t="n">
        <v>172</v>
      </c>
      <c r="I1404" s="2" t="inlineStr"/>
      <c r="J1404" s="2" t="inlineStr">
        <is>
          <t>да</t>
        </is>
      </c>
      <c r="K1404" s="3" t="inlineStr">
        <is>
          <t>Фильм поставлен по мотивам одноименного романа П.Куусберга и рассказывает о судьбах  бывших одноклассников, гимназистов, в годы Второй мировой войны и в послевоенное время.</t>
        </is>
      </c>
      <c r="L1404" s="2" t="inlineStr">
        <is>
          <t>Кино_СССР сводный каталог.xlsx: список телефильмов</t>
        </is>
      </c>
      <c r="M1404" s="2">
        <f>HYPERLINK("https://ru.wikipedia.org/w/index.php?search=%D0%9A%D0%B0%D0%BF%D0%BB%D0%B8%20%D0%B4%D0%BE%D0%B6%D0%B4%D1%8F%201981%20%D1%84%D0%B8%D0%BB%D1%8C%D0%BC","искать")</f>
        <v/>
      </c>
      <c r="N1404" s="3" t="n"/>
      <c r="O1404" s="2" t="n"/>
    </row>
    <row r="1405">
      <c r="A1405" s="2" t="n">
        <v>1404</v>
      </c>
      <c r="B1405" s="2" t="inlineStr">
        <is>
          <t>не сюжет</t>
        </is>
      </c>
      <c r="C1405" s="2" t="n">
        <v>9526</v>
      </c>
      <c r="D1405" s="3" t="inlineStr">
        <is>
          <t>Оно</t>
        </is>
      </c>
      <c r="E1405" s="2" t="n">
        <v>1989</v>
      </c>
      <c r="F1405" s="2" t="inlineStr">
        <is>
          <t>кинофильм</t>
        </is>
      </c>
      <c r="G1405" s="2" t="n"/>
      <c r="H1405" s="2" t="n">
        <v>173</v>
      </c>
      <c r="I1405" s="2" t="inlineStr"/>
      <c r="J1405" s="2" t="inlineStr">
        <is>
          <t>да</t>
        </is>
      </c>
      <c r="K1405" s="3" t="inlineStr">
        <is>
          <t>Бюрократический эпос по диалогам и сюжетам М.Е.Салтыкова-Щедрина, житие города Глупова во главе с самодурами - градоначальниками. Музыка к фильму написана Сергеем Курехиным.</t>
        </is>
      </c>
      <c r="L1405" s="2" t="inlineStr">
        <is>
          <t>Кино_СССР сводный каталог.xlsx: список фильмов (доп.)</t>
        </is>
      </c>
      <c r="M1405" s="2">
        <f>HYPERLINK("https://ru.wikipedia.org/w/index.php?search=%D0%9E%D0%BD%D0%BE%201989%20%D1%84%D0%B8%D0%BB%D1%8C%D0%BC","искать")</f>
        <v/>
      </c>
      <c r="N1405" s="3" t="n"/>
      <c r="O1405" s="2" t="n"/>
    </row>
    <row r="1406">
      <c r="A1406" s="2" t="n">
        <v>1405</v>
      </c>
      <c r="B1406" s="2" t="inlineStr">
        <is>
          <t>не сюжет</t>
        </is>
      </c>
      <c r="C1406" s="2" t="n">
        <v>8691</v>
      </c>
      <c r="D1406" s="3" t="inlineStr">
        <is>
          <t>Дальнее плавание</t>
        </is>
      </c>
      <c r="E1406" s="2" t="n">
        <v>1941</v>
      </c>
      <c r="F1406" s="2" t="inlineStr">
        <is>
          <t>кинофильм</t>
        </is>
      </c>
      <c r="G1406" s="2" t="n"/>
      <c r="H1406" s="2" t="n">
        <v>174</v>
      </c>
      <c r="I1406" s="2" t="inlineStr"/>
      <c r="J1406" s="2" t="inlineStr">
        <is>
          <t>да</t>
        </is>
      </c>
      <c r="K1406" s="3" t="inlineStr">
        <is>
          <t>По роману "Буря" Всеволода Воеводина и Евгения Рысса. О становлении молодого человека, о тружениках моря, о смелых и честных людях, для которых интересы Родины превыше всего.</t>
        </is>
      </c>
      <c r="L1406" s="2" t="inlineStr">
        <is>
          <t>Кино_СССР сводный каталог.xlsx: список фильмов (доп.)</t>
        </is>
      </c>
      <c r="M1406" s="2">
        <f>HYPERLINK("https://ru.wikipedia.org/w/index.php?search=%D0%94%D0%B0%D0%BB%D1%8C%D0%BD%D0%B5%D0%B5%20%D0%BF%D0%BB%D0%B0%D0%B2%D0%B0%D0%BD%D0%B8%D0%B5%201941%20%D1%84%D0%B8%D0%BB%D1%8C%D0%BC","искать")</f>
        <v/>
      </c>
      <c r="N1406" s="3" t="n"/>
      <c r="O1406" s="2" t="n"/>
    </row>
    <row r="1407">
      <c r="A1407" s="2" t="n">
        <v>1406</v>
      </c>
      <c r="B1407" s="2" t="inlineStr">
        <is>
          <t>не сюжет</t>
        </is>
      </c>
      <c r="C1407" s="2" t="n">
        <v>10261</v>
      </c>
      <c r="D1407" s="3" t="inlineStr">
        <is>
          <t>Огоньки</t>
        </is>
      </c>
      <c r="E1407" s="2" t="n">
        <v>1968</v>
      </c>
      <c r="F1407" s="2" t="inlineStr">
        <is>
          <t>фильм-спектакль</t>
        </is>
      </c>
      <c r="G1407" s="2" t="inlineStr">
        <is>
          <t>Центральное телевидение</t>
        </is>
      </c>
      <c r="H1407" s="2" t="n">
        <v>174</v>
      </c>
      <c r="I1407" s="2" t="inlineStr"/>
      <c r="J1407" s="2" t="inlineStr">
        <is>
          <t>да</t>
        </is>
      </c>
      <c r="K1407" s="3" t="inlineStr">
        <is>
          <t>Телеспектакль по мотивам оперетты Георгия Васильевича Свиридова "Огоньки" (либретто Л.Трауберга).
О революционной борьбе рабочих Нарвской заставы Петербурга весной 1903 года.</t>
        </is>
      </c>
      <c r="L1407" s="2" t="inlineStr">
        <is>
          <t>https://www.kino-teatr.ru/teatr/movie/104929/annot/</t>
        </is>
      </c>
      <c r="M1407" s="2">
        <f>HYPERLINK("https://ru.wikipedia.org/w/index.php?search=%D0%9E%D0%B3%D0%BE%D0%BD%D1%8C%D0%BA%D0%B8%201968%20%D1%84%D0%B8%D0%BB%D1%8C%D0%BC","искать")</f>
        <v/>
      </c>
      <c r="N1407" s="3" t="n"/>
      <c r="O1407" s="2" t="n"/>
    </row>
    <row r="1408">
      <c r="A1408" s="2" t="n">
        <v>1407</v>
      </c>
      <c r="B1408" s="2" t="inlineStr">
        <is>
          <t>не сюжет</t>
        </is>
      </c>
      <c r="C1408" s="2" t="n">
        <v>7732</v>
      </c>
      <c r="D1408" s="3" t="inlineStr">
        <is>
          <t>Клятвенная запись</t>
        </is>
      </c>
      <c r="E1408" s="2" t="n">
        <v>1983</v>
      </c>
      <c r="F1408" s="2" t="inlineStr">
        <is>
          <t>телефильм</t>
        </is>
      </c>
      <c r="G1408" s="2" t="n"/>
      <c r="H1408" s="2" t="n">
        <v>175</v>
      </c>
      <c r="I1408" s="2" t="inlineStr"/>
      <c r="J1408" s="2" t="inlineStr">
        <is>
          <t>да</t>
        </is>
      </c>
      <c r="K1408" s="3" t="inlineStr">
        <is>
          <t>წიგნი ფიცისა О трагических событиях в истории Грузии (XVI-XVIII вв), завершившихся заключением в 1783 году Георгиевского трактата о переходе Грузии под покровительство России.</t>
        </is>
      </c>
      <c r="L1408" s="2" t="inlineStr">
        <is>
          <t>Кино_СССР сводный каталог.xlsx: список телефильмов</t>
        </is>
      </c>
      <c r="M1408" s="2">
        <f>HYPERLINK("https://ru.wikipedia.org/w/index.php?search=%D0%9A%D0%BB%D1%8F%D1%82%D0%B2%D0%B5%D0%BD%D0%BD%D0%B0%D1%8F%20%D0%B7%D0%B0%D0%BF%D0%B8%D1%81%D1%8C%201983%20%D1%84%D0%B8%D0%BB%D1%8C%D0%BC","искать")</f>
        <v/>
      </c>
      <c r="N1408" s="3" t="n"/>
      <c r="O1408" s="2" t="n"/>
    </row>
    <row r="1409">
      <c r="A1409" s="2" t="n">
        <v>1408</v>
      </c>
      <c r="B1409" s="2" t="inlineStr">
        <is>
          <t>не сюжет</t>
        </is>
      </c>
      <c r="C1409" s="2" t="n">
        <v>7766</v>
      </c>
      <c r="D1409" s="3" t="inlineStr">
        <is>
          <t>Красное поле</t>
        </is>
      </c>
      <c r="E1409" s="2" t="n">
        <v>1980</v>
      </c>
      <c r="F1409" s="2" t="inlineStr">
        <is>
          <t>телефильм</t>
        </is>
      </c>
      <c r="G1409" s="2" t="n"/>
      <c r="H1409" s="2" t="n">
        <v>175</v>
      </c>
      <c r="I1409" s="2" t="inlineStr"/>
      <c r="J1409" s="2" t="inlineStr">
        <is>
          <t>да</t>
        </is>
      </c>
      <c r="K1409" s="3" t="inlineStr">
        <is>
          <t>Телефильм об академике Степане Тимофеевиче Таланове, ученом-селекционере, чья жизнь непосредственно связана с коллективизацией, Великой Отечественной войной, освоением целины.</t>
        </is>
      </c>
      <c r="L1409" s="2" t="inlineStr">
        <is>
          <t>Кино_СССР сводный каталог.xlsx: список телефильмов</t>
        </is>
      </c>
      <c r="M1409" s="2">
        <f>HYPERLINK("https://ru.wikipedia.org/w/index.php?search=%D0%9A%D1%80%D0%B0%D1%81%D0%BD%D0%BE%D0%B5%20%D0%BF%D0%BE%D0%BB%D0%B5%201980%20%D1%84%D0%B8%D0%BB%D1%8C%D0%BC","искать")</f>
        <v/>
      </c>
      <c r="N1409" s="3" t="n"/>
      <c r="O1409" s="2" t="n"/>
    </row>
    <row r="1410">
      <c r="A1410" s="2" t="n">
        <v>1409</v>
      </c>
      <c r="B1410" s="2" t="inlineStr">
        <is>
          <t>не сюжет</t>
        </is>
      </c>
      <c r="C1410" s="2" t="n">
        <v>7767</v>
      </c>
      <c r="D1410" s="3" t="inlineStr">
        <is>
          <t>Красное, синее, зелёное</t>
        </is>
      </c>
      <c r="E1410" s="2" t="n">
        <v>1966</v>
      </c>
      <c r="F1410" s="2" t="inlineStr">
        <is>
          <t>телефильм</t>
        </is>
      </c>
      <c r="G1410" s="2" t="n"/>
      <c r="H1410" s="2" t="n">
        <v>175</v>
      </c>
      <c r="I1410" s="2" t="inlineStr"/>
      <c r="J1410" s="2" t="inlineStr">
        <is>
          <t>да</t>
        </is>
      </c>
      <c r="K1410" s="3" t="inlineStr">
        <is>
          <t>Первый цветной телевизионный игровой фильм-ревю. Три интермедии о том, что к своей работе надо относиться с душой, и тогда окружающий мир будет расцвечен всеми цветами радуги.</t>
        </is>
      </c>
      <c r="L1410" s="2" t="inlineStr">
        <is>
          <t>Кино_СССР сводный каталог.xlsx: список телефильмов</t>
        </is>
      </c>
      <c r="M1410" s="2">
        <f>HYPERLINK("https://ru.wikipedia.org/w/index.php?search=%D0%9A%D1%80%D0%B0%D1%81%D0%BD%D0%BE%D0%B5%2C%20%D1%81%D0%B8%D0%BD%D0%B5%D0%B5%2C%20%D0%B7%D0%B5%D0%BB%D1%91%D0%BD%D0%BE%D0%B5%201966%20%D1%84%D0%B8%D0%BB%D1%8C%D0%BC","искать")</f>
        <v/>
      </c>
      <c r="N1410" s="3" t="n"/>
      <c r="O1410" s="2" t="n"/>
    </row>
    <row r="1411">
      <c r="A1411" s="2" t="n">
        <v>1410</v>
      </c>
      <c r="B1411" s="2" t="inlineStr">
        <is>
          <t>не сюжет</t>
        </is>
      </c>
      <c r="C1411" s="2" t="n">
        <v>8825</v>
      </c>
      <c r="D1411" s="3" t="inlineStr">
        <is>
          <t>Маэстро</t>
        </is>
      </c>
      <c r="E1411" s="2" t="n">
        <v>1990</v>
      </c>
      <c r="F1411" s="2" t="inlineStr">
        <is>
          <t>кинофильм</t>
        </is>
      </c>
      <c r="G1411" s="2" t="n"/>
      <c r="H1411" s="2" t="n">
        <v>175</v>
      </c>
      <c r="I1411" s="2" t="inlineStr"/>
      <c r="J1411" s="2" t="inlineStr">
        <is>
          <t>да</t>
        </is>
      </c>
      <c r="K1411" s="3" t="inlineStr">
        <is>
          <t>Фильм снят по мотивам новеллы Аншлавса Эглитиса "Маэстро". Художественный мир тридцатых годов XX века. Прообразом главного героя стал известный латвийский художник Роман Сута.</t>
        </is>
      </c>
      <c r="L1411" s="2" t="inlineStr">
        <is>
          <t>Кино_СССР сводный каталог.xlsx: список фильмов (доп.)</t>
        </is>
      </c>
      <c r="M1411" s="2">
        <f>HYPERLINK("https://ru.wikipedia.org/w/index.php?search=%D0%9C%D0%B0%D1%8D%D1%81%D1%82%D1%80%D0%BE%201990%20%D1%84%D0%B8%D0%BB%D1%8C%D0%BC","искать")</f>
        <v/>
      </c>
      <c r="N1411" s="3" t="n"/>
      <c r="O1411" s="2" t="n"/>
    </row>
    <row r="1412">
      <c r="A1412" s="2" t="n">
        <v>1411</v>
      </c>
      <c r="B1412" s="2" t="inlineStr">
        <is>
          <t>не сюжет</t>
        </is>
      </c>
      <c r="C1412" s="2" t="n">
        <v>11387</v>
      </c>
      <c r="D1412" s="3" t="inlineStr">
        <is>
          <t>Аршак II</t>
        </is>
      </c>
      <c r="E1412" s="2" t="n">
        <v>1988</v>
      </c>
      <c r="F1412" s="2" t="inlineStr">
        <is>
          <t>фильм-опера/балет</t>
        </is>
      </c>
      <c r="G1412" s="2" t="n"/>
      <c r="H1412" s="2" t="n">
        <v>175</v>
      </c>
      <c r="I1412" s="2" t="inlineStr"/>
      <c r="J1412" s="2" t="inlineStr">
        <is>
          <t>да</t>
        </is>
      </c>
      <c r="K1412" s="3" t="inlineStr">
        <is>
          <t>Экранизация оперы Тиграна Чухаджяна о борьбе армянского народа за свою свободу и независимость. Действие происходит в 346 году. Главное действующее лицо оперы - царь Аршак II.</t>
        </is>
      </c>
      <c r="L1412" s="2" t="inlineStr">
        <is>
          <t>Кино_СССР телефильмы и пропуски включить в базу.xlsx</t>
        </is>
      </c>
      <c r="M1412" s="2">
        <f>HYPERLINK("https://ru.wikipedia.org/w/index.php?search=%D0%90%D1%80%D1%88%D0%B0%D0%BA%20II%201988%20%D1%84%D0%B8%D0%BB%D1%8C%D0%BC","искать")</f>
        <v/>
      </c>
      <c r="N1412" s="3" t="n"/>
      <c r="O1412" s="2" t="n"/>
    </row>
    <row r="1413">
      <c r="A1413" s="2" t="n">
        <v>1412</v>
      </c>
      <c r="B1413" s="2" t="inlineStr">
        <is>
          <t>не сюжет</t>
        </is>
      </c>
      <c r="C1413" s="2" t="n">
        <v>8159</v>
      </c>
      <c r="D1413" s="3" t="inlineStr">
        <is>
          <t>Помолвка в Боготоле</t>
        </is>
      </c>
      <c r="E1413" s="2" t="n">
        <v>1978</v>
      </c>
      <c r="F1413" s="2" t="inlineStr">
        <is>
          <t>телефильм</t>
        </is>
      </c>
      <c r="G1413" s="2" t="n"/>
      <c r="H1413" s="2" t="n">
        <v>176</v>
      </c>
      <c r="I1413" s="2" t="inlineStr"/>
      <c r="J1413" s="2" t="inlineStr">
        <is>
          <t>да</t>
        </is>
      </c>
      <c r="K1413" s="3" t="inlineStr">
        <is>
          <t>Телефильм обращается к сложным человеческим взаимоотношениям, в которых даже искусно спрятанная фальшь не может не коснуться самих героев, приводит их к неминуемому отчуждению.</t>
        </is>
      </c>
      <c r="L1413" s="2" t="inlineStr">
        <is>
          <t>Кино_СССР сводный каталог.xlsx: список телефильмов</t>
        </is>
      </c>
      <c r="M1413" s="2">
        <f>HYPERLINK("https://ru.wikipedia.org/w/index.php?search=%D0%9F%D0%BE%D0%BC%D0%BE%D0%BB%D0%B2%D0%BA%D0%B0%20%D0%B2%20%D0%91%D0%BE%D0%B3%D0%BE%D1%82%D0%BE%D0%BB%D0%B5%201978%20%D1%84%D0%B8%D0%BB%D1%8C%D0%BC","искать")</f>
        <v/>
      </c>
      <c r="N1413" s="3" t="n"/>
      <c r="O1413" s="2" t="n"/>
    </row>
    <row r="1414">
      <c r="A1414" s="2" t="n">
        <v>1413</v>
      </c>
      <c r="B1414" s="2" t="inlineStr">
        <is>
          <t>не сюжет</t>
        </is>
      </c>
      <c r="C1414" s="2" t="n">
        <v>9782</v>
      </c>
      <c r="D1414" s="3" t="inlineStr">
        <is>
          <t>Этюды о Врубеле</t>
        </is>
      </c>
      <c r="E1414" s="2" t="n">
        <v>1989</v>
      </c>
      <c r="F1414" s="2" t="inlineStr">
        <is>
          <t>кинофильм</t>
        </is>
      </c>
      <c r="G1414" s="2" t="n"/>
      <c r="H1414" s="2" t="n">
        <v>176</v>
      </c>
      <c r="I1414" s="2" t="inlineStr"/>
      <c r="J1414" s="2" t="inlineStr">
        <is>
          <t>да</t>
        </is>
      </c>
      <c r="K1414" s="3" t="inlineStr">
        <is>
          <t>Картина посвящена творчеству художника Михаила Врубеля (1856-1910) и рассказывает о киевском периоде его жизни. В фильме использована музыка Скрябина, Рахманинова, Рубинштейна.</t>
        </is>
      </c>
      <c r="L1414" s="2" t="inlineStr">
        <is>
          <t>Кино_СССР сводный каталог.xlsx: список фильмов (доп.)</t>
        </is>
      </c>
      <c r="M1414" s="2">
        <f>HYPERLINK("https://ru.wikipedia.org/w/index.php?search=%D0%AD%D1%82%D1%8E%D0%B4%D1%8B%20%D0%BE%20%D0%92%D1%80%D1%83%D0%B1%D0%B5%D0%BB%D0%B5%201989%20%D1%84%D0%B8%D0%BB%D1%8C%D0%BC","искать")</f>
        <v/>
      </c>
      <c r="N1414" s="3" t="n"/>
      <c r="O1414" s="2" t="n"/>
    </row>
    <row r="1415">
      <c r="A1415" s="2" t="n">
        <v>1414</v>
      </c>
      <c r="B1415" s="2" t="inlineStr">
        <is>
          <t>не сюжет</t>
        </is>
      </c>
      <c r="C1415" s="2" t="n">
        <v>10195</v>
      </c>
      <c r="D1415" s="3" t="inlineStr">
        <is>
          <t>Зависть</t>
        </is>
      </c>
      <c r="E1415" s="2" t="n">
        <v>1967</v>
      </c>
      <c r="F1415" s="2" t="inlineStr">
        <is>
          <t>фильм-спектакль</t>
        </is>
      </c>
      <c r="G1415" s="2" t="inlineStr">
        <is>
          <t>Ленинградское ТВ</t>
        </is>
      </c>
      <c r="H1415" s="2" t="n">
        <v>176</v>
      </c>
      <c r="I1415" s="2" t="inlineStr"/>
      <c r="J1415" s="2" t="inlineStr">
        <is>
          <t>да</t>
        </is>
      </c>
      <c r="K1415" s="3" t="inlineStr">
        <is>
          <t>Телевизионный спектакль по одноименному роману Юрия Олеши с участием актеров Ленинградского БДТ им. М.Горького.
Один из немногих спектаклей с Павлом Луспекаевым в главной роли.</t>
        </is>
      </c>
      <c r="L1415" s="2" t="inlineStr">
        <is>
          <t>https://www.kino-teatr.ru/teatr/movie/61965/annot/</t>
        </is>
      </c>
      <c r="M1415" s="2">
        <f>HYPERLINK("https://ru.wikipedia.org/w/index.php?search=%D0%97%D0%B0%D0%B2%D0%B8%D1%81%D1%82%D1%8C%201967%20%D1%84%D0%B8%D0%BB%D1%8C%D0%BC","искать")</f>
        <v/>
      </c>
      <c r="N1415" s="3" t="n"/>
      <c r="O1415" s="2" t="n"/>
    </row>
    <row r="1416">
      <c r="A1416" s="2" t="n">
        <v>1415</v>
      </c>
      <c r="B1416" s="2" t="inlineStr">
        <is>
          <t>не сюжет</t>
        </is>
      </c>
      <c r="C1416" s="2" t="n">
        <v>11001</v>
      </c>
      <c r="D1416" s="3" t="inlineStr">
        <is>
          <t>Ночной дилижанс</t>
        </is>
      </c>
      <c r="E1416" s="2" t="n">
        <v>1983</v>
      </c>
      <c r="F1416" s="2" t="inlineStr">
        <is>
          <t>фильм-спектакль</t>
        </is>
      </c>
      <c r="G1416" s="2" t="inlineStr">
        <is>
          <t>Ленинградское ТВ</t>
        </is>
      </c>
      <c r="H1416" s="2" t="n">
        <v>176</v>
      </c>
      <c r="I1416" s="2" t="inlineStr"/>
      <c r="J1416" s="2" t="inlineStr">
        <is>
          <t>да</t>
        </is>
      </c>
      <c r="K1416" s="3" t="inlineStr">
        <is>
          <t>Спектакль-опера Сергея Баневича.
По рассказу К.Паустовского о Гансе-Кристиане Андерсене.
Вокальные партии - Татьяна Новикова, Елена Дриацкая и Валерий Лебедь (и группа "Мост").</t>
        </is>
      </c>
      <c r="L1416" s="2" t="inlineStr">
        <is>
          <t>https://www.kino-teatr.ru/teatr/movie/10783/annot/</t>
        </is>
      </c>
      <c r="M1416" s="2">
        <f>HYPERLINK("https://ru.wikipedia.org/w/index.php?search=%D0%9D%D0%BE%D1%87%D0%BD%D0%BE%D0%B9%20%D0%B4%D0%B8%D0%BB%D0%B8%D0%B6%D0%B0%D0%BD%D1%81%201983%20%D1%84%D0%B8%D0%BB%D1%8C%D0%BC","искать")</f>
        <v/>
      </c>
      <c r="N1416" s="3" t="n"/>
      <c r="O1416" s="2" t="n"/>
    </row>
    <row r="1417">
      <c r="A1417" s="2" t="n">
        <v>1416</v>
      </c>
      <c r="B1417" s="2" t="inlineStr">
        <is>
          <t>не сюжет</t>
        </is>
      </c>
      <c r="C1417" s="2" t="n">
        <v>11043</v>
      </c>
      <c r="D1417" s="3" t="inlineStr">
        <is>
          <t>Стрела Робин Гуда</t>
        </is>
      </c>
      <c r="E1417" s="2" t="n">
        <v>1984</v>
      </c>
      <c r="F1417" s="2" t="inlineStr">
        <is>
          <t>фильм-спектакль</t>
        </is>
      </c>
      <c r="G1417" s="2" t="inlineStr">
        <is>
          <t>ТО "Экран"</t>
        </is>
      </c>
      <c r="H1417" s="2" t="n">
        <v>176</v>
      </c>
      <c r="I1417" s="2" t="inlineStr"/>
      <c r="J1417" s="2" t="inlineStr">
        <is>
          <t>да</t>
        </is>
      </c>
      <c r="K1417" s="3" t="inlineStr">
        <is>
          <t>Телеэкранизация одноименной пьесы С.Прокофьевой и И.Токмаковой в постановке Центрального академического театра Советской Армии. В основе пьесы - известная легенда о Робин Гуде.</t>
        </is>
      </c>
      <c r="L1417" s="2" t="inlineStr">
        <is>
          <t>https://www.kino-teatr.ru/teatr/movie/17444/annot/</t>
        </is>
      </c>
      <c r="M1417" s="2">
        <f>HYPERLINK("https://ru.wikipedia.org/w/index.php?search=%D0%A1%D1%82%D1%80%D0%B5%D0%BB%D0%B0%20%D0%A0%D0%BE%D0%B1%D0%B8%D0%BD%20%D0%93%D1%83%D0%B4%D0%B0%201984%20%D1%84%D0%B8%D0%BB%D1%8C%D0%BC","искать")</f>
        <v/>
      </c>
      <c r="N1417" s="3" t="n"/>
      <c r="O1417" s="2" t="n"/>
    </row>
    <row r="1418">
      <c r="A1418" s="2" t="n">
        <v>1417</v>
      </c>
      <c r="B1418" s="2" t="inlineStr">
        <is>
          <t>не сюжет</t>
        </is>
      </c>
      <c r="C1418" s="2" t="n">
        <v>7531</v>
      </c>
      <c r="D1418" s="3" t="inlineStr">
        <is>
          <t>Долгие вёрсты войны</t>
        </is>
      </c>
      <c r="E1418" s="2" t="n">
        <v>1975</v>
      </c>
      <c r="F1418" s="2" t="inlineStr">
        <is>
          <t>телефильм</t>
        </is>
      </c>
      <c r="G1418" s="2" t="inlineStr">
        <is>
          <t>Беларусьфильм. Творческое объединение «Телефильм»</t>
        </is>
      </c>
      <c r="H1418" s="2" t="n">
        <v>177</v>
      </c>
      <c r="I1418" s="2" t="inlineStr"/>
      <c r="J1418" s="2" t="inlineStr">
        <is>
          <t>да</t>
        </is>
      </c>
      <c r="K1418" s="3" t="inlineStr">
        <is>
          <t>Телесериал по мотивам повестей Василия Быкова. В основе сюжета - три боевых эпизода, относящихся к началу войны, коренному перелому в ходе войны и окончательному разгрому врага.</t>
        </is>
      </c>
      <c r="L1418" s="2" t="inlineStr">
        <is>
          <t>Кино_СССР сводный каталог.xlsx: список телефильмов</t>
        </is>
      </c>
      <c r="M1418" s="2">
        <f>HYPERLINK("https://ru.wikipedia.org/w/index.php?search=%D0%94%D0%BE%D0%BB%D0%B3%D0%B8%D0%B5%20%D0%B2%D1%91%D1%80%D1%81%D1%82%D1%8B%20%D0%B2%D0%BE%D0%B9%D0%BD%D1%8B%201975%20%D1%84%D0%B8%D0%BB%D1%8C%D0%BC","искать")</f>
        <v/>
      </c>
      <c r="N1418" s="3" t="n"/>
      <c r="O1418" s="2" t="n"/>
    </row>
    <row r="1419">
      <c r="A1419" s="2" t="n">
        <v>1418</v>
      </c>
      <c r="B1419" s="2" t="inlineStr">
        <is>
          <t>не сюжет</t>
        </is>
      </c>
      <c r="C1419" s="2" t="n">
        <v>8656</v>
      </c>
      <c r="D1419" s="3" t="inlineStr">
        <is>
          <t>Влияние на автомобиль внешних сил</t>
        </is>
      </c>
      <c r="E1419" s="2" t="n">
        <v>1972</v>
      </c>
      <c r="F1419" s="2" t="inlineStr">
        <is>
          <t>не игровое</t>
        </is>
      </c>
      <c r="G1419" s="2" t="n"/>
      <c r="H1419" s="2" t="n">
        <v>177</v>
      </c>
      <c r="I1419" s="2" t="inlineStr"/>
      <c r="J1419" s="2" t="inlineStr">
        <is>
          <t>да</t>
        </is>
      </c>
      <c r="K1419" s="3" t="inlineStr">
        <is>
          <t>Постановочный учебный фильм кинокурса "Основы безопасности движения". Снят по заказу Государственного комитета Совета Министров СССР по профессионально-техническому образованию.</t>
        </is>
      </c>
      <c r="L1419" s="2" t="inlineStr">
        <is>
          <t>Кино_СССР сводный каталог.xlsx: список фильмов (доп.)</t>
        </is>
      </c>
      <c r="M1419" s="2">
        <f>HYPERLINK("https://ru.wikipedia.org/w/index.php?search=%D0%92%D0%BB%D0%B8%D1%8F%D0%BD%D0%B8%D0%B5%20%D0%BD%D0%B0%20%D0%B0%D0%B2%D1%82%D0%BE%D0%BC%D0%BE%D0%B1%D0%B8%D0%BB%D1%8C%20%D0%B2%D0%BD%D0%B5%D1%88%D0%BD%D0%B8%D1%85%20%D1%81%D0%B8%D0%BB%201972%20%D1%84%D0%B8%D0%BB%D1%8C%D0%BC","искать")</f>
        <v/>
      </c>
      <c r="N1419" s="3" t="n"/>
      <c r="O1419" s="2" t="n"/>
    </row>
    <row r="1420">
      <c r="A1420" s="2" t="n">
        <v>1419</v>
      </c>
      <c r="B1420" s="2" t="inlineStr">
        <is>
          <t>не сюжет</t>
        </is>
      </c>
      <c r="C1420" s="2" t="n">
        <v>9143</v>
      </c>
      <c r="D1420" s="3" t="inlineStr">
        <is>
          <t>Хамелеон</t>
        </is>
      </c>
      <c r="E1420" s="2" t="n">
        <v>1989</v>
      </c>
      <c r="F1420" s="2" t="inlineStr">
        <is>
          <t>кинофильм</t>
        </is>
      </c>
      <c r="G1420" s="2" t="n"/>
      <c r="H1420" s="2" t="n">
        <v>177</v>
      </c>
      <c r="I1420" s="2" t="inlineStr"/>
      <c r="J1420" s="2" t="inlineStr">
        <is>
          <t>да</t>
        </is>
      </c>
      <c r="K1420" s="3" t="inlineStr">
        <is>
          <t>Фильм поставлен по роману Йонаса Авижюса "Цвета хамелеона". Это рассказ об интеллигенции 80-х годов, о девальвации духовных ценностей, о приспособленчестве в семье и в обществе.</t>
        </is>
      </c>
      <c r="L1420" s="2" t="inlineStr">
        <is>
          <t>Кино_СССР сводный каталог.xlsx: список фильмов (доп.)</t>
        </is>
      </c>
      <c r="M1420" s="2">
        <f>HYPERLINK("https://ru.wikipedia.org/w/index.php?search=%D0%A5%D0%B0%D0%BC%D0%B5%D0%BB%D0%B5%D0%BE%D0%BD%201989%20%D1%84%D0%B8%D0%BB%D1%8C%D0%BC","искать")</f>
        <v/>
      </c>
      <c r="N1420" s="3" t="n"/>
      <c r="O1420" s="2" t="n"/>
    </row>
    <row r="1421">
      <c r="A1421" s="2" t="n">
        <v>1420</v>
      </c>
      <c r="B1421" s="2" t="inlineStr">
        <is>
          <t>не сюжет</t>
        </is>
      </c>
      <c r="C1421" s="2" t="n">
        <v>9235</v>
      </c>
      <c r="D1421" s="3" t="inlineStr">
        <is>
          <t>Береги друга</t>
        </is>
      </c>
      <c r="E1421" s="2" t="n">
        <v>1972</v>
      </c>
      <c r="F1421" s="2" t="inlineStr">
        <is>
          <t>кинофильм</t>
        </is>
      </c>
      <c r="G1421" s="2" t="n"/>
      <c r="H1421" s="2" t="n">
        <v>178</v>
      </c>
      <c r="I1421" s="2" t="inlineStr"/>
      <c r="J1421" s="2" t="inlineStr">
        <is>
          <t>да</t>
        </is>
      </c>
      <c r="K1421" s="3" t="inlineStr">
        <is>
          <t>О жизни современных советских ребят, их устремлениях, мечтах и надеждах, о нравственных поисках, присущих их возрасту, о становлении характеров представителей молодого поколения.</t>
        </is>
      </c>
      <c r="L1421" s="2" t="inlineStr">
        <is>
          <t>Кино_СССР сводный каталог.xlsx: список фильмов (доп.)</t>
        </is>
      </c>
      <c r="M1421" s="2">
        <f>HYPERLINK("https://ru.wikipedia.org/w/index.php?search=%D0%91%D0%B5%D1%80%D0%B5%D0%B3%D0%B8%20%D0%B4%D1%80%D1%83%D0%B3%D0%B0%201972%20%D1%84%D0%B8%D0%BB%D1%8C%D0%BC","искать")</f>
        <v/>
      </c>
      <c r="N1421" s="3" t="n"/>
      <c r="O1421" s="2" t="n"/>
    </row>
    <row r="1422">
      <c r="A1422" s="2" t="n">
        <v>1421</v>
      </c>
      <c r="B1422" s="2" t="inlineStr">
        <is>
          <t>не сюжет</t>
        </is>
      </c>
      <c r="C1422" s="2" t="n">
        <v>11318</v>
      </c>
      <c r="D1422" s="3" t="inlineStr">
        <is>
          <t>Пять столбов на рыночной площади</t>
        </is>
      </c>
      <c r="E1422" s="2" t="n">
        <v>1990</v>
      </c>
      <c r="F1422" s="2" t="inlineStr">
        <is>
          <t>фильм-спектакль</t>
        </is>
      </c>
      <c r="G1422" s="2" t="inlineStr">
        <is>
          <t>Литовское телевидение</t>
        </is>
      </c>
      <c r="H1422" s="2" t="n">
        <v>178</v>
      </c>
      <c r="I1422" s="2" t="inlineStr"/>
      <c r="J1422" s="2" t="inlineStr">
        <is>
          <t>да</t>
        </is>
      </c>
      <c r="K1422" s="3" t="inlineStr">
        <is>
          <t>Спектакль по пьесе А.Ландсбергиса.
Партизанская борьба в послевоенной Литве. Юность, любовь, жертвы во имя родины переплетаются в клубок вопросов и проблем о цене и смысле жизни.</t>
        </is>
      </c>
      <c r="L1422" s="2" t="inlineStr">
        <is>
          <t>https://www.kino-teatr.ru/teatr/movie/108038/annot/</t>
        </is>
      </c>
      <c r="M1422" s="2">
        <f>HYPERLINK("https://ru.wikipedia.org/w/index.php?search=%D0%9F%D1%8F%D1%82%D1%8C%20%D1%81%D1%82%D0%BE%D0%BB%D0%B1%D0%BE%D0%B2%20%D0%BD%D0%B0%20%D1%80%D1%8B%D0%BD%D0%BE%D1%87%D0%BD%D0%BE%D0%B9%20%D0%BF%D0%BB%D0%BE%D1%89%D0%B0%D0%B4%D0%B8%201990%20%D1%84%D0%B8%D0%BB%D1%8C%D0%BC","искать")</f>
        <v/>
      </c>
      <c r="N1422" s="3" t="n"/>
      <c r="O1422" s="2" t="n"/>
    </row>
    <row r="1423">
      <c r="A1423" s="2" t="n">
        <v>1422</v>
      </c>
      <c r="B1423" s="2" t="inlineStr">
        <is>
          <t>не сюжет</t>
        </is>
      </c>
      <c r="C1423" s="2" t="n">
        <v>10546</v>
      </c>
      <c r="D1423" s="3" t="inlineStr">
        <is>
          <t>Болдинская осень</t>
        </is>
      </c>
      <c r="E1423" s="2" t="n">
        <v>1974</v>
      </c>
      <c r="F1423" s="2" t="inlineStr">
        <is>
          <t>фильм-спектакль</t>
        </is>
      </c>
      <c r="G1423" s="2" t="inlineStr">
        <is>
          <t>Ленинградское телевидение СССР</t>
        </is>
      </c>
      <c r="H1423" s="2" t="n">
        <v>179</v>
      </c>
      <c r="I1423" s="2" t="inlineStr"/>
      <c r="J1423" s="2" t="inlineStr">
        <is>
          <t>да</t>
        </is>
      </c>
      <c r="K1423" s="3" t="inlineStr">
        <is>
          <t>Сцены из спектаклей Ленинградского государственного академического театра драмы им. А.С. Пушкина "Болдинская осень"(Ю.Свирин) и "Скупой рыцарь" ("Маленькие трагедии" А.С.Пушкина).</t>
        </is>
      </c>
      <c r="L1423" s="2" t="inlineStr">
        <is>
          <t>https://www.kino-teatr.ru/teatr/movie/103934/annot/</t>
        </is>
      </c>
      <c r="M1423" s="2">
        <f>HYPERLINK("https://ru.wikipedia.org/w/index.php?search=%D0%91%D0%BE%D0%BB%D0%B4%D0%B8%D0%BD%D1%81%D0%BA%D0%B0%D1%8F%20%D0%BE%D1%81%D0%B5%D0%BD%D1%8C%201974%20%D1%84%D0%B8%D0%BB%D1%8C%D0%BC","искать")</f>
        <v/>
      </c>
      <c r="N1423" s="3" t="n"/>
      <c r="O1423" s="2" t="n"/>
    </row>
    <row r="1424">
      <c r="A1424" s="2" t="n">
        <v>1423</v>
      </c>
      <c r="B1424" s="2" t="inlineStr">
        <is>
          <t>не сюжет</t>
        </is>
      </c>
      <c r="C1424" s="2" t="n">
        <v>10647</v>
      </c>
      <c r="D1424" s="3" t="inlineStr">
        <is>
          <t>К вашему Солнцу</t>
        </is>
      </c>
      <c r="E1424" s="2" t="n">
        <v>1976</v>
      </c>
      <c r="F1424" s="2" t="inlineStr">
        <is>
          <t>фильм-спектакль</t>
        </is>
      </c>
      <c r="G1424" s="2" t="inlineStr">
        <is>
          <t>Эстонское телевидение</t>
        </is>
      </c>
      <c r="H1424" s="2" t="n">
        <v>179</v>
      </c>
      <c r="I1424" s="2" t="inlineStr"/>
      <c r="J1424" s="2" t="inlineStr">
        <is>
          <t>да</t>
        </is>
      </c>
      <c r="K1424" s="3" t="inlineStr">
        <is>
          <t>Спектакль на революционную тему.
Поставлен по произведению эстонского советского писателя Фридеберта Тугласа (1886-1971) к 60-летию Великой Октябрьской Социалистической Революции.</t>
        </is>
      </c>
      <c r="L1424" s="2" t="inlineStr">
        <is>
          <t>https://www.kino-teatr.ru/teatr/movie/161249/annot/</t>
        </is>
      </c>
      <c r="M1424" s="2">
        <f>HYPERLINK("https://ru.wikipedia.org/w/index.php?search=%D0%9A%20%D0%B2%D0%B0%D1%88%D0%B5%D0%BC%D1%83%20%D0%A1%D0%BE%D0%BB%D0%BD%D1%86%D1%83%201976%20%D1%84%D0%B8%D0%BB%D1%8C%D0%BC","искать")</f>
        <v/>
      </c>
      <c r="N1424" s="3" t="n"/>
      <c r="O1424" s="2" t="n"/>
    </row>
    <row r="1425">
      <c r="A1425" s="2" t="n">
        <v>1424</v>
      </c>
      <c r="B1425" s="2" t="inlineStr">
        <is>
          <t>не сюжет</t>
        </is>
      </c>
      <c r="C1425" s="2" t="n">
        <v>10663</v>
      </c>
      <c r="D1425" s="3" t="inlineStr">
        <is>
          <t>Письма XII века</t>
        </is>
      </c>
      <c r="E1425" s="2" t="n">
        <v>1976</v>
      </c>
      <c r="F1425" s="2" t="inlineStr">
        <is>
          <t>фильм-спектакль</t>
        </is>
      </c>
      <c r="G1425" s="2" t="inlineStr">
        <is>
          <t>Центральное телевидение</t>
        </is>
      </c>
      <c r="H1425" s="2" t="n">
        <v>179</v>
      </c>
      <c r="I1425" s="2" t="inlineStr"/>
      <c r="J1425" s="2" t="inlineStr">
        <is>
          <t>да</t>
        </is>
      </c>
      <c r="K1425" s="3" t="inlineStr">
        <is>
          <t>Телеспектакль рассказывает о жизни ученых-археологов, об истинных служителях науки, для которых она представляет смысл жизни, и о людях, думающих только о карьере и личной выгоде.</t>
        </is>
      </c>
      <c r="L1425" s="2" t="inlineStr">
        <is>
          <t>https://www.kino-teatr.ru/teatr/movie/100949/annot/</t>
        </is>
      </c>
      <c r="M1425" s="2">
        <f>HYPERLINK("https://ru.wikipedia.org/w/index.php?search=%D0%9F%D0%B8%D1%81%D1%8C%D0%BC%D0%B0%20XII%20%D0%B2%D0%B5%D0%BA%D0%B0%201976%20%D1%84%D0%B8%D0%BB%D1%8C%D0%BC","искать")</f>
        <v/>
      </c>
      <c r="N1425" s="3" t="n"/>
      <c r="O1425" s="2" t="n"/>
    </row>
    <row r="1426">
      <c r="A1426" s="2" t="n">
        <v>1425</v>
      </c>
      <c r="B1426" s="2" t="inlineStr">
        <is>
          <t>не сюжет</t>
        </is>
      </c>
      <c r="C1426" s="2" t="n">
        <v>7958</v>
      </c>
      <c r="D1426" s="3" t="inlineStr">
        <is>
          <t>Не буду гангстером, дорогая</t>
        </is>
      </c>
      <c r="E1426" s="2" t="n">
        <v>1978</v>
      </c>
      <c r="F1426" s="2" t="inlineStr">
        <is>
          <t>телефильм</t>
        </is>
      </c>
      <c r="G1426" s="2" t="n"/>
      <c r="H1426" s="2" t="n">
        <v>180</v>
      </c>
      <c r="I1426" s="2" t="inlineStr"/>
      <c r="J1426" s="2" t="inlineStr">
        <is>
          <t>да</t>
        </is>
      </c>
      <c r="K1426" s="3" t="inlineStr">
        <is>
          <t>Телефильм снят по мотивам рассказов американского писателя О.Генри "Персики", "Русские соболя", "Дары волхов", "Фараон и хорал". События разворачиваются в Америке в начале ХХ века.</t>
        </is>
      </c>
      <c r="L1426" s="2" t="inlineStr">
        <is>
          <t>Кино_СССР сводный каталог.xlsx: список телефильмов</t>
        </is>
      </c>
      <c r="M1426" s="2">
        <f>HYPERLINK("https://ru.wikipedia.org/w/index.php?search=%D0%9D%D0%B5%20%D0%B1%D1%83%D0%B4%D1%83%20%D0%B3%D0%B0%D0%BD%D0%B3%D1%81%D1%82%D0%B5%D1%80%D0%BE%D0%BC%2C%20%D0%B4%D0%BE%D1%80%D0%BE%D0%B3%D0%B0%D1%8F%201978%20%D1%84%D0%B8%D0%BB%D1%8C%D0%BC","искать")</f>
        <v/>
      </c>
      <c r="N1426" s="3" t="n"/>
      <c r="O1426" s="2" t="n"/>
    </row>
    <row r="1427">
      <c r="A1427" s="2" t="n">
        <v>1426</v>
      </c>
      <c r="B1427" s="2" t="inlineStr">
        <is>
          <t>не сюжет</t>
        </is>
      </c>
      <c r="C1427" s="2" t="n">
        <v>10068</v>
      </c>
      <c r="D1427" s="3" t="inlineStr">
        <is>
          <t>Пахита</t>
        </is>
      </c>
      <c r="E1427" s="2" t="n">
        <v>1958</v>
      </c>
      <c r="F1427" s="2" t="inlineStr">
        <is>
          <t>фильм-спектакль</t>
        </is>
      </c>
      <c r="G1427" s="2" t="inlineStr">
        <is>
          <t>Ленфильм</t>
        </is>
      </c>
      <c r="H1427" s="2" t="n">
        <v>180</v>
      </c>
      <c r="I1427" s="2" t="inlineStr"/>
      <c r="J1427" s="2" t="inlineStr">
        <is>
          <t>да</t>
        </is>
      </c>
      <c r="K1427" s="3" t="inlineStr">
        <is>
          <t>Экранизация балетного спектакля на музыку Людвига Минкуса в Ленинградском академическом Малом оперном театре. Постановка балета Мариуса Петипа, возобновление Константина Боярского.</t>
        </is>
      </c>
      <c r="L1427" s="2" t="inlineStr">
        <is>
          <t>https://www.kino-teatr.ru/teatr/movie/97917/annot/</t>
        </is>
      </c>
      <c r="M1427" s="2">
        <f>HYPERLINK("https://ru.wikipedia.org/w/index.php?search=%D0%9F%D0%B0%D1%85%D0%B8%D1%82%D0%B0%201958%20%D1%84%D0%B8%D0%BB%D1%8C%D0%BC","искать")</f>
        <v/>
      </c>
      <c r="N1427" s="3" t="n"/>
      <c r="O1427" s="2" t="n"/>
    </row>
    <row r="1428">
      <c r="A1428" s="2" t="n">
        <v>1427</v>
      </c>
      <c r="B1428" s="2" t="inlineStr">
        <is>
          <t>не сюжет</t>
        </is>
      </c>
      <c r="C1428" s="2" t="n">
        <v>8880</v>
      </c>
      <c r="D1428" s="3" t="inlineStr">
        <is>
          <t>Ночной танец</t>
        </is>
      </c>
      <c r="E1428" s="2" t="n">
        <v>1991</v>
      </c>
      <c r="F1428" s="2" t="inlineStr">
        <is>
          <t>кинофильм</t>
        </is>
      </c>
      <c r="G1428" s="2" t="n"/>
      <c r="H1428" s="2" t="n">
        <v>181</v>
      </c>
      <c r="I1428" s="2" t="inlineStr"/>
      <c r="J1428" s="2" t="inlineStr">
        <is>
          <t>да</t>
        </is>
      </c>
      <c r="K1428" s="3" t="inlineStr">
        <is>
          <t>Серый запыленный провинциальный город. Самое примечательное в нем - цементный завод. Люди здесь живут простые, но на поверку чувства их оказываются прочными, сильными и человечными.</t>
        </is>
      </c>
      <c r="L1428" s="2" t="inlineStr">
        <is>
          <t>Кино_СССР сводный каталог.xlsx: список фильмов (доп.)</t>
        </is>
      </c>
      <c r="M1428" s="2">
        <f>HYPERLINK("https://ru.wikipedia.org/w/index.php?search=%D0%9D%D0%BE%D1%87%D0%BD%D0%BE%D0%B9%20%D1%82%D0%B0%D0%BD%D0%B5%D1%86%201991%20%D1%84%D0%B8%D0%BB%D1%8C%D0%BC","искать")</f>
        <v/>
      </c>
      <c r="N1428" s="3" t="n"/>
      <c r="O1428" s="2" t="n"/>
    </row>
    <row r="1429">
      <c r="A1429" s="2" t="n">
        <v>1428</v>
      </c>
      <c r="B1429" s="2" t="inlineStr">
        <is>
          <t>не сюжет</t>
        </is>
      </c>
      <c r="C1429" s="2" t="n">
        <v>11063</v>
      </c>
      <c r="D1429" s="3" t="inlineStr">
        <is>
          <t>Красный паша</t>
        </is>
      </c>
      <c r="E1429" s="2" t="n">
        <v>1985</v>
      </c>
      <c r="F1429" s="2" t="inlineStr">
        <is>
          <t>фильм-спектакль</t>
        </is>
      </c>
      <c r="G1429" s="2" t="inlineStr">
        <is>
          <t>ЦТ</t>
        </is>
      </c>
      <c r="H1429" s="2" t="n">
        <v>181</v>
      </c>
      <c r="I1429" s="2" t="inlineStr"/>
      <c r="J1429" s="2" t="inlineStr">
        <is>
          <t>да</t>
        </is>
      </c>
      <c r="K1429" s="3" t="inlineStr">
        <is>
          <t>Спектакль Башкирского театра им. Гафури (телеверсия показанная по Центральному телевидению).
О судьбе советского дипломата в арабских странах К.А.Хакимова по прозванию Красный Паша.</t>
        </is>
      </c>
      <c r="L1429" s="2" t="inlineStr">
        <is>
          <t>https://www.kino-teatr.ru/teatr/movie/135464/annot/</t>
        </is>
      </c>
      <c r="M1429" s="2">
        <f>HYPERLINK("https://ru.wikipedia.org/w/index.php?search=%D0%9A%D1%80%D0%B0%D1%81%D0%BD%D1%8B%D0%B9%20%D0%BF%D0%B0%D1%88%D0%B0%201985%20%D1%84%D0%B8%D0%BB%D1%8C%D0%BC","искать")</f>
        <v/>
      </c>
      <c r="N1429" s="3" t="n"/>
      <c r="O1429" s="2" t="n"/>
    </row>
    <row r="1430">
      <c r="A1430" s="2" t="n">
        <v>1429</v>
      </c>
      <c r="B1430" s="2" t="inlineStr">
        <is>
          <t>не сюжет</t>
        </is>
      </c>
      <c r="C1430" s="2" t="n">
        <v>9877</v>
      </c>
      <c r="D1430" s="3" t="inlineStr">
        <is>
          <t>Монолог</t>
        </is>
      </c>
      <c r="E1430" s="2" t="n">
        <v>1970</v>
      </c>
      <c r="F1430" s="2" t="inlineStr">
        <is>
          <t>телефильм</t>
        </is>
      </c>
      <c r="G1430" s="2" t="inlineStr">
        <is>
          <t>Экран</t>
        </is>
      </c>
      <c r="H1430" s="2" t="n">
        <v>182</v>
      </c>
      <c r="I1430" s="2" t="inlineStr"/>
      <c r="J1430" s="2" t="inlineStr">
        <is>
          <t>да</t>
        </is>
      </c>
      <c r="K1430" s="3" t="inlineStr">
        <is>
          <t>Телевизионный фильм-монолог эстрадной певицы Елены Камбуровой без чёткого сюжета. В фильме прозвучали популярные песни "Маленький принц", "Капли датского короля", "Гренада" и другие.</t>
        </is>
      </c>
      <c r="L1430" s="2" t="inlineStr">
        <is>
          <t>https://www.kino-teatr.ru/short/movie/sov/96897/annot/</t>
        </is>
      </c>
      <c r="M1430" s="2">
        <f>HYPERLINK("https://ru.wikipedia.org/w/index.php?search=%D0%9C%D0%BE%D0%BD%D0%BE%D0%BB%D0%BE%D0%B3%201970%20%D1%84%D0%B8%D0%BB%D1%8C%D0%BC","искать")</f>
        <v/>
      </c>
      <c r="N1430" s="3" t="n"/>
      <c r="O1430" s="2" t="n"/>
    </row>
    <row r="1431">
      <c r="A1431" s="2" t="n">
        <v>1430</v>
      </c>
      <c r="B1431" s="2" t="inlineStr">
        <is>
          <t>не сюжет</t>
        </is>
      </c>
      <c r="C1431" s="2" t="n">
        <v>10896</v>
      </c>
      <c r="D1431" s="3" t="inlineStr">
        <is>
          <t>Обыкновенные обстоятельства</t>
        </is>
      </c>
      <c r="E1431" s="2" t="n">
        <v>1981</v>
      </c>
      <c r="F1431" s="2" t="inlineStr">
        <is>
          <t>фильм-спектакль</t>
        </is>
      </c>
      <c r="G1431" s="2" t="inlineStr">
        <is>
          <t>Центральное телевидение</t>
        </is>
      </c>
      <c r="H1431" s="2" t="n">
        <v>182</v>
      </c>
      <c r="I1431" s="2" t="inlineStr"/>
      <c r="J1431" s="2" t="inlineStr">
        <is>
          <t>да</t>
        </is>
      </c>
      <c r="K1431" s="3" t="inlineStr">
        <is>
          <t>Глава семьи Виктор Митрофанов, проживший долгую и достойную жизнь, помогает своим близким преодолеть душевную черствость, корыстолюбие и понять истинное значение жизненных ценностей.</t>
        </is>
      </c>
      <c r="L1431" s="2" t="inlineStr">
        <is>
          <t>https://www.kino-teatr.ru/teatr/movie/81051/annot/</t>
        </is>
      </c>
      <c r="M1431" s="2">
        <f>HYPERLINK("https://ru.wikipedia.org/w/index.php?search=%D0%9E%D0%B1%D1%8B%D0%BA%D0%BD%D0%BE%D0%B2%D0%B5%D0%BD%D0%BD%D1%8B%D0%B5%20%D0%BE%D0%B1%D1%81%D1%82%D0%BE%D1%8F%D1%82%D0%B5%D0%BB%D1%8C%D1%81%D1%82%D0%B2%D0%B0%201981%20%D1%84%D0%B8%D0%BB%D1%8C%D0%BC","искать")</f>
        <v/>
      </c>
      <c r="N1431" s="3" t="n"/>
      <c r="O1431" s="2" t="n"/>
    </row>
    <row r="1432">
      <c r="A1432" s="2" t="n">
        <v>1431</v>
      </c>
      <c r="B1432" s="2" t="inlineStr">
        <is>
          <t>не сюжет</t>
        </is>
      </c>
      <c r="C1432" s="2" t="n">
        <v>11381</v>
      </c>
      <c r="D1432" s="3" t="inlineStr">
        <is>
          <t>Семь красавиц</t>
        </is>
      </c>
      <c r="E1432" s="2" t="n">
        <v>1982</v>
      </c>
      <c r="F1432" s="2" t="inlineStr">
        <is>
          <t>фильм-опера/балет</t>
        </is>
      </c>
      <c r="G1432" s="2" t="n"/>
      <c r="H1432" s="2" t="n">
        <v>183</v>
      </c>
      <c r="I1432" s="2" t="inlineStr"/>
      <c r="J1432" s="2" t="inlineStr">
        <is>
          <t>да</t>
        </is>
      </c>
      <c r="K1432" s="3" t="inlineStr">
        <is>
          <t>Фильм-балет  на музыку знаменитого азербайджанского композитора Кара Караева. Либретто балета написано по мотивам поэмы Низами Гянджеви «Семь красавиц» (Хамсе), созданной в 1197 году.</t>
        </is>
      </c>
      <c r="L1432" s="2" t="inlineStr">
        <is>
          <t>Кино_СССР телефильмы и пропуски включить в базу.xlsx</t>
        </is>
      </c>
      <c r="M1432" s="2">
        <f>HYPERLINK("https://ru.wikipedia.org/w/index.php?search=%D0%A1%D0%B5%D0%BC%D1%8C%20%D0%BA%D1%80%D0%B0%D1%81%D0%B0%D0%B2%D0%B8%D1%86%201982%20%D1%84%D0%B8%D0%BB%D1%8C%D0%BC","искать")</f>
        <v/>
      </c>
      <c r="N1432" s="3" t="n"/>
      <c r="O1432" s="2" t="n"/>
    </row>
    <row r="1433">
      <c r="A1433" s="2" t="n">
        <v>1432</v>
      </c>
      <c r="B1433" s="2" t="inlineStr">
        <is>
          <t>не сюжет</t>
        </is>
      </c>
      <c r="C1433" s="2" t="n">
        <v>7731</v>
      </c>
      <c r="D1433" s="3" t="inlineStr">
        <is>
          <t>Ключевой вопрос</t>
        </is>
      </c>
      <c r="E1433" s="2" t="n">
        <v>1986</v>
      </c>
      <c r="F1433" s="2" t="inlineStr">
        <is>
          <t>телефильм</t>
        </is>
      </c>
      <c r="G1433" s="2" t="n"/>
      <c r="H1433" s="2" t="n">
        <v>184</v>
      </c>
      <c r="I1433" s="2" t="inlineStr"/>
      <c r="J1433" s="2" t="inlineStr">
        <is>
          <t>да</t>
        </is>
      </c>
      <c r="K1433" s="3" t="inlineStr">
        <is>
          <t>Производственный фильм, о председателе исполкома Раули Таммкиви, а его днях и буднях, в фильме затрагивается тема строительства жилья. В фильме задейственный актеры театра "Ванемуйне".</t>
        </is>
      </c>
      <c r="L1433" s="2" t="inlineStr">
        <is>
          <t>Кино_СССР сводный каталог.xlsx: список телефильмов</t>
        </is>
      </c>
      <c r="M1433" s="2">
        <f>HYPERLINK("https://ru.wikipedia.org/w/index.php?search=%D0%9A%D0%BB%D1%8E%D1%87%D0%B5%D0%B2%D0%BE%D0%B9%20%D0%B2%D0%BE%D0%BF%D1%80%D0%BE%D1%81%201986%20%D1%84%D0%B8%D0%BB%D1%8C%D0%BC","искать")</f>
        <v/>
      </c>
      <c r="N1433" s="3" t="n"/>
      <c r="O1433" s="2" t="n"/>
    </row>
    <row r="1434">
      <c r="A1434" s="2" t="n">
        <v>1433</v>
      </c>
      <c r="B1434" s="2" t="inlineStr">
        <is>
          <t>не сюжет</t>
        </is>
      </c>
      <c r="C1434" s="2" t="n">
        <v>10101</v>
      </c>
      <c r="D1434" s="3" t="inlineStr">
        <is>
          <t>Свадьба Свечки</t>
        </is>
      </c>
      <c r="E1434" s="2" t="n">
        <v>1962</v>
      </c>
      <c r="F1434" s="2" t="inlineStr">
        <is>
          <t>фильм-спектакль</t>
        </is>
      </c>
      <c r="G1434" s="2" t="inlineStr">
        <is>
          <t>Киевская студия телевидения</t>
        </is>
      </c>
      <c r="H1434" s="2" t="n">
        <v>184</v>
      </c>
      <c r="I1434" s="2" t="inlineStr"/>
      <c r="J1434" s="2" t="inlineStr">
        <is>
          <t>да</t>
        </is>
      </c>
      <c r="K1434" s="3" t="inlineStr">
        <is>
          <t>Телеверсия спектакля театра имени Ивана Франко в постановке Гната Юры по исторической драме в стихах - "Свіччинє весілля"(1930) Ивана Кочерги. Действие происходит в Киеве, в 1506 году.</t>
        </is>
      </c>
      <c r="L1434" s="2" t="inlineStr">
        <is>
          <t>https://www.kino-teatr.ru/teatr/movie/88343/annot/</t>
        </is>
      </c>
      <c r="M1434" s="2">
        <f>HYPERLINK("https://ru.wikipedia.org/w/index.php?search=%D0%A1%D0%B2%D0%B0%D0%B4%D1%8C%D0%B1%D0%B0%20%D0%A1%D0%B2%D0%B5%D1%87%D0%BA%D0%B8%201962%20%D1%84%D0%B8%D0%BB%D1%8C%D0%BC","искать")</f>
        <v/>
      </c>
      <c r="N1434" s="3" t="n"/>
      <c r="O1434" s="2" t="n"/>
    </row>
    <row r="1435">
      <c r="A1435" s="2" t="n">
        <v>1434</v>
      </c>
      <c r="B1435" s="2" t="inlineStr">
        <is>
          <t>не сюжет</t>
        </is>
      </c>
      <c r="C1435" s="2" t="n">
        <v>10210</v>
      </c>
      <c r="D1435" s="3" t="inlineStr">
        <is>
          <t>Не суждено</t>
        </is>
      </c>
      <c r="E1435" s="2" t="n">
        <v>1967</v>
      </c>
      <c r="F1435" s="2" t="inlineStr">
        <is>
          <t>фильм-спектакль</t>
        </is>
      </c>
      <c r="G1435" s="2" t="inlineStr">
        <is>
          <t>Укртелефильм</t>
        </is>
      </c>
      <c r="H1435" s="2" t="n">
        <v>184</v>
      </c>
      <c r="I1435" s="2" t="inlineStr"/>
      <c r="J1435" s="2" t="inlineStr">
        <is>
          <t>да</t>
        </is>
      </c>
      <c r="K1435" s="3" t="inlineStr">
        <is>
          <t>Телеверсия спектакля по одноименной пьесе (1883) Михаила Старицкого в постановке Ф.Верещагина и П.Шкребы.
О трагической любви бедной сельской девушки Катри к панычу и студенту Михаилу.</t>
        </is>
      </c>
      <c r="L1435" s="2" t="inlineStr">
        <is>
          <t>https://www.kino-teatr.ru/teatr/movie/16129/annot/</t>
        </is>
      </c>
      <c r="M1435" s="2">
        <f>HYPERLINK("https://ru.wikipedia.org/w/index.php?search=%D0%9D%D0%B5%20%D1%81%D1%83%D0%B6%D0%B4%D0%B5%D0%BD%D0%BE%201967%20%D1%84%D0%B8%D0%BB%D1%8C%D0%BC","искать")</f>
        <v/>
      </c>
      <c r="N1435" s="3" t="n"/>
      <c r="O1435" s="2" t="n"/>
    </row>
    <row r="1436">
      <c r="A1436" s="2" t="n">
        <v>1435</v>
      </c>
      <c r="B1436" s="2" t="inlineStr">
        <is>
          <t>не сюжет</t>
        </is>
      </c>
      <c r="C1436" s="2" t="n">
        <v>10366</v>
      </c>
      <c r="D1436" s="3" t="inlineStr">
        <is>
          <t>Офицер флота</t>
        </is>
      </c>
      <c r="E1436" s="2" t="n">
        <v>1970</v>
      </c>
      <c r="F1436" s="2" t="inlineStr">
        <is>
          <t>фильм-спектакль</t>
        </is>
      </c>
      <c r="G1436" s="2" t="inlineStr">
        <is>
          <t>Главная редакция литературно-драматических программ</t>
        </is>
      </c>
      <c r="H1436" s="2" t="n">
        <v>184</v>
      </c>
      <c r="I1436" s="2" t="inlineStr"/>
      <c r="J1436" s="2" t="inlineStr">
        <is>
          <t>да</t>
        </is>
      </c>
      <c r="K1436" s="3" t="inlineStr">
        <is>
          <t>По одноименной пьесе А.Крона.
Действие происходит в Ленинграде во время Великой Отечественной войны. О героизме и бесконечной преданности Родине военных моряков - героев телеспектакля.</t>
        </is>
      </c>
      <c r="L1436" s="2" t="inlineStr">
        <is>
          <t>https://www.kino-teatr.ru/teatr/movie/12005/annot/</t>
        </is>
      </c>
      <c r="M1436" s="2">
        <f>HYPERLINK("https://ru.wikipedia.org/w/index.php?search=%D0%9E%D1%84%D0%B8%D1%86%D0%B5%D1%80%20%D1%84%D0%BB%D0%BE%D1%82%D0%B0%201970%20%D1%84%D0%B8%D0%BB%D1%8C%D0%BC","искать")</f>
        <v/>
      </c>
      <c r="N1436" s="3" t="n"/>
      <c r="O1436" s="2" t="n"/>
    </row>
    <row r="1437">
      <c r="A1437" s="2" t="n">
        <v>1436</v>
      </c>
      <c r="B1437" s="2" t="inlineStr">
        <is>
          <t>не сюжет</t>
        </is>
      </c>
      <c r="C1437" s="2" t="n">
        <v>10534</v>
      </c>
      <c r="D1437" s="3" t="inlineStr">
        <is>
          <t>Царская милость</t>
        </is>
      </c>
      <c r="E1437" s="2" t="n">
        <v>1973</v>
      </c>
      <c r="F1437" s="2" t="inlineStr">
        <is>
          <t>фильм-спектакль</t>
        </is>
      </c>
      <c r="G1437" s="2" t="inlineStr">
        <is>
          <t>ТО "Экран"</t>
        </is>
      </c>
      <c r="H1437" s="2" t="n">
        <v>184</v>
      </c>
      <c r="I1437" s="2" t="inlineStr"/>
      <c r="J1437" s="2" t="inlineStr">
        <is>
          <t>да</t>
        </is>
      </c>
      <c r="K1437" s="3" t="inlineStr">
        <is>
          <t>В основе фильма — спектакль МХАТа по одноименной пьесе Камена Зидарова в постановке Крыстю Мирского.
Действие происходит в Болгарии в 1915 году, во времена правления царя Фердинанда I.</t>
        </is>
      </c>
      <c r="L1437" s="2" t="inlineStr">
        <is>
          <t>https://www.kino-teatr.ru/teatr/movie/7678/annot/</t>
        </is>
      </c>
      <c r="M1437" s="2">
        <f>HYPERLINK("https://ru.wikipedia.org/w/index.php?search=%D0%A6%D0%B0%D1%80%D1%81%D0%BA%D0%B0%D1%8F%20%D0%BC%D0%B8%D0%BB%D0%BE%D1%81%D1%82%D1%8C%201973%20%D1%84%D0%B8%D0%BB%D1%8C%D0%BC","искать")</f>
        <v/>
      </c>
      <c r="N1437" s="3" t="n"/>
      <c r="O1437" s="2" t="n"/>
    </row>
    <row r="1438">
      <c r="A1438" s="2" t="n">
        <v>1437</v>
      </c>
      <c r="B1438" s="2" t="inlineStr">
        <is>
          <t>не сюжет</t>
        </is>
      </c>
      <c r="C1438" s="2" t="n">
        <v>10617</v>
      </c>
      <c r="D1438" s="3" t="inlineStr">
        <is>
          <t>Насмешливое моё счастье</t>
        </is>
      </c>
      <c r="E1438" s="2" t="n">
        <v>1975</v>
      </c>
      <c r="F1438" s="2" t="inlineStr">
        <is>
          <t>фильм-спектакль</t>
        </is>
      </c>
      <c r="G1438" s="2" t="inlineStr">
        <is>
          <t>Главная редакция литературно-драматических программ ЦТ</t>
        </is>
      </c>
      <c r="H1438" s="2" t="n">
        <v>184</v>
      </c>
      <c r="I1438" s="2" t="inlineStr"/>
      <c r="J1438" s="2" t="inlineStr">
        <is>
          <t>да</t>
        </is>
      </c>
      <c r="K1438" s="3" t="inlineStr">
        <is>
          <t>По одноименной пьесе Л.Малюгина в постановке Государственного академического театра имени Евг.Вахтангова.
О жизни и творчестве Антона Павловича Чехова в период с 1883 года по 1901 год.</t>
        </is>
      </c>
      <c r="L1438" s="2" t="inlineStr">
        <is>
          <t>https://www.kino-teatr.ru/teatr/movie/82078/annot/</t>
        </is>
      </c>
      <c r="M1438" s="2">
        <f>HYPERLINK("https://ru.wikipedia.org/w/index.php?search=%D0%9D%D0%B0%D1%81%D0%BC%D0%B5%D1%88%D0%BB%D0%B8%D0%B2%D0%BE%D0%B5%20%D0%BC%D0%BE%D1%91%20%D1%81%D1%87%D0%B0%D1%81%D1%82%D1%8C%D0%B5%201975%20%D1%84%D0%B8%D0%BB%D1%8C%D0%BC","искать")</f>
        <v/>
      </c>
      <c r="N1438" s="3" t="n"/>
      <c r="O1438" s="2" t="n"/>
    </row>
    <row r="1439">
      <c r="A1439" s="2" t="n">
        <v>1438</v>
      </c>
      <c r="B1439" s="2" t="inlineStr">
        <is>
          <t>не сюжет</t>
        </is>
      </c>
      <c r="C1439" s="2" t="n">
        <v>10178</v>
      </c>
      <c r="D1439" s="3" t="inlineStr">
        <is>
          <t>Элиза Дулиттл</t>
        </is>
      </c>
      <c r="E1439" s="2" t="n">
        <v>1966</v>
      </c>
      <c r="F1439" s="2" t="inlineStr">
        <is>
          <t>фильм-спектакль</t>
        </is>
      </c>
      <c r="G1439" s="2" t="inlineStr">
        <is>
          <t>Ленинградское ТВ</t>
        </is>
      </c>
      <c r="H1439" s="2" t="n">
        <v>185</v>
      </c>
      <c r="I1439" s="2" t="inlineStr"/>
      <c r="J1439" s="2" t="inlineStr">
        <is>
          <t>да</t>
        </is>
      </c>
      <c r="K1439" s="3" t="inlineStr">
        <is>
          <t>Музыкальный телеспектакль по мюзиклу "Моя прекрасная леди" А.Д.Лернера на музыку Ф.Лоу, созданному на основе пьесы Бернарда Шоу "Пигмалион".
Балетмейстер телеспектакля - Кирилл Ласкари.</t>
        </is>
      </c>
      <c r="L1439" s="2" t="inlineStr">
        <is>
          <t>https://www.kino-teatr.ru/teatr/movie/89690/annot/</t>
        </is>
      </c>
      <c r="M1439" s="2">
        <f>HYPERLINK("https://ru.wikipedia.org/w/index.php?search=%D0%AD%D0%BB%D0%B8%D0%B7%D0%B0%20%D0%94%D1%83%D0%BB%D0%B8%D1%82%D1%82%D0%BB%201966%20%D1%84%D0%B8%D0%BB%D1%8C%D0%BC","искать")</f>
        <v/>
      </c>
      <c r="N1439" s="3" t="n"/>
      <c r="O1439" s="2" t="n"/>
    </row>
    <row r="1440">
      <c r="A1440" s="2" t="n">
        <v>1439</v>
      </c>
      <c r="B1440" s="2" t="inlineStr">
        <is>
          <t>не сюжет</t>
        </is>
      </c>
      <c r="C1440" s="2" t="n">
        <v>10387</v>
      </c>
      <c r="D1440" s="3" t="inlineStr">
        <is>
          <t>Двадцать лет спустя</t>
        </is>
      </c>
      <c r="E1440" s="2" t="n">
        <v>1971</v>
      </c>
      <c r="F1440" s="2" t="inlineStr">
        <is>
          <t>фильм-спектакль</t>
        </is>
      </c>
      <c r="G1440" s="2" t="inlineStr">
        <is>
          <t>Литературно-драматическая редакция Центрального телевидения СССР</t>
        </is>
      </c>
      <c r="H1440" s="2" t="n">
        <v>185</v>
      </c>
      <c r="I1440" s="2" t="inlineStr"/>
      <c r="J1440" s="2" t="inlineStr">
        <is>
          <t>да</t>
        </is>
      </c>
      <c r="K1440" s="3" t="inlineStr">
        <is>
          <t>К столетию со дня смерти известного французского писателя А. Дюма.
По мотивам второй части трилогии Александра Дюма о королевских мушкетёрах "Виконт де Бражелон, или Десять лет спустя".</t>
        </is>
      </c>
      <c r="L1440" s="2" t="inlineStr">
        <is>
          <t>https://www.kino-teatr.ru/teatr/movie/80906/annot/</t>
        </is>
      </c>
      <c r="M1440" s="2">
        <f>HYPERLINK("https://ru.wikipedia.org/w/index.php?search=%D0%94%D0%B2%D0%B0%D0%B4%D1%86%D0%B0%D1%82%D1%8C%20%D0%BB%D0%B5%D1%82%20%D1%81%D0%BF%D1%83%D1%81%D1%82%D1%8F%201971%20%D1%84%D0%B8%D0%BB%D1%8C%D0%BC","искать")</f>
        <v/>
      </c>
      <c r="N1440" s="3" t="n"/>
      <c r="O1440" s="2" t="n"/>
    </row>
    <row r="1441">
      <c r="A1441" s="2" t="n">
        <v>1440</v>
      </c>
      <c r="B1441" s="2" t="inlineStr">
        <is>
          <t>не сюжет</t>
        </is>
      </c>
      <c r="C1441" s="2" t="n">
        <v>10705</v>
      </c>
      <c r="D1441" s="3" t="inlineStr">
        <is>
          <t>Новый нечистый из преисподней</t>
        </is>
      </c>
      <c r="E1441" s="2" t="n">
        <v>1977</v>
      </c>
      <c r="F1441" s="2" t="inlineStr">
        <is>
          <t>фильм-спектакль</t>
        </is>
      </c>
      <c r="G1441" s="2" t="inlineStr">
        <is>
          <t>Эстонский телефильм</t>
        </is>
      </c>
      <c r="H1441" s="2" t="n">
        <v>185</v>
      </c>
      <c r="I1441" s="2" t="inlineStr"/>
      <c r="J1441" s="2" t="inlineStr">
        <is>
          <t>да</t>
        </is>
      </c>
      <c r="K1441" s="3" t="inlineStr">
        <is>
          <t>По гротескному роману эстонского писателя, классика эстонской литературы Антона Таммсааре (1878-1940) "Новый Нечистый из самого пекла".
Постановка эстонского театра "Ванемуйне" в Тарту.</t>
        </is>
      </c>
      <c r="L1441" s="2" t="inlineStr">
        <is>
          <t>https://www.kino-teatr.ru/teatr/movie/100150/annot/</t>
        </is>
      </c>
      <c r="M1441" s="2">
        <f>HYPERLINK("https://ru.wikipedia.org/w/index.php?search=%D0%9D%D0%BE%D0%B2%D1%8B%D0%B9%20%D0%BD%D0%B5%D1%87%D0%B8%D1%81%D1%82%D1%8B%D0%B9%20%D0%B8%D0%B7%20%D0%BF%D1%80%D0%B5%D0%B8%D1%81%D0%BF%D0%BE%D0%B4%D0%BD%D0%B5%D0%B9%201977%20%D1%84%D0%B8%D0%BB%D1%8C%D0%BC","искать")</f>
        <v/>
      </c>
      <c r="N1441" s="3" t="n"/>
      <c r="O1441" s="2" t="n"/>
    </row>
    <row r="1442">
      <c r="A1442" s="2" t="n">
        <v>1441</v>
      </c>
      <c r="B1442" s="2" t="inlineStr">
        <is>
          <t>не сюжет</t>
        </is>
      </c>
      <c r="C1442" s="2" t="n">
        <v>7507</v>
      </c>
      <c r="D1442" s="3" t="inlineStr">
        <is>
          <t>Дети греха</t>
        </is>
      </c>
      <c r="E1442" s="2" t="n">
        <v>1989</v>
      </c>
      <c r="F1442" s="2" t="inlineStr">
        <is>
          <t>телефильм</t>
        </is>
      </c>
      <c r="G1442" s="2" t="n"/>
      <c r="H1442" s="2" t="n">
        <v>186</v>
      </c>
      <c r="I1442" s="2" t="inlineStr"/>
      <c r="J1442" s="2" t="inlineStr">
        <is>
          <t>да</t>
        </is>
      </c>
      <c r="K1442" s="3" t="inlineStr">
        <is>
          <t>ცოდვის შვილები С тех пор как Каин убил Авеля, тяжкое бремя греха легло на плечи всего рода человеческого. Эта метафора и легла в основу фильма о двух мирах: христианском и мусульманском.</t>
        </is>
      </c>
      <c r="L1442" s="2" t="inlineStr">
        <is>
          <t>Кино_СССР сводный каталог.xlsx: список телефильмов</t>
        </is>
      </c>
      <c r="M1442" s="2">
        <f>HYPERLINK("https://ru.wikipedia.org/w/index.php?search=%D0%94%D0%B5%D1%82%D0%B8%20%D0%B3%D1%80%D0%B5%D1%85%D0%B0%201989%20%D1%84%D0%B8%D0%BB%D1%8C%D0%BC","искать")</f>
        <v/>
      </c>
      <c r="N1442" s="3" t="n"/>
      <c r="O1442" s="2" t="n"/>
    </row>
    <row r="1443">
      <c r="A1443" s="2" t="n">
        <v>1442</v>
      </c>
      <c r="B1443" s="2" t="inlineStr">
        <is>
          <t>не сюжет</t>
        </is>
      </c>
      <c r="C1443" s="2" t="n">
        <v>8222</v>
      </c>
      <c r="D1443" s="3" t="inlineStr">
        <is>
          <t>Провинциальная история</t>
        </is>
      </c>
      <c r="E1443" s="2" t="n">
        <v>1988</v>
      </c>
      <c r="F1443" s="2" t="inlineStr">
        <is>
          <t>телефильм</t>
        </is>
      </c>
      <c r="G1443" s="2" t="n"/>
      <c r="H1443" s="2" t="n">
        <v>186</v>
      </c>
      <c r="I1443" s="2" t="inlineStr"/>
      <c r="J1443" s="2" t="inlineStr">
        <is>
          <t>да</t>
        </is>
      </c>
      <c r="K1443" s="3" t="inlineStr">
        <is>
          <t>По мотивам повести Александра Миньковского "Неистовство Майки Сковрон". Напряженные отношения в семье, где отец и дочь не понимают друг друга. Сложный поиск взаимопонимания между людьми.</t>
        </is>
      </c>
      <c r="L1443" s="2" t="inlineStr">
        <is>
          <t>Кино_СССР сводный каталог.xlsx: список телефильмов</t>
        </is>
      </c>
      <c r="M1443" s="2">
        <f>HYPERLINK("https://ru.wikipedia.org/w/index.php?search=%D0%9F%D1%80%D0%BE%D0%B2%D0%B8%D0%BD%D1%86%D0%B8%D0%B0%D0%BB%D1%8C%D0%BD%D0%B0%D1%8F%20%D0%B8%D1%81%D1%82%D0%BE%D1%80%D0%B8%D1%8F%201988%20%D1%84%D0%B8%D0%BB%D1%8C%D0%BC","искать")</f>
        <v/>
      </c>
      <c r="N1443" s="3" t="n"/>
      <c r="O1443" s="2" t="n"/>
    </row>
    <row r="1444">
      <c r="A1444" s="2" t="n">
        <v>1443</v>
      </c>
      <c r="B1444" s="2" t="inlineStr">
        <is>
          <t>не сюжет</t>
        </is>
      </c>
      <c r="C1444" s="2" t="n">
        <v>10926</v>
      </c>
      <c r="D1444" s="3" t="inlineStr">
        <is>
          <t>Этот фантастический мир. Выпуск 4</t>
        </is>
      </c>
      <c r="E1444" s="2" t="n">
        <v>1981</v>
      </c>
      <c r="F1444" s="2" t="inlineStr">
        <is>
          <t>фильм-спектакль</t>
        </is>
      </c>
      <c r="G1444" s="2" t="inlineStr">
        <is>
          <t>Главная редакция программ для детей и юношества ЦТ</t>
        </is>
      </c>
      <c r="H1444" s="2" t="n">
        <v>186</v>
      </c>
      <c r="I1444" s="2" t="inlineStr"/>
      <c r="J1444" s="2" t="inlineStr">
        <is>
          <t>да</t>
        </is>
      </c>
      <c r="K1444" s="3" t="inlineStr">
        <is>
          <t>В этом выпуске телеальманаха были инсценированы фрагменты научно-фантастического романа А.Толстого "Аэлита", рассказов Кира Булычева "Снегурочка" и Эрика Фрэнка Рассела "Свидетельствую".</t>
        </is>
      </c>
      <c r="L1444" s="2" t="inlineStr">
        <is>
          <t>https://www.kino-teatr.ru/teatr/movie/16869/annot/</t>
        </is>
      </c>
      <c r="M1444" s="2">
        <f>HYPERLINK("https://ru.wikipedia.org/w/index.php?search=%D0%AD%D1%82%D0%BE%D1%82%20%D1%84%D0%B0%D0%BD%D1%82%D0%B0%D1%81%D1%82%D0%B8%D1%87%D0%B5%D1%81%D0%BA%D0%B8%D0%B9%20%D0%BC%D0%B8%D1%80.%20%D0%92%D1%8B%D0%BF%D1%83%D1%81%D0%BA%204%201981%20%D1%84%D0%B8%D0%BB%D1%8C%D0%BC","искать")</f>
        <v/>
      </c>
      <c r="N1444" s="3" t="n"/>
      <c r="O1444" s="2" t="n"/>
    </row>
    <row r="1445">
      <c r="A1445" s="2" t="n">
        <v>1444</v>
      </c>
      <c r="B1445" s="2" t="inlineStr">
        <is>
          <t>не сюжет</t>
        </is>
      </c>
      <c r="C1445" s="2" t="n">
        <v>7290</v>
      </c>
      <c r="D1445" s="3" t="inlineStr">
        <is>
          <t>В горах реки бурные</t>
        </is>
      </c>
      <c r="E1445" s="2" t="n">
        <v>1974</v>
      </c>
      <c r="F1445" s="2" t="inlineStr">
        <is>
          <t>телефильм</t>
        </is>
      </c>
      <c r="G1445" s="2" t="n"/>
      <c r="H1445" s="2" t="n">
        <v>187</v>
      </c>
      <c r="I1445" s="2" t="inlineStr"/>
      <c r="J1445" s="2" t="inlineStr">
        <is>
          <t>да</t>
        </is>
      </c>
      <c r="K1445" s="3" t="inlineStr">
        <is>
          <t>Фильм о периоде масштабного строительства многоэтажных домов во Владикавказе, о работе трестов и их конкуренции. На стройках трудились династии мастеров, молодежь перенимала опыт старших.</t>
        </is>
      </c>
      <c r="L1445" s="2" t="inlineStr">
        <is>
          <t>Кино_СССР сводный каталог.xlsx: список телефильмов</t>
        </is>
      </c>
      <c r="M1445" s="2">
        <f>HYPERLINK("https://ru.wikipedia.org/w/index.php?search=%D0%92%20%D0%B3%D0%BE%D1%80%D0%B0%D1%85%20%D1%80%D0%B5%D0%BA%D0%B8%20%D0%B1%D1%83%D1%80%D0%BD%D1%8B%D0%B5%201974%20%D1%84%D0%B8%D0%BB%D1%8C%D0%BC","искать")</f>
        <v/>
      </c>
      <c r="N1445" s="3" t="n"/>
      <c r="O1445" s="2" t="n"/>
    </row>
    <row r="1446">
      <c r="A1446" s="2" t="n">
        <v>1445</v>
      </c>
      <c r="B1446" s="2" t="inlineStr">
        <is>
          <t>не сюжет</t>
        </is>
      </c>
      <c r="C1446" s="2" t="n">
        <v>7404</v>
      </c>
      <c r="D1446" s="3" t="inlineStr">
        <is>
          <t>Встреча</t>
        </is>
      </c>
      <c r="E1446" s="2" t="n">
        <v>1971</v>
      </c>
      <c r="F1446" s="2" t="inlineStr">
        <is>
          <t>телефильм</t>
        </is>
      </c>
      <c r="G1446" s="2" t="n"/>
      <c r="H1446" s="2" t="n">
        <v>187</v>
      </c>
      <c r="I1446" s="2" t="inlineStr"/>
      <c r="J1446" s="2" t="inlineStr">
        <is>
          <t>да</t>
        </is>
      </c>
      <c r="K1446" s="3" t="inlineStr">
        <is>
          <t>Учрашув (телеминиатюралар) – фильм сборник юмористических телеминиатюр снятый на студии «Узбектелефильм». Неподражаемый юмор в исполнении признанных мастеров, ставший уже классикой жанра.</t>
        </is>
      </c>
      <c r="L1446" s="2" t="inlineStr">
        <is>
          <t>Кино_СССР сводный каталог.xlsx: список телефильмов</t>
        </is>
      </c>
      <c r="M1446" s="2">
        <f>HYPERLINK("https://ru.wikipedia.org/w/index.php?search=%D0%92%D1%81%D1%82%D1%80%D0%B5%D1%87%D0%B0%201971%20%D1%84%D0%B8%D0%BB%D1%8C%D0%BC","искать")</f>
        <v/>
      </c>
      <c r="N1446" s="3" t="n"/>
      <c r="O1446" s="2" t="n"/>
    </row>
    <row r="1447">
      <c r="A1447" s="2" t="n">
        <v>1446</v>
      </c>
      <c r="B1447" s="2" t="inlineStr">
        <is>
          <t>не сюжет</t>
        </is>
      </c>
      <c r="C1447" s="2" t="n">
        <v>10833</v>
      </c>
      <c r="D1447" s="3" t="inlineStr">
        <is>
          <t>Бенефис Татьяны Дорониной</t>
        </is>
      </c>
      <c r="E1447" s="2" t="n">
        <v>1980</v>
      </c>
      <c r="F1447" s="2" t="inlineStr">
        <is>
          <t>фильм-спектакль</t>
        </is>
      </c>
      <c r="G1447" s="2" t="inlineStr">
        <is>
          <t>Главная редакция музыкальных программ ЦТ</t>
        </is>
      </c>
      <c r="H1447" s="2" t="n">
        <v>187</v>
      </c>
      <c r="I1447" s="2" t="inlineStr"/>
      <c r="J1447" s="2" t="inlineStr">
        <is>
          <t>да</t>
        </is>
      </c>
      <c r="K1447" s="3" t="inlineStr">
        <is>
          <t>Телевизионный бенефис Татьяны Дорониной.
В фильме использованы фрагменты спектаклей театра им. Маяковского:
"Чайка", "Аристократы", "Да здравствует королева, виват!", "Человек из Ламанчи"</t>
        </is>
      </c>
      <c r="L1447" s="2" t="inlineStr">
        <is>
          <t>https://www.kino-teatr.ru/teatr/movie/82988/annot/</t>
        </is>
      </c>
      <c r="M1447" s="2">
        <f>HYPERLINK("https://ru.wikipedia.org/w/index.php?search=%D0%91%D0%B5%D0%BD%D0%B5%D1%84%D0%B8%D1%81%20%D0%A2%D0%B0%D1%82%D1%8C%D1%8F%D0%BD%D1%8B%20%D0%94%D0%BE%D1%80%D0%BE%D0%BD%D0%B8%D0%BD%D0%BE%D0%B9%201980%20%D1%84%D0%B8%D0%BB%D1%8C%D0%BC","искать")</f>
        <v/>
      </c>
      <c r="N1447" s="3" t="n"/>
      <c r="O1447" s="2" t="n"/>
    </row>
    <row r="1448">
      <c r="A1448" s="2" t="n">
        <v>1447</v>
      </c>
      <c r="B1448" s="2" t="inlineStr">
        <is>
          <t>не сюжет</t>
        </is>
      </c>
      <c r="C1448" s="2" t="n">
        <v>10959</v>
      </c>
      <c r="D1448" s="3" t="inlineStr">
        <is>
          <t>Праздник оперетты</t>
        </is>
      </c>
      <c r="E1448" s="2" t="n">
        <v>1982</v>
      </c>
      <c r="F1448" s="2" t="inlineStr">
        <is>
          <t>фильм-спектакль</t>
        </is>
      </c>
      <c r="G1448" s="2" t="n"/>
      <c r="H1448" s="2" t="n">
        <v>187</v>
      </c>
      <c r="I1448" s="2" t="inlineStr"/>
      <c r="J1448" s="2" t="inlineStr">
        <is>
          <t>да</t>
        </is>
      </c>
      <c r="K1448" s="3" t="inlineStr">
        <is>
          <t>Музыкальный телеспектакль, посвященный 100-летию со дня рождения венгерского композитора Имре Кальмана.
В основе спектакля отрывки из оперетт "Сильва", "Марица", "Принцесса цирка", "Бал".</t>
        </is>
      </c>
      <c r="L1448" s="2" t="inlineStr">
        <is>
          <t>https://www.kino-teatr.ru/teatr/movie/86597/annot/</t>
        </is>
      </c>
      <c r="M1448" s="2">
        <f>HYPERLINK("https://ru.wikipedia.org/w/index.php?search=%D0%9F%D1%80%D0%B0%D0%B7%D0%B4%D0%BD%D0%B8%D0%BA%20%D0%BE%D0%BF%D0%B5%D1%80%D0%B5%D1%82%D1%82%D1%8B%201982%20%D1%84%D0%B8%D0%BB%D1%8C%D0%BC","искать")</f>
        <v/>
      </c>
      <c r="N1448" s="3" t="n"/>
      <c r="O1448" s="2" t="n"/>
    </row>
    <row r="1449">
      <c r="A1449" s="2" t="n">
        <v>1448</v>
      </c>
      <c r="B1449" s="2" t="inlineStr">
        <is>
          <t>не сюжет</t>
        </is>
      </c>
      <c r="C1449" s="2" t="n">
        <v>7440</v>
      </c>
      <c r="D1449" s="3" t="inlineStr">
        <is>
          <t>Гляди веселей</t>
        </is>
      </c>
      <c r="E1449" s="2" t="n">
        <v>1982</v>
      </c>
      <c r="F1449" s="2" t="inlineStr">
        <is>
          <t>телефильм</t>
        </is>
      </c>
      <c r="G1449" s="2" t="n"/>
      <c r="H1449" s="2" t="n">
        <v>188</v>
      </c>
      <c r="I1449" s="2" t="inlineStr"/>
      <c r="J1449" s="2" t="inlineStr">
        <is>
          <t>да</t>
        </is>
      </c>
      <c r="K1449" s="3" t="inlineStr">
        <is>
          <t>По мотивам романа Леонида Соловьёва «Очарованный принц» о мудреце и острослове Ходже Насреддине. 1-я серия — «Вор из Багдада» 2-я серия — «Игра в сто забот» 3-я серия — «Очарованный принц»</t>
        </is>
      </c>
      <c r="L1449" s="2" t="inlineStr">
        <is>
          <t>Кино_СССР сводный каталог.xlsx: список телефильмов</t>
        </is>
      </c>
      <c r="M1449" s="2">
        <f>HYPERLINK("https://ru.wikipedia.org/w/index.php?search=%D0%93%D0%BB%D1%8F%D0%B4%D0%B8%20%D0%B2%D0%B5%D1%81%D0%B5%D0%BB%D0%B5%D0%B9%201982%20%D1%84%D0%B8%D0%BB%D1%8C%D0%BC","искать")</f>
        <v/>
      </c>
      <c r="N1449" s="3" t="n"/>
      <c r="O1449" s="2" t="n"/>
    </row>
    <row r="1450">
      <c r="A1450" s="2" t="n">
        <v>1449</v>
      </c>
      <c r="B1450" s="2" t="inlineStr">
        <is>
          <t>не сюжет</t>
        </is>
      </c>
      <c r="C1450" s="2" t="n">
        <v>8633</v>
      </c>
      <c r="D1450" s="3" t="inlineStr">
        <is>
          <t>Благословенная Бухара</t>
        </is>
      </c>
      <c r="E1450" s="2" t="n">
        <v>1990</v>
      </c>
      <c r="F1450" s="2" t="inlineStr">
        <is>
          <t>кинофильм</t>
        </is>
      </c>
      <c r="G1450" s="2" t="n"/>
      <c r="H1450" s="2" t="n">
        <v>188</v>
      </c>
      <c r="I1450" s="2" t="inlineStr"/>
      <c r="J1450" s="2" t="inlineStr">
        <is>
          <t>да</t>
        </is>
      </c>
      <c r="K1450" s="3" t="inlineStr">
        <is>
          <t>События фильма происходят в 50-е годы в одном из прекрасных городов мира-благословенной Бухаре. Это рассказ об уличных поэтах, живущих на заброшенных кладбищах, в мечетях, на крышах домов.</t>
        </is>
      </c>
      <c r="L1450" s="2" t="inlineStr">
        <is>
          <t>Кино_СССР сводный каталог.xlsx: список фильмов (доп.)</t>
        </is>
      </c>
      <c r="M1450" s="2">
        <f>HYPERLINK("https://ru.wikipedia.org/w/index.php?search=%D0%91%D0%BB%D0%B0%D0%B3%D0%BE%D1%81%D0%BB%D0%BE%D0%B2%D0%B5%D0%BD%D0%BD%D0%B0%D1%8F%20%D0%91%D1%83%D1%85%D0%B0%D1%80%D0%B0%201990%20%D1%84%D0%B8%D0%BB%D1%8C%D0%BC","искать")</f>
        <v/>
      </c>
      <c r="N1450" s="3" t="n"/>
      <c r="O1450" s="2" t="n"/>
    </row>
    <row r="1451">
      <c r="A1451" s="2" t="n">
        <v>1450</v>
      </c>
      <c r="B1451" s="2" t="inlineStr">
        <is>
          <t>не сюжет</t>
        </is>
      </c>
      <c r="C1451" s="2" t="n">
        <v>7443</v>
      </c>
      <c r="D1451" s="3" t="inlineStr">
        <is>
          <t>Голубая чашка</t>
        </is>
      </c>
      <c r="E1451" s="2" t="n">
        <v>1964</v>
      </c>
      <c r="F1451" s="2" t="inlineStr">
        <is>
          <t>телефильм</t>
        </is>
      </c>
      <c r="G1451" s="2" t="n"/>
      <c r="H1451" s="2" t="n">
        <v>189</v>
      </c>
      <c r="I1451" s="2" t="inlineStr"/>
      <c r="J1451" s="2" t="inlineStr">
        <is>
          <t>да</t>
        </is>
      </c>
      <c r="K1451" s="3" t="inlineStr">
        <is>
          <t>Телефильм по одноименной повести Аркадия Гайдара. Это рассказ о том, как легко обидеть человека, как возникают семейные трещины и как важно взрослым понять друг друга, не допустить разлада.</t>
        </is>
      </c>
      <c r="L1451" s="2" t="inlineStr">
        <is>
          <t>Кино_СССР сводный каталог.xlsx: список телефильмов</t>
        </is>
      </c>
      <c r="M1451" s="2">
        <f>HYPERLINK("https://ru.wikipedia.org/w/index.php?search=%D0%93%D0%BE%D0%BB%D1%83%D0%B1%D0%B0%D1%8F%20%D1%87%D0%B0%D1%88%D0%BA%D0%B0%201964%20%D1%84%D0%B8%D0%BB%D1%8C%D0%BC","искать")</f>
        <v/>
      </c>
      <c r="N1451" s="3" t="n"/>
      <c r="O1451" s="2" t="n"/>
    </row>
    <row r="1452">
      <c r="A1452" s="2" t="n">
        <v>1451</v>
      </c>
      <c r="B1452" s="2" t="inlineStr">
        <is>
          <t>не сюжет</t>
        </is>
      </c>
      <c r="C1452" s="2" t="n">
        <v>10206</v>
      </c>
      <c r="D1452" s="3" t="inlineStr">
        <is>
          <t>Метелица</t>
        </is>
      </c>
      <c r="E1452" s="2" t="n">
        <v>1967</v>
      </c>
      <c r="F1452" s="2" t="inlineStr">
        <is>
          <t>фильм-спектакль</t>
        </is>
      </c>
      <c r="G1452" s="2" t="inlineStr">
        <is>
          <t>Ленинградское телевидение</t>
        </is>
      </c>
      <c r="H1452" s="2" t="n">
        <v>189</v>
      </c>
      <c r="I1452" s="2" t="inlineStr"/>
      <c r="J1452" s="2" t="inlineStr">
        <is>
          <t>да</t>
        </is>
      </c>
      <c r="K1452" s="3" t="inlineStr">
        <is>
          <t>Телеспектакль по одноименной повести Веры Пановой о жизни советских военнопленных в Эстонии. Отражены наиболее тяжелые переживания первых месяцев войны и жизни на оккупированной территории.</t>
        </is>
      </c>
      <c r="L1452" s="2" t="inlineStr">
        <is>
          <t>https://www.kino-teatr.ru/teatr/movie/92793/annot/</t>
        </is>
      </c>
      <c r="M1452" s="2">
        <f>HYPERLINK("https://ru.wikipedia.org/w/index.php?search=%D0%9C%D0%B5%D1%82%D0%B5%D0%BB%D0%B8%D1%86%D0%B0%201967%20%D1%84%D0%B8%D0%BB%D1%8C%D0%BC","искать")</f>
        <v/>
      </c>
      <c r="N1452" s="3" t="n"/>
      <c r="O1452" s="2" t="n"/>
    </row>
    <row r="1453">
      <c r="A1453" s="2" t="n">
        <v>1452</v>
      </c>
      <c r="B1453" s="2" t="inlineStr">
        <is>
          <t>не сюжет</t>
        </is>
      </c>
      <c r="C1453" s="2" t="n">
        <v>11075</v>
      </c>
      <c r="D1453" s="3" t="inlineStr">
        <is>
          <t>Р РµРІРёР·РѕСЂ</t>
        </is>
      </c>
      <c r="E1453" s="2" t="n">
        <v>1985</v>
      </c>
      <c r="F1453" s="2" t="inlineStr">
        <is>
          <t>фильм-спектакль</t>
        </is>
      </c>
      <c r="G1453" s="2" t="n"/>
      <c r="H1453" s="2" t="n">
        <v>189</v>
      </c>
      <c r="I1453" s="2" t="inlineStr"/>
      <c r="J1453" s="2" t="inlineStr">
        <is>
          <t>да</t>
        </is>
      </c>
      <c r="K1453" s="3" t="inlineStr">
        <is>
          <t>РџРѕ РѕРґРЅРѕРёРјРµРЅРЅРѕР№ РєРѕРјРµРґРёРё Рќ.Р“РѕРіРѕР»СЏ РІ РїРѕСЃС‚Р°РЅРѕРІРєРµ Р“РѕСЃСѓРґР°СЂСЃС‚РІРµРЅРЅРѕРіРѕ Р°РєР°РґРµРјРёС‡РµСЃРєРѕРіРѕ РњР°Р»РѕРіРѕ С‚РµР°С‚СЂР° РЎРѕСЋР·Р° РЎРЎР .</t>
        </is>
      </c>
      <c r="L1453" s="2" t="inlineStr">
        <is>
          <t>https://www.kino-teatr.ru/teatr/movie/15086/annot/</t>
        </is>
      </c>
      <c r="M1453" s="2">
        <f>HYPERLINK("https://ru.wikipedia.org/w/index.php?search=%D0%A0%20%D0%A0%C2%B5%D0%A0%D0%86%D0%A0%D1%91%D0%A0%C2%B7%D0%A0%D1%95%D0%A1%D0%82%201985%20%D1%84%D0%B8%D0%BB%D1%8C%D0%BC","искать")</f>
        <v/>
      </c>
      <c r="N1453" s="3" t="n"/>
      <c r="O1453" s="2" t="n"/>
    </row>
    <row r="1454">
      <c r="A1454" s="2" t="n">
        <v>1453</v>
      </c>
      <c r="B1454" s="2" t="inlineStr">
        <is>
          <t>не сюжет</t>
        </is>
      </c>
      <c r="C1454" s="2" t="n">
        <v>9394</v>
      </c>
      <c r="D1454" s="3" t="inlineStr">
        <is>
          <t>Инженер Гоф</t>
        </is>
      </c>
      <c r="E1454" s="2" t="n">
        <v>1935</v>
      </c>
      <c r="F1454" s="2" t="inlineStr">
        <is>
          <t>кинофильм</t>
        </is>
      </c>
      <c r="G1454" s="2" t="n"/>
      <c r="H1454" s="2" t="n">
        <v>190</v>
      </c>
      <c r="I1454" s="2" t="inlineStr"/>
      <c r="J1454" s="2" t="inlineStr">
        <is>
          <t>да</t>
        </is>
      </c>
      <c r="K1454" s="3" t="inlineStr">
        <is>
          <t>Социальная дpама о классовой боpьбе в белоpусской деpевне в Полесье. Пеpвая большая pабота в кино В.В. Меpкуpьева (Стась). Режиссер фильма в 1937 году был репрессирован. Фильм не сохранился.</t>
        </is>
      </c>
      <c r="L1454" s="2" t="inlineStr">
        <is>
          <t>Кино_СССР сводный каталог.xlsx: список фильмов (доп.)</t>
        </is>
      </c>
      <c r="M1454" s="2">
        <f>HYPERLINK("https://ru.wikipedia.org/w/index.php?search=%D0%98%D0%BD%D0%B6%D0%B5%D0%BD%D0%B5%D1%80%20%D0%93%D0%BE%D1%84%201935%20%D1%84%D0%B8%D0%BB%D1%8C%D0%BC","искать")</f>
        <v/>
      </c>
      <c r="N1454" s="3" t="n"/>
      <c r="O1454" s="2" t="n"/>
    </row>
    <row r="1455">
      <c r="A1455" s="2" t="n">
        <v>1454</v>
      </c>
      <c r="B1455" s="2" t="inlineStr">
        <is>
          <t>не сюжет</t>
        </is>
      </c>
      <c r="C1455" s="2" t="n">
        <v>10168</v>
      </c>
      <c r="D1455" s="3" t="inlineStr">
        <is>
          <t>Маленькие трагедии</t>
        </is>
      </c>
      <c r="E1455" s="2" t="n">
        <v>1966</v>
      </c>
      <c r="F1455" s="2" t="inlineStr">
        <is>
          <t>фильм-спектакль</t>
        </is>
      </c>
      <c r="G1455" s="2" t="inlineStr">
        <is>
          <t>Гл. ред. лит-драм программ</t>
        </is>
      </c>
      <c r="H1455" s="2" t="n">
        <v>190</v>
      </c>
      <c r="I1455" s="2" t="inlineStr"/>
      <c r="J1455" s="2" t="inlineStr">
        <is>
          <t>да</t>
        </is>
      </c>
      <c r="K1455" s="3" t="inlineStr">
        <is>
          <t>По драмам А. Пушкина "Скупой рыцарь", "Каменный гость", "Моцарт и Сальери" в постановке Ленинградского государственного академического театра драмы имени А.С. Пушкина. Постановка Л. Вивьена.</t>
        </is>
      </c>
      <c r="L1455" s="2" t="inlineStr">
        <is>
          <t>https://www.kino-teatr.ru/teatr/movie/17367/annot/</t>
        </is>
      </c>
      <c r="M1455" s="2">
        <f>HYPERLINK("https://ru.wikipedia.org/w/index.php?search=%D0%9C%D0%B0%D0%BB%D0%B5%D0%BD%D1%8C%D0%BA%D0%B8%D0%B5%20%D1%82%D1%80%D0%B0%D0%B3%D0%B5%D0%B4%D0%B8%D0%B8%201966%20%D1%84%D0%B8%D0%BB%D1%8C%D0%BC","искать")</f>
        <v/>
      </c>
      <c r="N1455" s="3" t="n"/>
      <c r="O1455" s="2" t="n"/>
    </row>
    <row r="1456">
      <c r="A1456" s="2" t="n">
        <v>1455</v>
      </c>
      <c r="B1456" s="2" t="inlineStr">
        <is>
          <t>не сюжет</t>
        </is>
      </c>
      <c r="C1456" s="2" t="n">
        <v>8652</v>
      </c>
      <c r="D1456" s="3" t="inlineStr">
        <is>
          <t>Весёлый калейдоскоп</t>
        </is>
      </c>
      <c r="E1456" s="2" t="n">
        <v>1974</v>
      </c>
      <c r="F1456" s="2" t="inlineStr">
        <is>
          <t>кинофильм</t>
        </is>
      </c>
      <c r="G1456" s="2" t="n"/>
      <c r="H1456" s="2" t="n">
        <v>191</v>
      </c>
      <c r="I1456" s="2" t="inlineStr"/>
      <c r="J1456" s="2" t="inlineStr">
        <is>
          <t>да</t>
        </is>
      </c>
      <c r="K1456" s="3" t="inlineStr">
        <is>
          <t>Киноальманах состоит из трех юмористических новелл. Новелла первая - "Сюрпризы после смены". Новелла вторая - "Мой друг Кнопик, который знает все". Новелла третья - "Качкин едет в санаторий".</t>
        </is>
      </c>
      <c r="L1456" s="2" t="inlineStr">
        <is>
          <t>Кино_СССР сводный каталог.xlsx: список фильмов (доп.)</t>
        </is>
      </c>
      <c r="M1456" s="2">
        <f>HYPERLINK("https://ru.wikipedia.org/w/index.php?search=%D0%92%D0%B5%D1%81%D1%91%D0%BB%D1%8B%D0%B9%20%D0%BA%D0%B0%D0%BB%D0%B5%D0%B9%D0%B4%D0%BE%D1%81%D0%BA%D0%BE%D0%BF%201974%20%D1%84%D0%B8%D0%BB%D1%8C%D0%BC","искать")</f>
        <v/>
      </c>
      <c r="N1456" s="3" t="n"/>
      <c r="O1456" s="2" t="n"/>
    </row>
    <row r="1457">
      <c r="A1457" s="2" t="n">
        <v>1456</v>
      </c>
      <c r="B1457" s="2" t="inlineStr">
        <is>
          <t>не сюжет</t>
        </is>
      </c>
      <c r="C1457" s="2" t="n">
        <v>10989</v>
      </c>
      <c r="D1457" s="3" t="inlineStr">
        <is>
          <t>Житейское море</t>
        </is>
      </c>
      <c r="E1457" s="2" t="n">
        <v>1983</v>
      </c>
      <c r="F1457" s="2" t="inlineStr">
        <is>
          <t>фильм-спектакль</t>
        </is>
      </c>
      <c r="G1457" s="2" t="inlineStr">
        <is>
          <t>Укртелефильм</t>
        </is>
      </c>
      <c r="H1457" s="2" t="n">
        <v>191</v>
      </c>
      <c r="I1457" s="2" t="inlineStr"/>
      <c r="J1457" s="2" t="inlineStr">
        <is>
          <t>да</t>
        </is>
      </c>
      <c r="K1457" s="3" t="inlineStr">
        <is>
          <t>Телевизионная версия спектакля Львовского театра им.Марии Заньковецкой по одноименной пьесе Ивана Карпенко-Карого. В главных ролях звезды украинской сцены - Фёдор Стригун и Таисия Литвиненко.</t>
        </is>
      </c>
      <c r="L1457" s="2" t="inlineStr">
        <is>
          <t>https://www.kino-teatr.ru/teatr/movie/102392/annot/</t>
        </is>
      </c>
      <c r="M1457" s="2">
        <f>HYPERLINK("https://ru.wikipedia.org/w/index.php?search=%D0%96%D0%B8%D1%82%D0%B5%D0%B9%D1%81%D0%BA%D0%BE%D0%B5%20%D0%BC%D0%BE%D1%80%D0%B5%201983%20%D1%84%D0%B8%D0%BB%D1%8C%D0%BC","искать")</f>
        <v/>
      </c>
      <c r="N1457" s="3" t="n"/>
      <c r="O1457" s="2" t="n"/>
    </row>
    <row r="1458">
      <c r="A1458" s="2" t="n">
        <v>1457</v>
      </c>
      <c r="B1458" s="2" t="inlineStr">
        <is>
          <t>не сюжет</t>
        </is>
      </c>
      <c r="C1458" s="2" t="n">
        <v>7493</v>
      </c>
      <c r="D1458" s="3" t="inlineStr">
        <is>
          <t>Дело</t>
        </is>
      </c>
      <c r="E1458" s="2" t="n">
        <v>1991</v>
      </c>
      <c r="F1458" s="2" t="inlineStr">
        <is>
          <t>телефильм</t>
        </is>
      </c>
      <c r="G1458" s="2" t="n"/>
      <c r="H1458" s="2" t="n">
        <v>192</v>
      </c>
      <c r="I1458" s="2" t="inlineStr"/>
      <c r="J1458" s="2" t="inlineStr">
        <is>
          <t>да</t>
        </is>
      </c>
      <c r="K1458" s="3" t="inlineStr">
        <is>
          <t>Экранизация произведения А. Сухово-Кобылина "Дело", в котором воспроизводятся детали пережитого автором судебного процесса. При жизни автора цензура не пропускала пьесу на сцену больше 20 лет.</t>
        </is>
      </c>
      <c r="L1458" s="2" t="inlineStr">
        <is>
          <t>Кино_СССР сводный каталог.xlsx: список телефильмов</t>
        </is>
      </c>
      <c r="M1458" s="2">
        <f>HYPERLINK("https://ru.wikipedia.org/w/index.php?search=%D0%94%D0%B5%D0%BB%D0%BE%201991%20%D1%84%D0%B8%D0%BB%D1%8C%D0%BC","искать")</f>
        <v/>
      </c>
      <c r="N1458" s="3" t="n"/>
      <c r="O1458" s="2" t="n"/>
    </row>
    <row r="1459">
      <c r="A1459" s="2" t="n">
        <v>1458</v>
      </c>
      <c r="B1459" s="2" t="inlineStr">
        <is>
          <t>не сюжет</t>
        </is>
      </c>
      <c r="C1459" s="2" t="n">
        <v>9207</v>
      </c>
      <c r="D1459" s="3" t="inlineStr">
        <is>
          <t>Арут</t>
        </is>
      </c>
      <c r="E1459" s="2" t="n">
        <v>1933</v>
      </c>
      <c r="F1459" s="2" t="inlineStr">
        <is>
          <t>кинофильм</t>
        </is>
      </c>
      <c r="G1459" s="2" t="n"/>
      <c r="H1459" s="2" t="n">
        <v>192</v>
      </c>
      <c r="I1459" s="2" t="inlineStr"/>
      <c r="J1459" s="2" t="inlineStr">
        <is>
          <t>да</t>
        </is>
      </c>
      <c r="K1459" s="3" t="inlineStr">
        <is>
          <t>Հարութ «О борьбе хлопкоробов Армении с кулаками в годы коллективизации. Фильм сделан под влиянием «Земли» А.П.Довженко.» - Е.Марголит, В.Шмыров «(Изъятое кино). 1924—1953" М., «Дубль-Д», 1995.</t>
        </is>
      </c>
      <c r="L1459" s="2" t="inlineStr">
        <is>
          <t>Кино_СССР сводный каталог.xlsx: список фильмов (доп.)</t>
        </is>
      </c>
      <c r="M1459" s="2">
        <f>HYPERLINK("https://ru.wikipedia.org/w/index.php?search=%D0%90%D1%80%D1%83%D1%82%201933%20%D1%84%D0%B8%D0%BB%D1%8C%D0%BC","искать")</f>
        <v/>
      </c>
      <c r="N1459" s="3" t="n"/>
      <c r="O1459" s="2" t="n"/>
    </row>
    <row r="1460">
      <c r="A1460" s="2" t="n">
        <v>1459</v>
      </c>
      <c r="B1460" s="2" t="inlineStr">
        <is>
          <t>не сюжет</t>
        </is>
      </c>
      <c r="C1460" s="2" t="n">
        <v>7563</v>
      </c>
      <c r="D1460" s="3" t="inlineStr">
        <is>
          <t>Друзей не выбирают</t>
        </is>
      </c>
      <c r="E1460" s="2" t="n">
        <v>1985</v>
      </c>
      <c r="F1460" s="2" t="inlineStr">
        <is>
          <t>телефильм</t>
        </is>
      </c>
      <c r="G1460" s="2" t="n"/>
      <c r="H1460" s="2" t="n">
        <v>193</v>
      </c>
      <c r="I1460" s="2" t="inlineStr"/>
      <c r="J1460" s="2" t="inlineStr">
        <is>
          <t>да</t>
        </is>
      </c>
      <c r="K1460" s="3" t="inlineStr">
        <is>
          <t>Телесериал по мотивам одноименного романа Б. Павленка. О друзьях-товарищах - Андрее, Антоне и Василе, совместно начинавших свою комсомольско-трудовую биографию в Белоруссии в послевоенные годы.</t>
        </is>
      </c>
      <c r="L1460" s="2" t="inlineStr">
        <is>
          <t>Кино_СССР сводный каталог.xlsx: список телефильмов</t>
        </is>
      </c>
      <c r="M1460" s="2">
        <f>HYPERLINK("https://ru.wikipedia.org/w/index.php?search=%D0%94%D1%80%D1%83%D0%B7%D0%B5%D0%B9%20%D0%BD%D0%B5%20%D0%B2%D1%8B%D0%B1%D0%B8%D1%80%D0%B0%D1%8E%D1%82%201985%20%D1%84%D0%B8%D0%BB%D1%8C%D0%BC","искать")</f>
        <v/>
      </c>
      <c r="N1460" s="3" t="n"/>
      <c r="O1460" s="2" t="n"/>
    </row>
    <row r="1461">
      <c r="A1461" s="2" t="n">
        <v>1460</v>
      </c>
      <c r="B1461" s="2" t="inlineStr">
        <is>
          <t>не сюжет</t>
        </is>
      </c>
      <c r="C1461" s="2" t="n">
        <v>10293</v>
      </c>
      <c r="D1461" s="3" t="inlineStr">
        <is>
          <t>В голубом и красном</t>
        </is>
      </c>
      <c r="E1461" s="2" t="n">
        <v>1969</v>
      </c>
      <c r="F1461" s="2" t="inlineStr">
        <is>
          <t>фильм-спектакль</t>
        </is>
      </c>
      <c r="G1461" s="2" t="inlineStr">
        <is>
          <t>Главная редакция литературно-драматических программ</t>
        </is>
      </c>
      <c r="H1461" s="2" t="n">
        <v>193</v>
      </c>
      <c r="I1461" s="2" t="inlineStr"/>
      <c r="J1461" s="2" t="inlineStr">
        <is>
          <t>да</t>
        </is>
      </c>
      <c r="K1461" s="3" t="inlineStr">
        <is>
          <t>По одноименному произведению венгерского писателя М.Хубаи.
Об участии венгерской молодежи в антифашистской борьбе в годы второй мировой войны.
Постановка венгерского режиссера Миклоша Синетара.</t>
        </is>
      </c>
      <c r="L1461" s="2" t="inlineStr">
        <is>
          <t>https://www.kino-teatr.ru/teatr/movie/92982/annot/</t>
        </is>
      </c>
      <c r="M1461" s="2">
        <f>HYPERLINK("https://ru.wikipedia.org/w/index.php?search=%D0%92%20%D0%B3%D0%BE%D0%BB%D1%83%D0%B1%D0%BE%D0%BC%20%D0%B8%20%D0%BA%D1%80%D0%B0%D1%81%D0%BD%D0%BE%D0%BC%201969%20%D1%84%D0%B8%D0%BB%D1%8C%D0%BC","искать")</f>
        <v/>
      </c>
      <c r="N1461" s="3" t="n"/>
      <c r="O1461" s="2" t="n"/>
    </row>
    <row r="1462">
      <c r="A1462" s="2" t="n">
        <v>1461</v>
      </c>
      <c r="B1462" s="2" t="inlineStr">
        <is>
          <t>не сюжет</t>
        </is>
      </c>
      <c r="C1462" s="2" t="n">
        <v>8694</v>
      </c>
      <c r="D1462" s="3" t="inlineStr">
        <is>
          <t>Два шага до тишины</t>
        </is>
      </c>
      <c r="E1462" s="2" t="n">
        <v>1991</v>
      </c>
      <c r="F1462" s="2" t="inlineStr">
        <is>
          <t>кинофильм</t>
        </is>
      </c>
      <c r="G1462" s="2" t="n"/>
      <c r="H1462" s="2" t="n">
        <v>194</v>
      </c>
      <c r="I1462" s="2" t="inlineStr"/>
      <c r="J1462" s="2" t="inlineStr">
        <is>
          <t>да</t>
        </is>
      </c>
      <c r="K1462" s="3" t="inlineStr">
        <is>
          <t>Афганистан. Февраль 1989 года. Последние дни пребывание советских войск в чужой стране. Скоро домой, но война еще продолжается. И многие задаются вопросом: кто ты - захватчик или освободитель?..</t>
        </is>
      </c>
      <c r="L1462" s="2" t="inlineStr">
        <is>
          <t>Кино_СССР сводный каталог.xlsx: список фильмов (доп.)</t>
        </is>
      </c>
      <c r="M1462" s="2">
        <f>HYPERLINK("https://ru.wikipedia.org/w/index.php?search=%D0%94%D0%B2%D0%B0%20%D1%88%D0%B0%D0%B3%D0%B0%20%D0%B4%D0%BE%20%D1%82%D0%B8%D1%88%D0%B8%D0%BD%D1%8B%201991%20%D1%84%D0%B8%D0%BB%D1%8C%D0%BC","искать")</f>
        <v/>
      </c>
      <c r="N1462" s="3" t="n"/>
      <c r="O1462" s="2" t="n"/>
    </row>
    <row r="1463">
      <c r="A1463" s="2" t="n">
        <v>1462</v>
      </c>
      <c r="B1463" s="2" t="inlineStr">
        <is>
          <t>не сюжет</t>
        </is>
      </c>
      <c r="C1463" s="2" t="n">
        <v>9296</v>
      </c>
      <c r="D1463" s="3" t="inlineStr">
        <is>
          <t>Высота №5</t>
        </is>
      </c>
      <c r="E1463" s="2" t="n">
        <v>1932</v>
      </c>
      <c r="F1463" s="2" t="inlineStr">
        <is>
          <t>кинофильм</t>
        </is>
      </c>
      <c r="G1463" s="2" t="n"/>
      <c r="H1463" s="2" t="n">
        <v>194</v>
      </c>
      <c r="I1463" s="2" t="inlineStr"/>
      <c r="J1463" s="2" t="inlineStr">
        <is>
          <t>да</t>
        </is>
      </c>
      <c r="K1463" s="3" t="inlineStr">
        <is>
          <t>«Агитпропфильм на тему ликвидации прорыва на производстве и борьбы с кулаками-вредителями. Фильм снимался как немой, на заключительной стадии был озвучен шумами и музыкой». Е.Марголит, В.Шмыров.</t>
        </is>
      </c>
      <c r="L1463" s="2" t="inlineStr">
        <is>
          <t>Кино_СССР сводный каталог.xlsx: список фильмов (доп.)</t>
        </is>
      </c>
      <c r="M1463" s="2">
        <f>HYPERLINK("https://ru.wikipedia.org/w/index.php?search=%D0%92%D1%8B%D1%81%D0%BE%D1%82%D0%B0%20%E2%84%965%201932%20%D1%84%D0%B8%D0%BB%D1%8C%D0%BC","искать")</f>
        <v/>
      </c>
      <c r="N1463" s="3" t="n"/>
      <c r="O1463" s="2" t="n"/>
    </row>
    <row r="1464">
      <c r="A1464" s="2" t="n">
        <v>1463</v>
      </c>
      <c r="B1464" s="2" t="inlineStr">
        <is>
          <t>не сюжет</t>
        </is>
      </c>
      <c r="C1464" s="2" t="n">
        <v>11200</v>
      </c>
      <c r="D1464" s="3" t="inlineStr">
        <is>
          <t>Загадка. Разгадка</t>
        </is>
      </c>
      <c r="E1464" s="2" t="n">
        <v>1988</v>
      </c>
      <c r="F1464" s="2" t="inlineStr">
        <is>
          <t>фильм-спектакль</t>
        </is>
      </c>
      <c r="G1464" s="2" t="inlineStr">
        <is>
          <t>Главная редакция программ для детей и юношества ЦТ</t>
        </is>
      </c>
      <c r="H1464" s="2" t="n">
        <v>194</v>
      </c>
      <c r="I1464" s="2" t="inlineStr"/>
      <c r="J1464" s="2" t="inlineStr">
        <is>
          <t>да</t>
        </is>
      </c>
      <c r="K1464" s="3" t="inlineStr">
        <is>
          <t>По повести Вениамина Каверина "Шестнадцатилетие".
О том, как важно учителю быть не просто знатоком своего предмета, но и воспитателем, понять души детей, суметь вникнуть в сущность их отношений.</t>
        </is>
      </c>
      <c r="L1464" s="2" t="inlineStr">
        <is>
          <t>https://www.kino-teatr.ru/teatr/movie/2339/annot/</t>
        </is>
      </c>
      <c r="M1464" s="2">
        <f>HYPERLINK("https://ru.wikipedia.org/w/index.php?search=%D0%97%D0%B0%D0%B3%D0%B0%D0%B4%D0%BA%D0%B0.%20%D0%A0%D0%B0%D0%B7%D0%B3%D0%B0%D0%B4%D0%BA%D0%B0%201988%20%D1%84%D0%B8%D0%BB%D1%8C%D0%BC","искать")</f>
        <v/>
      </c>
      <c r="N1464" s="3" t="n"/>
      <c r="O1464" s="2" t="n"/>
    </row>
    <row r="1465">
      <c r="A1465" s="2" t="n">
        <v>1464</v>
      </c>
      <c r="B1465" s="2" t="inlineStr">
        <is>
          <t>не сюжет</t>
        </is>
      </c>
      <c r="C1465" s="2" t="n">
        <v>7252</v>
      </c>
      <c r="D1465" s="3" t="inlineStr">
        <is>
          <t>Берёзы на ветру</t>
        </is>
      </c>
      <c r="E1465" s="2" t="n">
        <v>1963</v>
      </c>
      <c r="F1465" s="2" t="inlineStr">
        <is>
          <t>телефильм</t>
        </is>
      </c>
      <c r="G1465" s="2" t="inlineStr">
        <is>
          <t>Литовское телевидение</t>
        </is>
      </c>
      <c r="H1465" s="2" t="n">
        <v>195</v>
      </c>
      <c r="I1465" s="2" t="inlineStr"/>
      <c r="J1465" s="2" t="inlineStr">
        <is>
          <t>да</t>
        </is>
      </c>
      <c r="K1465" s="3" t="inlineStr">
        <is>
          <t>По одноименной повести Витаутаса Бубниса. Тема фильма - жизнь колхозной деревни, отношения между людьми, противоречия старого и молодого поколения из-за разных взглядов на жизнь, любовь и мораль.</t>
        </is>
      </c>
      <c r="L1465" s="2" t="inlineStr">
        <is>
          <t>Кино_СССР сводный каталог.xlsx: список телефильмов</t>
        </is>
      </c>
      <c r="M1465" s="2">
        <f>HYPERLINK("https://ru.wikipedia.org/w/index.php?search=%D0%91%D0%B5%D1%80%D1%91%D0%B7%D1%8B%20%D0%BD%D0%B0%20%D0%B2%D0%B5%D1%82%D1%80%D1%83%201963%20%D1%84%D0%B8%D0%BB%D1%8C%D0%BC","искать")</f>
        <v/>
      </c>
      <c r="N1465" s="3" t="n"/>
      <c r="O1465" s="2" t="n"/>
    </row>
    <row r="1466">
      <c r="A1466" s="2" t="n">
        <v>1465</v>
      </c>
      <c r="B1466" s="2" t="inlineStr">
        <is>
          <t>не сюжет</t>
        </is>
      </c>
      <c r="C1466" s="2" t="n">
        <v>10395</v>
      </c>
      <c r="D1466" s="3" t="inlineStr">
        <is>
          <t>Золотая карета</t>
        </is>
      </c>
      <c r="E1466" s="2" t="n">
        <v>1971</v>
      </c>
      <c r="F1466" s="2" t="inlineStr">
        <is>
          <t>фильм-спектакль</t>
        </is>
      </c>
      <c r="G1466" s="2" t="n"/>
      <c r="H1466" s="2" t="n">
        <v>195</v>
      </c>
      <c r="I1466" s="2" t="inlineStr"/>
      <c r="J1466" s="2" t="inlineStr">
        <is>
          <t>да</t>
        </is>
      </c>
      <c r="K1466" s="3" t="inlineStr">
        <is>
          <t>По одноименной пьесе Л.Леонова в постановке Московского драматического театра на Малой Бронной.
О председателе горисполкома Марии Сергеевне Порошиной, которая видит свое счастье в служении людям.</t>
        </is>
      </c>
      <c r="L1466" s="2" t="inlineStr">
        <is>
          <t>https://www.kino-teatr.ru/teatr/movie/81467/annot/</t>
        </is>
      </c>
      <c r="M1466" s="2">
        <f>HYPERLINK("https://ru.wikipedia.org/w/index.php?search=%D0%97%D0%BE%D0%BB%D0%BE%D1%82%D0%B0%D1%8F%20%D0%BA%D0%B0%D1%80%D0%B5%D1%82%D0%B0%201971%20%D1%84%D0%B8%D0%BB%D1%8C%D0%BC","искать")</f>
        <v/>
      </c>
      <c r="N1466" s="3" t="n"/>
      <c r="O1466" s="2" t="n"/>
    </row>
    <row r="1467">
      <c r="A1467" s="2" t="n">
        <v>1466</v>
      </c>
      <c r="B1467" s="2" t="inlineStr">
        <is>
          <t>не сюжет</t>
        </is>
      </c>
      <c r="C1467" s="2" t="n">
        <v>11264</v>
      </c>
      <c r="D1467" s="3" t="inlineStr">
        <is>
          <t>Мастер и Маргарита. Главы из романа</t>
        </is>
      </c>
      <c r="E1467" s="2" t="n">
        <v>1989</v>
      </c>
      <c r="F1467" s="2" t="inlineStr">
        <is>
          <t>фильм-спектакль</t>
        </is>
      </c>
      <c r="G1467" s="2" t="inlineStr">
        <is>
          <t>Главная редакция литературно-драматических программ ЦТ</t>
        </is>
      </c>
      <c r="H1467" s="2" t="n">
        <v>195</v>
      </c>
      <c r="I1467" s="2" t="inlineStr"/>
      <c r="J1467" s="2" t="inlineStr">
        <is>
          <t>да</t>
        </is>
      </c>
      <c r="K1467" s="3" t="inlineStr">
        <is>
          <t>Телеверсия спектакля Саратовского драматического театра по роману М.Булгакова "Мастер и Маргарита" в постановке режиссера Александра Дзекуна. На сцене театра спектакль шел в течениe двух вечеров.</t>
        </is>
      </c>
      <c r="L1467" s="2" t="inlineStr">
        <is>
          <t>https://www.kino-teatr.ru/teatr/movie/93240/annot/</t>
        </is>
      </c>
      <c r="M1467" s="2">
        <f>HYPERLINK("https://ru.wikipedia.org/w/index.php?search=%D0%9C%D0%B0%D1%81%D1%82%D0%B5%D1%80%20%D0%B8%20%D0%9C%D0%B0%D1%80%D0%B3%D0%B0%D1%80%D0%B8%D1%82%D0%B0.%20%D0%93%D0%BB%D0%B0%D0%B2%D1%8B%20%D0%B8%D0%B7%20%D1%80%D0%BE%D0%BC%D0%B0%D0%BD%D0%B0%201989%20%D1%84%D0%B8%D0%BB%D1%8C%D0%BC","искать")</f>
        <v/>
      </c>
      <c r="N1467" s="3" t="n"/>
      <c r="O1467" s="2" t="n"/>
    </row>
    <row r="1468">
      <c r="A1468" s="2" t="n">
        <v>1467</v>
      </c>
      <c r="B1468" s="2" t="inlineStr">
        <is>
          <t>не сюжет</t>
        </is>
      </c>
      <c r="C1468" s="2" t="n">
        <v>9825</v>
      </c>
      <c r="D1468" s="3" t="inlineStr">
        <is>
          <t>Враги</t>
        </is>
      </c>
      <c r="E1468" s="2" t="n">
        <v>1964</v>
      </c>
      <c r="F1468" s="2" t="inlineStr">
        <is>
          <t>телефильм</t>
        </is>
      </c>
      <c r="G1468" s="2" t="inlineStr">
        <is>
          <t>Новосибирская студия телевидения</t>
        </is>
      </c>
      <c r="H1468" s="2" t="n">
        <v>196</v>
      </c>
      <c r="I1468" s="2" t="inlineStr"/>
      <c r="J1468" s="2" t="inlineStr">
        <is>
          <t>да</t>
        </is>
      </c>
      <c r="K1468" s="3" t="inlineStr">
        <is>
          <t>Этот фильм, поставленный по рассказу Эммануила Казакевича и рассказывающий о взаимоотношениях Ленина и Мартова, был отвергнут в свое время цензурой и запрещен к показу по Центральному телевидению.</t>
        </is>
      </c>
      <c r="L1468" s="2" t="inlineStr">
        <is>
          <t>https://www.kino-teatr.ru/short/movie/sov/119388/annot/</t>
        </is>
      </c>
      <c r="M1468" s="2">
        <f>HYPERLINK("https://ru.wikipedia.org/w/index.php?search=%D0%92%D1%80%D0%B0%D0%B3%D0%B8%201964%20%D1%84%D0%B8%D0%BB%D1%8C%D0%BC","искать")</f>
        <v/>
      </c>
      <c r="N1468" s="3" t="n"/>
      <c r="O1468" s="2" t="n"/>
    </row>
    <row r="1469">
      <c r="A1469" s="2" t="n">
        <v>1468</v>
      </c>
      <c r="B1469" s="2" t="inlineStr">
        <is>
          <t>не сюжет</t>
        </is>
      </c>
      <c r="C1469" s="2" t="n">
        <v>9884</v>
      </c>
      <c r="D1469" s="3" t="inlineStr">
        <is>
          <t>Цвет белого снега</t>
        </is>
      </c>
      <c r="E1469" s="2" t="n">
        <v>1970</v>
      </c>
      <c r="F1469" s="2" t="inlineStr">
        <is>
          <t>телефильм</t>
        </is>
      </c>
      <c r="G1469" s="2" t="inlineStr">
        <is>
          <t>Творческое объединение "Экран"</t>
        </is>
      </c>
      <c r="H1469" s="2" t="n">
        <v>196</v>
      </c>
      <c r="I1469" s="2" t="inlineStr"/>
      <c r="J1469" s="2" t="inlineStr">
        <is>
          <t>да</t>
        </is>
      </c>
      <c r="K1469" s="3" t="inlineStr">
        <is>
          <t>Истоpия любви двух горожан: девушки, контролера метрополитена, и студента художественного училища. Главная героиня работает контролёром ныне закрытой станции Петербургского метрополитена «Дачное».</t>
        </is>
      </c>
      <c r="L1469" s="2" t="inlineStr">
        <is>
          <t>https://www.kino-teatr.ru/short/movie/sov/7683/annot/</t>
        </is>
      </c>
      <c r="M1469" s="2">
        <f>HYPERLINK("https://ru.wikipedia.org/w/index.php?search=%D0%A6%D0%B2%D0%B5%D1%82%20%D0%B1%D0%B5%D0%BB%D0%BE%D0%B3%D0%BE%20%D1%81%D0%BD%D0%B5%D0%B3%D0%B0%201970%20%D1%84%D0%B8%D0%BB%D1%8C%D0%BC","искать")</f>
        <v/>
      </c>
      <c r="N1469" s="3" t="n"/>
      <c r="O1469" s="2" t="n"/>
    </row>
    <row r="1470">
      <c r="A1470" s="2" t="n">
        <v>1469</v>
      </c>
      <c r="B1470" s="2" t="inlineStr">
        <is>
          <t>не сюжет</t>
        </is>
      </c>
      <c r="C1470" s="2" t="n">
        <v>8514</v>
      </c>
      <c r="D1470" s="3" t="inlineStr">
        <is>
          <t>Фламинго приносит счастье</t>
        </is>
      </c>
      <c r="E1470" s="2" t="n">
        <v>1986</v>
      </c>
      <c r="F1470" s="2" t="inlineStr">
        <is>
          <t>телефильм</t>
        </is>
      </c>
      <c r="G1470" s="2" t="n"/>
      <c r="H1470" s="2" t="n">
        <v>197</v>
      </c>
      <c r="I1470" s="2" t="inlineStr"/>
      <c r="J1470" s="2" t="inlineStr">
        <is>
          <t>да</t>
        </is>
      </c>
      <c r="K1470" s="3" t="inlineStr">
        <is>
          <t>По роману Раймонда Каугвера «Мы не виноваты». Фильм исследует причины преступного поведения молодого человека из внешне благополучной семьи, обращаясь к вопросам воспитания, равнодушия и лицемерия.</t>
        </is>
      </c>
      <c r="L1470" s="2" t="inlineStr">
        <is>
          <t>Кино_СССР сводный каталог.xlsx: список телефильмов</t>
        </is>
      </c>
      <c r="M1470" s="2">
        <f>HYPERLINK("https://ru.wikipedia.org/w/index.php?search=%D0%A4%D0%BB%D0%B0%D0%BC%D0%B8%D0%BD%D0%B3%D0%BE%20%D0%BF%D1%80%D0%B8%D0%BD%D0%BE%D1%81%D0%B8%D1%82%20%D1%81%D1%87%D0%B0%D1%81%D1%82%D1%8C%D0%B5%201986%20%D1%84%D0%B8%D0%BB%D1%8C%D0%BC","искать")</f>
        <v/>
      </c>
      <c r="N1470" s="3" t="n"/>
      <c r="O1470" s="2" t="n"/>
    </row>
    <row r="1471">
      <c r="A1471" s="2" t="n">
        <v>1470</v>
      </c>
      <c r="B1471" s="2" t="inlineStr">
        <is>
          <t>не сюжет</t>
        </is>
      </c>
      <c r="C1471" s="2" t="n">
        <v>9573</v>
      </c>
      <c r="D1471" s="3" t="inlineStr">
        <is>
          <t>Посещение</t>
        </is>
      </c>
      <c r="E1471" s="2" t="n">
        <v>1989</v>
      </c>
      <c r="F1471" s="2" t="inlineStr">
        <is>
          <t>кинофильм</t>
        </is>
      </c>
      <c r="G1471" s="2" t="n"/>
      <c r="H1471" s="2" t="n">
        <v>197</v>
      </c>
      <c r="I1471" s="2" t="inlineStr"/>
      <c r="J1471" s="2" t="inlineStr">
        <is>
          <t>да</t>
        </is>
      </c>
      <c r="K1471" s="3" t="inlineStr">
        <is>
          <t>Кинематографическая импровизация. Авторская интерпретация рассказа Ф.М.Достоевского "Сон смешного человека" с использованием мотивов рассказов Т.Манна "Паяц" и Льва Толстого "Записки сумасшедшего".</t>
        </is>
      </c>
      <c r="L1471" s="2" t="inlineStr">
        <is>
          <t>Кино_СССР сводный каталог.xlsx: список фильмов (доп.)</t>
        </is>
      </c>
      <c r="M1471" s="2">
        <f>HYPERLINK("https://ru.wikipedia.org/w/index.php?search=%D0%9F%D0%BE%D1%81%D0%B5%D1%89%D0%B5%D0%BD%D0%B8%D0%B5%201989%20%D1%84%D0%B8%D0%BB%D1%8C%D0%BC","искать")</f>
        <v/>
      </c>
      <c r="N1471" s="3" t="n"/>
      <c r="O1471" s="2" t="n"/>
    </row>
    <row r="1472">
      <c r="A1472" s="2" t="n">
        <v>1471</v>
      </c>
      <c r="B1472" s="2" t="inlineStr">
        <is>
          <t>не сюжет</t>
        </is>
      </c>
      <c r="C1472" s="2" t="n">
        <v>10119</v>
      </c>
      <c r="D1472" s="3" t="inlineStr">
        <is>
          <t>Гаянэ</t>
        </is>
      </c>
      <c r="E1472" s="2" t="n">
        <v>1964</v>
      </c>
      <c r="F1472" s="2" t="inlineStr">
        <is>
          <t>фильм-спектакль</t>
        </is>
      </c>
      <c r="G1472" s="2" t="n"/>
      <c r="H1472" s="2" t="n">
        <v>197</v>
      </c>
      <c r="I1472" s="2" t="inlineStr"/>
      <c r="J1472" s="2" t="inlineStr">
        <is>
          <t>да</t>
        </is>
      </c>
      <c r="K1472" s="3" t="inlineStr">
        <is>
          <t>4-й акт из балета «Гаянэ», был поставлен в Большом театре в 1961 году как отдельный акт-дивертисмент. Балетмейстер Нина Анисимова, художник-постановщик Вадим Рындин, дирижёр-постановщик Юрий Файер.</t>
        </is>
      </c>
      <c r="L1472" s="2" t="inlineStr">
        <is>
          <t>https://www.kino-teatr.ru/teatr/movie/176563/annot/</t>
        </is>
      </c>
      <c r="M1472" s="2">
        <f>HYPERLINK("https://ru.wikipedia.org/w/index.php?search=%D0%93%D0%B0%D1%8F%D0%BD%D1%8D%201964%20%D1%84%D0%B8%D0%BB%D1%8C%D0%BC","искать")</f>
        <v/>
      </c>
      <c r="N1472" s="3" t="n"/>
      <c r="O1472" s="2" t="n"/>
    </row>
    <row r="1473">
      <c r="A1473" s="2" t="n">
        <v>1472</v>
      </c>
      <c r="B1473" s="2" t="inlineStr">
        <is>
          <t>не сюжет</t>
        </is>
      </c>
      <c r="C1473" s="2" t="n">
        <v>10438</v>
      </c>
      <c r="D1473" s="3" t="inlineStr">
        <is>
          <t>Два рассказа</t>
        </is>
      </c>
      <c r="E1473" s="2" t="n">
        <v>1972</v>
      </c>
      <c r="F1473" s="2" t="inlineStr">
        <is>
          <t>фильм-спектакль</t>
        </is>
      </c>
      <c r="G1473" s="2" t="inlineStr">
        <is>
          <t>Творческое объединение "Экран", Подборки фильмов, экранизации Чехова</t>
        </is>
      </c>
      <c r="H1473" s="2" t="n">
        <v>197</v>
      </c>
      <c r="I1473" s="2" t="inlineStr"/>
      <c r="J1473" s="2" t="inlineStr">
        <is>
          <t>да</t>
        </is>
      </c>
      <c r="K1473" s="3" t="inlineStr">
        <is>
          <t>Два рассказа Антона Павловича Чехова "Дама с собачкой" и "О любви" читает народный артист СССР Дмитрий Николаевич Журавлев.
Музыкальное сопровождение составлено из произведений Александра Скрябина.</t>
        </is>
      </c>
      <c r="L1473" s="2" t="inlineStr">
        <is>
          <t>https://www.kino-teatr.ru/teatr/movie/114031/annot/</t>
        </is>
      </c>
      <c r="M1473" s="2">
        <f>HYPERLINK("https://ru.wikipedia.org/w/index.php?search=%D0%94%D0%B2%D0%B0%20%D1%80%D0%B0%D1%81%D1%81%D0%BA%D0%B0%D0%B7%D0%B0%201972%20%D1%84%D0%B8%D0%BB%D1%8C%D0%BC","искать")</f>
        <v/>
      </c>
      <c r="N1473" s="3" t="n"/>
      <c r="O1473" s="2" t="n"/>
    </row>
    <row r="1474">
      <c r="A1474" s="2" t="n">
        <v>1473</v>
      </c>
      <c r="B1474" s="2" t="inlineStr">
        <is>
          <t>не сюжет</t>
        </is>
      </c>
      <c r="C1474" s="2" t="n">
        <v>8078</v>
      </c>
      <c r="D1474" s="3" t="inlineStr">
        <is>
          <t>Память земли</t>
        </is>
      </c>
      <c r="E1474" s="2" t="n">
        <v>1976</v>
      </c>
      <c r="F1474" s="2" t="inlineStr">
        <is>
          <t>телефильм</t>
        </is>
      </c>
      <c r="G1474" s="2" t="n"/>
      <c r="H1474" s="2" t="n">
        <v>198</v>
      </c>
      <c r="I1474" s="2" t="inlineStr"/>
      <c r="J1474" s="2" t="inlineStr">
        <is>
          <t>да</t>
        </is>
      </c>
      <c r="K1474" s="3" t="inlineStr">
        <is>
          <t>Телефильм по мотивам одноименного романа Владимира Фоменко. О переменах в жизни донских станичников, связанных со строительством Волго-Донского судоходного канала. Время действия — пятидесятые годы.</t>
        </is>
      </c>
      <c r="L1474" s="2" t="inlineStr">
        <is>
          <t>Кино_СССР сводный каталог.xlsx: список телефильмов</t>
        </is>
      </c>
      <c r="M1474" s="2">
        <f>HYPERLINK("https://ru.wikipedia.org/w/index.php?search=%D0%9F%D0%B0%D0%BC%D1%8F%D1%82%D1%8C%20%D0%B7%D0%B5%D0%BC%D0%BB%D0%B8%201976%20%D1%84%D0%B8%D0%BB%D1%8C%D0%BC","искать")</f>
        <v/>
      </c>
      <c r="N1474" s="3" t="n"/>
      <c r="O1474" s="2" t="n"/>
    </row>
    <row r="1475">
      <c r="A1475" s="2" t="n">
        <v>1474</v>
      </c>
      <c r="B1475" s="2" t="inlineStr">
        <is>
          <t>не сюжет</t>
        </is>
      </c>
      <c r="C1475" s="2" t="n">
        <v>10854</v>
      </c>
      <c r="D1475" s="3" t="inlineStr">
        <is>
          <t>О ты, последняя любовь!</t>
        </is>
      </c>
      <c r="E1475" s="2" t="n">
        <v>1980</v>
      </c>
      <c r="F1475" s="2" t="inlineStr">
        <is>
          <t>фильм-спектакль</t>
        </is>
      </c>
      <c r="G1475" s="2" t="inlineStr">
        <is>
          <t>т/о "Экран"</t>
        </is>
      </c>
      <c r="H1475" s="2" t="n">
        <v>198</v>
      </c>
      <c r="I1475" s="2" t="inlineStr"/>
      <c r="J1475" s="2" t="inlineStr">
        <is>
          <t>да</t>
        </is>
      </c>
      <c r="K1475" s="3" t="inlineStr">
        <is>
          <t>Поэтический телеспектакль.
В фильм включены лирические стихи Ф.И.Тютчева, отрывки из его писем и воспоминаний современников, отразившие полную драматизма историю любви поэта к юной Елене Денисьевой.</t>
        </is>
      </c>
      <c r="L1475" s="2" t="inlineStr">
        <is>
          <t>https://www.kino-teatr.ru/teatr/movie/92211/annot/</t>
        </is>
      </c>
      <c r="M1475" s="2">
        <f>HYPERLINK("https://ru.wikipedia.org/w/index.php?search=%D0%9E%20%D1%82%D1%8B%2C%20%D0%BF%D0%BE%D1%81%D0%BB%D0%B5%D0%B4%D0%BD%D1%8F%D1%8F%20%D0%BB%D1%8E%D0%B1%D0%BE%D0%B2%D1%8C%21%201980%20%D1%84%D0%B8%D0%BB%D1%8C%D0%BC","искать")</f>
        <v/>
      </c>
      <c r="N1475" s="3" t="n"/>
      <c r="O1475" s="2" t="n"/>
    </row>
    <row r="1476">
      <c r="A1476" s="2" t="n">
        <v>1475</v>
      </c>
      <c r="B1476" s="2" t="inlineStr">
        <is>
          <t>не сюжет</t>
        </is>
      </c>
      <c r="C1476" s="2" t="n">
        <v>9854</v>
      </c>
      <c r="D1476" s="3" t="inlineStr">
        <is>
          <t>Стрекозиные крылья</t>
        </is>
      </c>
      <c r="E1476" s="2" t="n">
        <v>1968</v>
      </c>
      <c r="F1476" s="2" t="inlineStr">
        <is>
          <t>кинофильм</t>
        </is>
      </c>
      <c r="G1476" s="2" t="inlineStr">
        <is>
          <t>Беларусьфильм</t>
        </is>
      </c>
      <c r="H1476" s="2" t="n">
        <v>199</v>
      </c>
      <c r="I1476" s="2" t="inlineStr"/>
      <c r="J1476" s="2" t="inlineStr">
        <is>
          <t>да</t>
        </is>
      </c>
      <c r="K1476" s="3" t="inlineStr">
        <is>
          <t>Лирическая новелла о первой детской любви пятикласника Пеки к однокласснице Аллочке Никольской — фигуристке-маленьком лебеде из балета Чайковского со стрекозиными крыльями, и о первых разочарованиях.</t>
        </is>
      </c>
      <c r="L1476" s="2" t="inlineStr">
        <is>
          <t>https://www.kino-teatr.ru/short/movie/sov/84777/annot/</t>
        </is>
      </c>
      <c r="M1476" s="2">
        <f>HYPERLINK("https://ru.wikipedia.org/w/index.php?search=%D0%A1%D1%82%D1%80%D0%B5%D0%BA%D0%BE%D0%B7%D0%B8%D0%BD%D1%8B%D0%B5%20%D0%BA%D1%80%D1%8B%D0%BB%D1%8C%D1%8F%201968%20%D1%84%D0%B8%D0%BB%D1%8C%D0%BC","искать")</f>
        <v/>
      </c>
      <c r="N1476" s="3" t="n"/>
      <c r="O1476" s="2" t="n"/>
    </row>
    <row r="1477">
      <c r="A1477" s="2" t="n">
        <v>1476</v>
      </c>
      <c r="B1477" s="2" t="inlineStr">
        <is>
          <t>не сюжет</t>
        </is>
      </c>
      <c r="C1477" s="2" t="n">
        <v>11158</v>
      </c>
      <c r="D1477" s="3" t="inlineStr">
        <is>
          <t>Иркина трагедия</t>
        </is>
      </c>
      <c r="E1477" s="2" t="n">
        <v>1987</v>
      </c>
      <c r="F1477" s="2" t="inlineStr">
        <is>
          <t>фильм-спектакль</t>
        </is>
      </c>
      <c r="G1477" s="2" t="inlineStr">
        <is>
          <t>Литовское телевидение</t>
        </is>
      </c>
      <c r="H1477" s="2" t="n">
        <v>199</v>
      </c>
      <c r="I1477" s="2" t="inlineStr"/>
      <c r="J1477" s="2" t="inlineStr">
        <is>
          <t>да</t>
        </is>
      </c>
      <c r="K1477" s="3" t="inlineStr">
        <is>
          <t>Спектакль поставлен по одноименной повести Шатриёс Раганы.
В спектакле воспроизведены обычаи и нравы начала XX века, показана жизнь дворянской семьи и одиночество в этой семье маленькой девочки Ирки.</t>
        </is>
      </c>
      <c r="L1477" s="2" t="inlineStr">
        <is>
          <t>https://www.kino-teatr.ru/teatr/movie/105789/annot/</t>
        </is>
      </c>
      <c r="M1477" s="2">
        <f>HYPERLINK("https://ru.wikipedia.org/w/index.php?search=%D0%98%D1%80%D0%BA%D0%B8%D0%BD%D0%B0%20%D1%82%D1%80%D0%B0%D0%B3%D0%B5%D0%B4%D0%B8%D1%8F%201987%20%D1%84%D0%B8%D0%BB%D1%8C%D0%BC","искать")</f>
        <v/>
      </c>
      <c r="N1477" s="3" t="n"/>
      <c r="O1477" s="2" t="n"/>
    </row>
    <row r="1478">
      <c r="A1478" s="2" t="n">
        <v>1477</v>
      </c>
      <c r="B1478" s="2" t="inlineStr">
        <is>
          <t>не сюжет</t>
        </is>
      </c>
      <c r="C1478" s="2" t="n">
        <v>7881</v>
      </c>
      <c r="D1478" s="3" t="inlineStr">
        <is>
          <t>Михайло Ломоносов</t>
        </is>
      </c>
      <c r="E1478" s="2" t="n">
        <v>1984</v>
      </c>
      <c r="F1478" s="2" t="inlineStr">
        <is>
          <t>телефильм</t>
        </is>
      </c>
      <c r="G1478" s="2" t="n"/>
      <c r="H1478" s="2" t="n">
        <v>200</v>
      </c>
      <c r="I1478" s="2" t="inlineStr"/>
      <c r="J1478" s="2" t="inlineStr">
        <is>
          <t>да</t>
        </is>
      </c>
      <c r="K1478" s="3" t="inlineStr">
        <is>
          <t>Многосерийный фильм. История России 18-го века через жизнь и деятельность выдающегося учёного и литератора Михайло Ломоносова, в трех фильмах: "От недр своих", "Врата учености" и "Во славу Отечества".</t>
        </is>
      </c>
      <c r="L1478" s="2" t="inlineStr">
        <is>
          <t>Кино_СССР сводный каталог.xlsx: список телефильмов</t>
        </is>
      </c>
      <c r="M1478" s="2">
        <f>HYPERLINK("https://ru.wikipedia.org/w/index.php?search=%D0%9C%D0%B8%D1%85%D0%B0%D0%B9%D0%BB%D0%BE%20%D0%9B%D0%BE%D0%BC%D0%BE%D0%BD%D0%BE%D1%81%D0%BE%D0%B2%201984%20%D1%84%D0%B8%D0%BB%D1%8C%D0%BC","искать")</f>
        <v/>
      </c>
      <c r="N1478" s="3" t="n"/>
      <c r="O1478" s="2" t="n"/>
    </row>
    <row r="1479">
      <c r="A1479" s="2" t="n">
        <v>1478</v>
      </c>
      <c r="B1479" s="2" t="inlineStr">
        <is>
          <t>не сюжет</t>
        </is>
      </c>
      <c r="C1479" s="2" t="n">
        <v>8719</v>
      </c>
      <c r="D1479" s="3" t="inlineStr">
        <is>
          <t>Жена для метрдотеля</t>
        </is>
      </c>
      <c r="E1479" s="2" t="n">
        <v>1991</v>
      </c>
      <c r="F1479" s="2" t="inlineStr">
        <is>
          <t>кинофильм</t>
        </is>
      </c>
      <c r="G1479" s="2" t="n"/>
      <c r="H1479" s="2" t="n">
        <v>200</v>
      </c>
      <c r="I1479" s="2" t="inlineStr"/>
      <c r="J1479" s="2" t="inlineStr">
        <is>
          <t>да</t>
        </is>
      </c>
      <c r="K1479" s="3" t="inlineStr">
        <is>
          <t>Новая версия "Интердевочки". Блеск ночных клубов и дорогих ресторанов. Шикарные иномарки на "уголке" Тверской улицы. Клиенты и сутенеры, бандиты и милиция. Что толкает юную "леди" на неправедный путь?</t>
        </is>
      </c>
      <c r="L1479" s="2" t="inlineStr">
        <is>
          <t>Кино_СССР сводный каталог.xlsx: список фильмов (доп.)</t>
        </is>
      </c>
      <c r="M1479" s="2">
        <f>HYPERLINK("https://ru.wikipedia.org/w/index.php?search=%D0%96%D0%B5%D0%BD%D0%B0%20%D0%B4%D0%BB%D1%8F%20%D0%BC%D0%B5%D1%82%D1%80%D0%B4%D0%BE%D1%82%D0%B5%D0%BB%D1%8F%201991%20%D1%84%D0%B8%D0%BB%D1%8C%D0%BC","искать")</f>
        <v/>
      </c>
      <c r="N1479" s="3" t="n"/>
      <c r="O1479" s="2" t="n"/>
    </row>
    <row r="1480">
      <c r="A1480" s="2" t="n">
        <v>1479</v>
      </c>
      <c r="B1480" s="2" t="inlineStr">
        <is>
          <t>не сюжет</t>
        </is>
      </c>
      <c r="C1480" s="2" t="n">
        <v>9055</v>
      </c>
      <c r="D1480" s="3" t="inlineStr">
        <is>
          <t>Событие в степи</t>
        </is>
      </c>
      <c r="E1480" s="2" t="n">
        <v>1932</v>
      </c>
      <c r="F1480" s="2" t="inlineStr">
        <is>
          <t>кинофильм</t>
        </is>
      </c>
      <c r="G1480" s="2" t="n"/>
      <c r="H1480" s="2" t="n">
        <v>200</v>
      </c>
      <c r="I1480" s="2" t="inlineStr"/>
      <c r="J1480" s="2" t="inlineStr">
        <is>
          <t>да</t>
        </is>
      </c>
      <c r="K1480" s="3" t="inlineStr">
        <is>
          <t>"Фильм о коллективизации на Украине. Никаких сведений о сюжете картины разыскать не удалось. В ГФФ копия фильма не сохранилась." - Е.Марголит, В.Шмыров "(Из'ятое кино). 1924-1953", М., "Дубль-Д", 1995</t>
        </is>
      </c>
      <c r="L1480" s="2" t="inlineStr">
        <is>
          <t>Кино_СССР сводный каталог.xlsx: список фильмов (доп.)</t>
        </is>
      </c>
      <c r="M1480" s="2">
        <f>HYPERLINK("https://ru.wikipedia.org/w/index.php?search=%D0%A1%D0%BE%D0%B1%D1%8B%D1%82%D0%B8%D0%B5%20%D0%B2%20%D1%81%D1%82%D0%B5%D0%BF%D0%B8%201932%20%D1%84%D0%B8%D0%BB%D1%8C%D0%BC","искать")</f>
        <v/>
      </c>
      <c r="N1480" s="3" t="n"/>
      <c r="O1480" s="2" t="n"/>
    </row>
    <row r="1481">
      <c r="A1481" s="2" t="n">
        <v>1480</v>
      </c>
      <c r="B1481" s="2" t="inlineStr">
        <is>
          <t>не сюжет</t>
        </is>
      </c>
      <c r="C1481" s="2" t="n">
        <v>7842</v>
      </c>
      <c r="D1481" s="3" t="inlineStr">
        <is>
          <t>Маленький школьный оркестр</t>
        </is>
      </c>
      <c r="E1481" s="2" t="n">
        <v>1968</v>
      </c>
      <c r="F1481" s="2" t="inlineStr">
        <is>
          <t>телефильм</t>
        </is>
      </c>
      <c r="G1481" s="2" t="n"/>
      <c r="H1481" s="2" t="n">
        <v>201</v>
      </c>
      <c r="I1481" s="2" t="inlineStr"/>
      <c r="J1481" s="2" t="inlineStr">
        <is>
          <t>да</t>
        </is>
      </c>
      <c r="K1481" s="3" t="inlineStr">
        <is>
          <t>История о маленьком дружном молодежном коллективе, объединенном любовью к музыке. Жизненные дороги разлучают друзей, но память и верность школьной дружбе, любовь к музыке навсегда останутся в их душах.</t>
        </is>
      </c>
      <c r="L1481" s="2" t="inlineStr">
        <is>
          <t>Кино_СССР сводный каталог.xlsx: список телефильмов</t>
        </is>
      </c>
      <c r="M1481" s="2">
        <f>HYPERLINK("https://ru.wikipedia.org/w/index.php?search=%D0%9C%D0%B0%D0%BB%D0%B5%D0%BD%D1%8C%D0%BA%D0%B8%D0%B9%20%D1%88%D0%BA%D0%BE%D0%BB%D1%8C%D0%BD%D1%8B%D0%B9%20%D0%BE%D1%80%D0%BA%D0%B5%D1%81%D1%82%D1%80%201968%20%D1%84%D0%B8%D0%BB%D1%8C%D0%BC","искать")</f>
        <v/>
      </c>
      <c r="N1481" s="3" t="n"/>
      <c r="O1481" s="2" t="n"/>
    </row>
    <row r="1482">
      <c r="A1482" s="2" t="n">
        <v>1481</v>
      </c>
      <c r="B1482" s="2" t="inlineStr">
        <is>
          <t>не сюжет</t>
        </is>
      </c>
      <c r="C1482" s="2" t="n">
        <v>10751</v>
      </c>
      <c r="D1482" s="3" t="inlineStr">
        <is>
          <t>Лето в Ноане</t>
        </is>
      </c>
      <c r="E1482" s="2" t="n">
        <v>1978</v>
      </c>
      <c r="F1482" s="2" t="inlineStr">
        <is>
          <t>фильм-спектакль</t>
        </is>
      </c>
      <c r="G1482" s="2" t="inlineStr">
        <is>
          <t>Главная редакция литературно-драматических программ ЦТ</t>
        </is>
      </c>
      <c r="H1482" s="2" t="n">
        <v>201</v>
      </c>
      <c r="I1482" s="2" t="inlineStr"/>
      <c r="J1482" s="2" t="inlineStr">
        <is>
          <t>да</t>
        </is>
      </c>
      <c r="K1482" s="3" t="inlineStr">
        <is>
          <t>По одноименной пьесе Я.Ивашкевича о любви Фридерика Шопена и Жорж Санд. Действие происходит в Ноане - имении Жорж Санд.
В основе - спектакль Государственного академического театра имени Евг.Вахтангова.</t>
        </is>
      </c>
      <c r="L1482" s="2" t="inlineStr">
        <is>
          <t>https://www.kino-teatr.ru/teatr/movie/82079/annot/</t>
        </is>
      </c>
      <c r="M1482" s="2">
        <f>HYPERLINK("https://ru.wikipedia.org/w/index.php?search=%D0%9B%D0%B5%D1%82%D0%BE%20%D0%B2%20%D0%9D%D0%BE%D0%B0%D0%BD%D0%B5%201978%20%D1%84%D0%B8%D0%BB%D1%8C%D0%BC","искать")</f>
        <v/>
      </c>
      <c r="N1482" s="3" t="n"/>
      <c r="O1482" s="2" t="n"/>
    </row>
    <row r="1483">
      <c r="A1483" s="2" t="n">
        <v>1482</v>
      </c>
      <c r="B1483" s="2" t="inlineStr">
        <is>
          <t>не сюжет</t>
        </is>
      </c>
      <c r="C1483" s="2" t="n">
        <v>11313</v>
      </c>
      <c r="D1483" s="3" t="inlineStr">
        <is>
          <t>Осколки разбитого вдребезги</t>
        </is>
      </c>
      <c r="E1483" s="2" t="n">
        <v>1990</v>
      </c>
      <c r="F1483" s="2" t="inlineStr">
        <is>
          <t>фильм-спектакль</t>
        </is>
      </c>
      <c r="G1483" s="2" t="inlineStr">
        <is>
          <t>Главная редакция литературно-художественных программ ЦТ</t>
        </is>
      </c>
      <c r="H1483" s="2" t="n">
        <v>201</v>
      </c>
      <c r="I1483" s="2" t="inlineStr"/>
      <c r="J1483" s="2" t="inlineStr">
        <is>
          <t>да</t>
        </is>
      </c>
      <c r="K1483" s="3" t="inlineStr">
        <is>
          <t>Телеспектакль о творчестве писателя Аркадия Аверченко.
В постановку вошли рассказы: "Чад", "Ложь", "Вино", "Усадьба и городская квартира", "Старая шкатулка", "Как я уехал", "Русские в Европах", "Опыт".</t>
        </is>
      </c>
      <c r="L1483" s="2" t="inlineStr">
        <is>
          <t>https://www.kino-teatr.ru/teatr/movie/80894/annot/</t>
        </is>
      </c>
      <c r="M1483" s="2">
        <f>HYPERLINK("https://ru.wikipedia.org/w/index.php?search=%D0%9E%D1%81%D0%BA%D0%BE%D0%BB%D0%BA%D0%B8%20%D1%80%D0%B0%D0%B7%D0%B1%D0%B8%D1%82%D0%BE%D0%B3%D0%BE%20%D0%B2%D0%B4%D1%80%D0%B5%D0%B1%D0%B5%D0%B7%D0%B3%D0%B8%201990%20%D1%84%D0%B8%D0%BB%D1%8C%D0%BC","искать")</f>
        <v/>
      </c>
      <c r="N1483" s="3" t="n"/>
      <c r="O1483" s="2" t="n"/>
    </row>
    <row r="1484">
      <c r="A1484" s="2" t="n">
        <v>1483</v>
      </c>
      <c r="B1484" s="2" t="inlineStr">
        <is>
          <t>не сюжет</t>
        </is>
      </c>
      <c r="C1484" s="2" t="n">
        <v>7370</v>
      </c>
      <c r="D1484" s="3" t="inlineStr">
        <is>
          <t>Волшебный круг</t>
        </is>
      </c>
      <c r="E1484" s="2" t="n">
        <v>1976</v>
      </c>
      <c r="F1484" s="2" t="inlineStr">
        <is>
          <t>телефильм</t>
        </is>
      </c>
      <c r="G1484" s="2" t="inlineStr">
        <is>
          <t>Одесская к/с</t>
        </is>
      </c>
      <c r="H1484" s="2" t="n">
        <v>202</v>
      </c>
      <c r="I1484" s="2" t="inlineStr"/>
      <c r="J1484" s="2" t="inlineStr">
        <is>
          <t>да</t>
        </is>
      </c>
      <c r="K1484" s="3" t="inlineStr">
        <is>
          <t>Телефильм по мотивам повестей И.Василенко «Артемка в цирке» и «Волшебная шкатулка». О маленьком сапожнике-сироте Артемке, влюбленном в цирк. Действие происходит в Одессе, накануне революционных событий.</t>
        </is>
      </c>
      <c r="L1484" s="2" t="inlineStr">
        <is>
          <t>Кино_СССР сводный каталог.xlsx: список телефильмов</t>
        </is>
      </c>
      <c r="M1484" s="2">
        <f>HYPERLINK("https://ru.wikipedia.org/w/index.php?search=%D0%92%D0%BE%D0%BB%D1%88%D0%B5%D0%B1%D0%BD%D1%8B%D0%B9%20%D0%BA%D1%80%D1%83%D0%B3%201976%20%D1%84%D0%B8%D0%BB%D1%8C%D0%BC","искать")</f>
        <v/>
      </c>
      <c r="N1484" s="3" t="n"/>
      <c r="O1484" s="2" t="n"/>
    </row>
    <row r="1485">
      <c r="A1485" s="2" t="n">
        <v>1484</v>
      </c>
      <c r="B1485" s="2" t="inlineStr">
        <is>
          <t>не сюжет</t>
        </is>
      </c>
      <c r="C1485" s="2" t="n">
        <v>8119</v>
      </c>
      <c r="D1485" s="3" t="inlineStr">
        <is>
          <t>Пляска смерти</t>
        </is>
      </c>
      <c r="E1485" s="2" t="n">
        <v>1991</v>
      </c>
      <c r="F1485" s="2" t="inlineStr">
        <is>
          <t>телефильм</t>
        </is>
      </c>
      <c r="G1485" s="2" t="n"/>
      <c r="H1485" s="2" t="n">
        <v>202</v>
      </c>
      <c r="I1485" s="2" t="inlineStr"/>
      <c r="J1485" s="2" t="inlineStr">
        <is>
          <t>да</t>
        </is>
      </c>
      <c r="K1485" s="3" t="inlineStr">
        <is>
          <t>История создания художественного шедевра - "Пляски смерти" художника Бернта Нотке, творившего на границе эпох "поздней готики" и начала Реставрации, и находящегося в Таллине, в соборе Святого Николауса.</t>
        </is>
      </c>
      <c r="L1485" s="2" t="inlineStr">
        <is>
          <t>Кино_СССР сводный каталог.xlsx: список телефильмов</t>
        </is>
      </c>
      <c r="M1485" s="2">
        <f>HYPERLINK("https://ru.wikipedia.org/w/index.php?search=%D0%9F%D0%BB%D1%8F%D1%81%D0%BA%D0%B0%20%D1%81%D0%BC%D0%B5%D1%80%D1%82%D0%B8%201991%20%D1%84%D0%B8%D0%BB%D1%8C%D0%BC","искать")</f>
        <v/>
      </c>
      <c r="N1485" s="3" t="n"/>
      <c r="O1485" s="2" t="n"/>
    </row>
    <row r="1486">
      <c r="A1486" s="2" t="n">
        <v>1485</v>
      </c>
      <c r="B1486" s="2" t="inlineStr">
        <is>
          <t>не сюжет</t>
        </is>
      </c>
      <c r="C1486" s="2" t="n">
        <v>11161</v>
      </c>
      <c r="D1486" s="3" t="inlineStr">
        <is>
          <t>Кащей Бессмертный</t>
        </is>
      </c>
      <c r="E1486" s="2" t="n">
        <v>1987</v>
      </c>
      <c r="F1486" s="2" t="inlineStr">
        <is>
          <t>фильм-спектакль</t>
        </is>
      </c>
      <c r="G1486" s="2" t="inlineStr">
        <is>
          <t>Лентелефильм</t>
        </is>
      </c>
      <c r="H1486" s="2" t="n">
        <v>202</v>
      </c>
      <c r="I1486" s="2" t="inlineStr"/>
      <c r="J1486" s="2" t="inlineStr">
        <is>
          <t>да</t>
        </is>
      </c>
      <c r="K1486" s="3" t="inlineStr">
        <is>
          <t>Фильм снят по одноименной опере Н.А.Римского-Корсакова. В фильме принимает участие симфонический оркестр Ленинградской государственной академической филармонии имени Д.Д.Шостаковича. Дирижер А.Трофимов.</t>
        </is>
      </c>
      <c r="L1486" s="2" t="inlineStr">
        <is>
          <t>https://www.kino-teatr.ru/teatr/movie/80161/annot/</t>
        </is>
      </c>
      <c r="M1486" s="2">
        <f>HYPERLINK("https://ru.wikipedia.org/w/index.php?search=%D0%9A%D0%B0%D1%89%D0%B5%D0%B9%20%D0%91%D0%B5%D1%81%D1%81%D0%BC%D0%B5%D1%80%D1%82%D0%BD%D1%8B%D0%B9%201987%20%D1%84%D0%B8%D0%BB%D1%8C%D0%BC","искать")</f>
        <v/>
      </c>
      <c r="N1486" s="3" t="n"/>
      <c r="O1486" s="2" t="n"/>
    </row>
    <row r="1487">
      <c r="A1487" s="2" t="n">
        <v>1486</v>
      </c>
      <c r="B1487" s="2" t="inlineStr">
        <is>
          <t>не сюжет</t>
        </is>
      </c>
      <c r="C1487" s="2" t="n">
        <v>8435</v>
      </c>
      <c r="D1487" s="3" t="inlineStr">
        <is>
          <t>Так и будет</t>
        </is>
      </c>
      <c r="E1487" s="2" t="n">
        <v>1979</v>
      </c>
      <c r="F1487" s="2" t="inlineStr">
        <is>
          <t>телефильм</t>
        </is>
      </c>
      <c r="G1487" s="2" t="n"/>
      <c r="H1487" s="2" t="n">
        <v>203</v>
      </c>
      <c r="I1487" s="2" t="inlineStr"/>
      <c r="J1487" s="2" t="inlineStr">
        <is>
          <t>да</t>
        </is>
      </c>
      <c r="K1487" s="3" t="inlineStr">
        <is>
          <t>Телефильм по мотивам одноименной пьесы Константина Симонова. Своеобразное продолжение одноименной пьесы. Наряду с симоновскими героями в фильме действуют и их дети, речь идет о преемственности поколений.</t>
        </is>
      </c>
      <c r="L1487" s="2" t="inlineStr">
        <is>
          <t>Кино_СССР сводный каталог.xlsx: список телефильмов</t>
        </is>
      </c>
      <c r="M1487" s="2">
        <f>HYPERLINK("https://ru.wikipedia.org/w/index.php?search=%D0%A2%D0%B0%D0%BA%20%D0%B8%20%D0%B1%D1%83%D0%B4%D0%B5%D1%82%201979%20%D1%84%D0%B8%D0%BB%D1%8C%D0%BC","искать")</f>
        <v/>
      </c>
      <c r="N1487" s="3" t="n"/>
      <c r="O1487" s="2" t="n"/>
    </row>
    <row r="1488">
      <c r="A1488" s="2" t="n">
        <v>1487</v>
      </c>
      <c r="B1488" s="2" t="inlineStr">
        <is>
          <t>не сюжет</t>
        </is>
      </c>
      <c r="C1488" s="2" t="n">
        <v>9014</v>
      </c>
      <c r="D1488" s="3" t="inlineStr">
        <is>
          <t>Ровно двадцать с хвостиком</t>
        </is>
      </c>
      <c r="E1488" s="2" t="n">
        <v>1968</v>
      </c>
      <c r="F1488" s="2" t="inlineStr">
        <is>
          <t>кинофильм</t>
        </is>
      </c>
      <c r="G1488" s="2" t="n"/>
      <c r="H1488" s="2" t="n">
        <v>203</v>
      </c>
      <c r="I1488" s="2" t="inlineStr"/>
      <c r="J1488" s="2" t="inlineStr">
        <is>
          <t>да</t>
        </is>
      </c>
      <c r="K1488" s="3" t="inlineStr">
        <is>
          <t>В фильме известные украинские юмористы и сатирики Ю.Березин и Ю.Тимошенко вспоминают "двадцать с хвостиком" лет своей творческой деятельности. Все это иллюстрируется архивными киноматериалами разных лет.</t>
        </is>
      </c>
      <c r="L1488" s="2" t="inlineStr">
        <is>
          <t>Кино_СССР сводный каталог.xlsx: список фильмов (доп.)</t>
        </is>
      </c>
      <c r="M1488" s="2">
        <f>HYPERLINK("https://ru.wikipedia.org/w/index.php?search=%D0%A0%D0%BE%D0%B2%D0%BD%D0%BE%20%D0%B4%D0%B2%D0%B0%D0%B4%D1%86%D0%B0%D1%82%D1%8C%20%D1%81%20%D1%85%D0%B2%D0%BE%D1%81%D1%82%D0%B8%D0%BA%D0%BE%D0%BC%201968%20%D1%84%D0%B8%D0%BB%D1%8C%D0%BC","искать")</f>
        <v/>
      </c>
      <c r="N1488" s="3" t="n"/>
      <c r="O1488" s="2" t="n"/>
    </row>
    <row r="1489">
      <c r="A1489" s="2" t="n">
        <v>1488</v>
      </c>
      <c r="B1489" s="2" t="inlineStr">
        <is>
          <t>не сюжет</t>
        </is>
      </c>
      <c r="C1489" s="2" t="n">
        <v>10196</v>
      </c>
      <c r="D1489" s="3" t="inlineStr">
        <is>
          <t>Зиггер Заггер</t>
        </is>
      </c>
      <c r="E1489" s="2" t="n">
        <v>1967</v>
      </c>
      <c r="F1489" s="2" t="inlineStr">
        <is>
          <t>фильм-спектакль</t>
        </is>
      </c>
      <c r="G1489" s="2" t="inlineStr">
        <is>
          <t>British Broadcasting Corporation</t>
        </is>
      </c>
      <c r="H1489" s="2" t="n">
        <v>203</v>
      </c>
      <c r="I1489" s="2" t="inlineStr"/>
      <c r="J1489" s="2" t="inlineStr">
        <is>
          <t>да</t>
        </is>
      </c>
      <c r="K1489" s="3" t="inlineStr">
        <is>
          <t>Пьеса Питера Терсона 1967 года, ставшая первым произведением, показанным Национальным молодежным театром. Песнопения, исполняемые в пьесе, были приняты болельщиками нескольких футбольных клубов в Англии.</t>
        </is>
      </c>
      <c r="L1489" s="2" t="inlineStr">
        <is>
          <t>https://www.kino-teatr.ru/teatr/movie/169741/annot/</t>
        </is>
      </c>
      <c r="M1489" s="2">
        <f>HYPERLINK("https://ru.wikipedia.org/w/index.php?search=%D0%97%D0%B8%D0%B3%D0%B3%D0%B5%D1%80%20%D0%97%D0%B0%D0%B3%D0%B3%D0%B5%D1%80%201967%20%D1%84%D0%B8%D0%BB%D1%8C%D0%BC","искать")</f>
        <v/>
      </c>
      <c r="N1489" s="3" t="n"/>
      <c r="O1489" s="2" t="n"/>
    </row>
    <row r="1490">
      <c r="A1490" s="2" t="n">
        <v>1489</v>
      </c>
      <c r="B1490" s="2" t="inlineStr">
        <is>
          <t>не сюжет</t>
        </is>
      </c>
      <c r="C1490" s="2" t="n">
        <v>7783</v>
      </c>
      <c r="D1490" s="3" t="inlineStr">
        <is>
          <t>Кум Моргана</t>
        </is>
      </c>
      <c r="E1490" s="2" t="n">
        <v>1969</v>
      </c>
      <c r="F1490" s="2" t="inlineStr">
        <is>
          <t>телефильм</t>
        </is>
      </c>
      <c r="G1490" s="2" t="n"/>
      <c r="H1490" s="2" t="n">
        <v>204</v>
      </c>
      <c r="I1490" s="2" t="inlineStr"/>
      <c r="J1490" s="2" t="inlineStr">
        <is>
          <t>да</t>
        </is>
      </c>
      <c r="K1490" s="3" t="inlineStr">
        <is>
          <t>Մորգանի Խնամին По одноименной пьесе А.Ширванзаде. Об обанкротившемся миллионере, который мечтает породниться с семьей Морганов. Действие происходит после революции, в Париже, в среде армянских эмигрантов.</t>
        </is>
      </c>
      <c r="L1490" s="2" t="inlineStr">
        <is>
          <t>Кино_СССР сводный каталог.xlsx: список телефильмов</t>
        </is>
      </c>
      <c r="M1490" s="2">
        <f>HYPERLINK("https://ru.wikipedia.org/w/index.php?search=%D0%9A%D1%83%D0%BC%20%D0%9C%D0%BE%D1%80%D0%B3%D0%B0%D0%BD%D0%B0%201969%20%D1%84%D0%B8%D0%BB%D1%8C%D0%BC","искать")</f>
        <v/>
      </c>
      <c r="N1490" s="3" t="n"/>
      <c r="O1490" s="2" t="n"/>
    </row>
    <row r="1491">
      <c r="A1491" s="2" t="n">
        <v>1490</v>
      </c>
      <c r="B1491" s="2" t="inlineStr">
        <is>
          <t>не сюжет</t>
        </is>
      </c>
      <c r="C1491" s="2" t="n">
        <v>11147</v>
      </c>
      <c r="D1491" s="3" t="inlineStr">
        <is>
          <t>Граф Калиостро</t>
        </is>
      </c>
      <c r="E1491" s="2" t="n">
        <v>1987</v>
      </c>
      <c r="F1491" s="2" t="inlineStr">
        <is>
          <t>фильм-спектакль</t>
        </is>
      </c>
      <c r="G1491" s="2" t="n"/>
      <c r="H1491" s="2" t="n">
        <v>204</v>
      </c>
      <c r="I1491" s="2" t="inlineStr"/>
      <c r="J1491" s="2" t="inlineStr">
        <is>
          <t>да</t>
        </is>
      </c>
      <c r="K1491" s="3" t="inlineStr">
        <is>
          <t>Комическая опера поставлена Борисом Покровским в Московском камерном музыкальном театре в 1983 году. Либретто Николая Кемарского по одноименной повести А.Н.Толстого. Стихи Николая Кемарского, Романа Сефа.</t>
        </is>
      </c>
      <c r="L1491" s="2" t="inlineStr">
        <is>
          <t>https://www.kino-teatr.ru/teatr/movie/112956/annot/</t>
        </is>
      </c>
      <c r="M1491" s="2">
        <f>HYPERLINK("https://ru.wikipedia.org/w/index.php?search=%D0%93%D1%80%D0%B0%D1%84%20%D0%9A%D0%B0%D0%BB%D0%B8%D0%BE%D1%81%D1%82%D1%80%D0%BE%201987%20%D1%84%D0%B8%D0%BB%D1%8C%D0%BC","искать")</f>
        <v/>
      </c>
      <c r="N1491" s="3" t="n"/>
      <c r="O1491" s="2" t="n"/>
    </row>
    <row r="1492">
      <c r="A1492" s="2" t="n">
        <v>1491</v>
      </c>
      <c r="B1492" s="2" t="inlineStr">
        <is>
          <t>не сюжет</t>
        </is>
      </c>
      <c r="C1492" s="2" t="n">
        <v>7377</v>
      </c>
      <c r="D1492" s="3" t="inlineStr">
        <is>
          <t>Восточный дантист</t>
        </is>
      </c>
      <c r="E1492" s="2" t="n">
        <v>1981</v>
      </c>
      <c r="F1492" s="2" t="inlineStr">
        <is>
          <t>телефильм</t>
        </is>
      </c>
      <c r="G1492" s="2" t="n"/>
      <c r="H1492" s="2" t="n">
        <v>205</v>
      </c>
      <c r="I1492" s="2" t="inlineStr"/>
      <c r="J1492" s="2" t="inlineStr">
        <is>
          <t>да</t>
        </is>
      </c>
      <c r="K1492" s="3" t="inlineStr">
        <is>
          <t>Ատամնաբույժն արևելյան Телефильм. Музыкальная комедия по сюжету Акопа Пароняна. Экранизация комедии классика армянской литературы. Действие происходит в конце XIX века, в Константинополе, в армянской среде.</t>
        </is>
      </c>
      <c r="L1492" s="2" t="inlineStr">
        <is>
          <t>Кино_СССР сводный каталог.xlsx: список телефильмов</t>
        </is>
      </c>
      <c r="M1492" s="2">
        <f>HYPERLINK("https://ru.wikipedia.org/w/index.php?search=%D0%92%D0%BE%D1%81%D1%82%D0%BE%D1%87%D0%BD%D1%8B%D0%B9%20%D0%B4%D0%B0%D0%BD%D1%82%D0%B8%D1%81%D1%82%201981%20%D1%84%D0%B8%D0%BB%D1%8C%D0%BC","искать")</f>
        <v/>
      </c>
      <c r="N1492" s="3" t="n"/>
      <c r="O1492" s="2" t="n"/>
    </row>
    <row r="1493">
      <c r="A1493" s="2" t="n">
        <v>1492</v>
      </c>
      <c r="B1493" s="2" t="inlineStr">
        <is>
          <t>не сюжет</t>
        </is>
      </c>
      <c r="C1493" s="2" t="n">
        <v>7774</v>
      </c>
      <c r="D1493" s="3" t="inlineStr">
        <is>
          <t>Крик</t>
        </is>
      </c>
      <c r="E1493" s="2" t="n">
        <v>1986</v>
      </c>
      <c r="F1493" s="2" t="inlineStr">
        <is>
          <t>телефильм</t>
        </is>
      </c>
      <c r="G1493" s="2" t="n"/>
      <c r="H1493" s="2" t="n">
        <v>205</v>
      </c>
      <c r="I1493" s="2" t="inlineStr"/>
      <c r="J1493" s="2" t="inlineStr">
        <is>
          <t>да</t>
        </is>
      </c>
      <c r="K1493" s="3" t="inlineStr">
        <is>
          <t>Телефильм по одноимённой повести известного казахского писателя Оралхана Бокеева. Фильм рассматривает проблемы противоборства добра и зла, человеческого мужества и противостояния жизненным обстоятельствам.</t>
        </is>
      </c>
      <c r="L1493" s="2" t="inlineStr">
        <is>
          <t>Кино_СССР сводный каталог.xlsx: список телефильмов</t>
        </is>
      </c>
      <c r="M1493" s="2">
        <f>HYPERLINK("https://ru.wikipedia.org/w/index.php?search=%D0%9A%D1%80%D0%B8%D0%BA%201986%20%D1%84%D0%B8%D0%BB%D1%8C%D0%BC","искать")</f>
        <v/>
      </c>
      <c r="N1493" s="3" t="n"/>
      <c r="O1493" s="2" t="n"/>
    </row>
    <row r="1494">
      <c r="A1494" s="2" t="n">
        <v>1493</v>
      </c>
      <c r="B1494" s="2" t="inlineStr">
        <is>
          <t>не сюжет</t>
        </is>
      </c>
      <c r="C1494" s="2" t="n">
        <v>9338</v>
      </c>
      <c r="D1494" s="3" t="inlineStr">
        <is>
          <t>Диссидент</t>
        </is>
      </c>
      <c r="E1494" s="2" t="n">
        <v>1988</v>
      </c>
      <c r="F1494" s="2" t="inlineStr">
        <is>
          <t>кинофильм</t>
        </is>
      </c>
      <c r="G1494" s="2" t="n"/>
      <c r="H1494" s="2" t="n">
        <v>205</v>
      </c>
      <c r="I1494" s="2" t="inlineStr"/>
      <c r="J1494" s="2" t="inlineStr">
        <is>
          <t>да</t>
        </is>
      </c>
      <c r="K1494" s="3" t="inlineStr">
        <is>
          <t>Жил-был молодой человек, служил там, где глушили "вражеские голоса", писал, хотел снять фильм. Казалось ему, что нужна полная свобода, чтобы не дать заглохнуть способностям, чтобы не было помех творчеству.</t>
        </is>
      </c>
      <c r="L1494" s="2" t="inlineStr">
        <is>
          <t>Кино_СССР сводный каталог.xlsx: список фильмов (доп.)</t>
        </is>
      </c>
      <c r="M1494" s="2">
        <f>HYPERLINK("https://ru.wikipedia.org/w/index.php?search=%D0%94%D0%B8%D1%81%D1%81%D0%B8%D0%B4%D0%B5%D0%BD%D1%82%201988%20%D1%84%D0%B8%D0%BB%D1%8C%D0%BC","искать")</f>
        <v/>
      </c>
      <c r="N1494" s="3" t="n"/>
      <c r="O1494" s="2" t="n"/>
    </row>
    <row r="1495">
      <c r="A1495" s="2" t="n">
        <v>1494</v>
      </c>
      <c r="B1495" s="2" t="inlineStr">
        <is>
          <t>не сюжет</t>
        </is>
      </c>
      <c r="C1495" s="2" t="n">
        <v>10440</v>
      </c>
      <c r="D1495" s="3" t="inlineStr">
        <is>
          <t>Женский монастырь</t>
        </is>
      </c>
      <c r="E1495" s="2" t="n">
        <v>1972</v>
      </c>
      <c r="F1495" s="2" t="inlineStr">
        <is>
          <t>фильм-спектакль</t>
        </is>
      </c>
      <c r="G1495" s="2" t="n"/>
      <c r="H1495" s="2" t="n">
        <v>205</v>
      </c>
      <c r="I1495" s="2" t="inlineStr"/>
      <c r="J1495" s="2" t="inlineStr">
        <is>
          <t>да</t>
        </is>
      </c>
      <c r="K1495" s="3" t="inlineStr">
        <is>
          <t>Музыкальная комедия по пьесе В. Дыховичного и М. Слободского в постановке Московского академического театра Сатиры.
После роли Тушканчика в этом спектакле зрители стали ходить в театр Сатиры "на Миронова".</t>
        </is>
      </c>
      <c r="L1495" s="2" t="inlineStr">
        <is>
          <t>https://www.kino-teatr.ru/teatr/movie/81425/annot/</t>
        </is>
      </c>
      <c r="M1495" s="2">
        <f>HYPERLINK("https://ru.wikipedia.org/w/index.php?search=%D0%96%D0%B5%D0%BD%D1%81%D0%BA%D0%B8%D0%B9%20%D0%BC%D0%BE%D0%BD%D0%B0%D1%81%D1%82%D1%8B%D1%80%D1%8C%201972%20%D1%84%D0%B8%D0%BB%D1%8C%D0%BC","искать")</f>
        <v/>
      </c>
      <c r="N1495" s="3" t="n"/>
      <c r="O1495" s="2" t="n"/>
    </row>
    <row r="1496">
      <c r="A1496" s="2" t="n">
        <v>1495</v>
      </c>
      <c r="B1496" s="2" t="inlineStr">
        <is>
          <t>не сюжет</t>
        </is>
      </c>
      <c r="C1496" s="2" t="n">
        <v>10732</v>
      </c>
      <c r="D1496" s="3" t="inlineStr">
        <is>
          <t>Вечер старинных русских водевилей</t>
        </is>
      </c>
      <c r="E1496" s="2" t="n">
        <v>1978</v>
      </c>
      <c r="F1496" s="2" t="inlineStr">
        <is>
          <t>фильм-спектакль</t>
        </is>
      </c>
      <c r="G1496" s="2" t="n"/>
      <c r="H1496" s="2" t="n">
        <v>206</v>
      </c>
      <c r="I1496" s="2" t="inlineStr"/>
      <c r="J1496" s="2" t="inlineStr">
        <is>
          <t>да</t>
        </is>
      </c>
      <c r="K1496" s="3" t="inlineStr">
        <is>
          <t>Телеспектакль театра им. Вахтангова.
Состоит из двух водевилей - "Девушка-гусар" (Федора Кони, 1836) и "Дайте мне старуху" (Василия Савинова, 1851). Представляют водевили Лев Гурыч Синичкин и его дочь Лиза.</t>
        </is>
      </c>
      <c r="L1496" s="2" t="inlineStr">
        <is>
          <t>https://www.kino-teatr.ru/teatr/movie/89195/annot/</t>
        </is>
      </c>
      <c r="M1496" s="2">
        <f>HYPERLINK("https://ru.wikipedia.org/w/index.php?search=%D0%92%D0%B5%D1%87%D0%B5%D1%80%20%D1%81%D1%82%D0%B0%D1%80%D0%B8%D0%BD%D0%BD%D1%8B%D1%85%20%D1%80%D1%83%D1%81%D1%81%D0%BA%D0%B8%D1%85%20%D0%B2%D0%BE%D0%B4%D0%B5%D0%B2%D0%B8%D0%BB%D0%B5%D0%B9%201978%20%D1%84%D0%B8%D0%BB%D1%8C%D0%BC","искать")</f>
        <v/>
      </c>
      <c r="N1496" s="3" t="n"/>
      <c r="O1496" s="2" t="n"/>
    </row>
    <row r="1497">
      <c r="A1497" s="2" t="n">
        <v>1496</v>
      </c>
      <c r="B1497" s="2" t="inlineStr">
        <is>
          <t>не сюжет</t>
        </is>
      </c>
      <c r="C1497" s="2" t="n">
        <v>9477</v>
      </c>
      <c r="D1497" s="3" t="inlineStr">
        <is>
          <t>Моё</t>
        </is>
      </c>
      <c r="E1497" s="2" t="n">
        <v>1934</v>
      </c>
      <c r="F1497" s="2" t="inlineStr">
        <is>
          <t>кинофильм</t>
        </is>
      </c>
      <c r="G1497" s="2" t="n"/>
      <c r="H1497" s="2" t="n">
        <v>207</v>
      </c>
      <c r="I1497" s="2" t="inlineStr"/>
      <c r="J1497" s="2" t="inlineStr">
        <is>
          <t>да</t>
        </is>
      </c>
      <c r="K1497" s="3" t="inlineStr">
        <is>
          <t>Драма на колхозную тему о преодолении пережитков мелкособственнической крестьянской психологии. Фильм начинал сниматься как звуковой, но в процессе съемок решено было сделать его немым. На экраны не выпущен.</t>
        </is>
      </c>
      <c r="L1497" s="2" t="inlineStr">
        <is>
          <t>Кино_СССР сводный каталог.xlsx: список фильмов (доп.)</t>
        </is>
      </c>
      <c r="M1497" s="2">
        <f>HYPERLINK("https://ru.wikipedia.org/w/index.php?search=%D0%9C%D0%BE%D1%91%201934%20%D1%84%D0%B8%D0%BB%D1%8C%D0%BC","искать")</f>
        <v/>
      </c>
      <c r="N1497" s="3" t="n"/>
      <c r="O1497" s="2" t="n"/>
    </row>
    <row r="1498">
      <c r="A1498" s="2" t="n">
        <v>1497</v>
      </c>
      <c r="B1498" s="2" t="inlineStr">
        <is>
          <t>не сюжет</t>
        </is>
      </c>
      <c r="C1498" s="2" t="n">
        <v>11028</v>
      </c>
      <c r="D1498" s="3" t="inlineStr">
        <is>
          <t>Король Джон</t>
        </is>
      </c>
      <c r="E1498" s="2" t="n">
        <v>1984</v>
      </c>
      <c r="F1498" s="2" t="inlineStr">
        <is>
          <t>фильм-спектакль</t>
        </is>
      </c>
      <c r="G1498" s="2" t="inlineStr">
        <is>
          <t>Главная редакция литературно-драматических программ ЦТ</t>
        </is>
      </c>
      <c r="H1498" s="2" t="n">
        <v>207</v>
      </c>
      <c r="I1498" s="2" t="inlineStr"/>
      <c r="J1498" s="2" t="inlineStr">
        <is>
          <t>да</t>
        </is>
      </c>
      <c r="K1498" s="3" t="inlineStr">
        <is>
          <t>По одноименной пьесе Уильяма Шекспира в постановке Армянского государственного академического театра имени Габриэла Сундукяна.
Историческая хроника об истории Англии времен царствования Иоанна Безземельного.</t>
        </is>
      </c>
      <c r="L1498" s="2" t="inlineStr">
        <is>
          <t>https://www.kino-teatr.ru/teatr/movie/103633/annot/</t>
        </is>
      </c>
      <c r="M1498" s="2">
        <f>HYPERLINK("https://ru.wikipedia.org/w/index.php?search=%D0%9A%D0%BE%D1%80%D0%BE%D0%BB%D1%8C%20%D0%94%D0%B6%D0%BE%D0%BD%201984%20%D1%84%D0%B8%D0%BB%D1%8C%D0%BC","искать")</f>
        <v/>
      </c>
      <c r="N1498" s="3" t="n"/>
      <c r="O1498" s="2" t="n"/>
    </row>
    <row r="1499">
      <c r="A1499" s="2" t="n">
        <v>1498</v>
      </c>
      <c r="B1499" s="2" t="inlineStr">
        <is>
          <t>не сюжет</t>
        </is>
      </c>
      <c r="C1499" s="2" t="n">
        <v>8870</v>
      </c>
      <c r="D1499" s="3" t="inlineStr">
        <is>
          <t>Невозвращенец</t>
        </is>
      </c>
      <c r="E1499" s="2" t="n">
        <v>1991</v>
      </c>
      <c r="F1499" s="2" t="inlineStr">
        <is>
          <t>кинофильм</t>
        </is>
      </c>
      <c r="G1499" s="2" t="inlineStr">
        <is>
          <t>Ленфильм</t>
        </is>
      </c>
      <c r="H1499" s="2" t="n">
        <v>208</v>
      </c>
      <c r="I1499" s="2" t="inlineStr"/>
      <c r="J1499" s="2" t="inlineStr">
        <is>
          <t>да</t>
        </is>
      </c>
      <c r="K1499" s="3" t="inlineStr">
        <is>
          <t>По одноименной повести Александра Кабакова. В основе сюжета провидческого фильма - угроза переворота в стране. Премьера картины состоялась по Ленинградскому телевидению в первую ночь путча (август 1991 года).</t>
        </is>
      </c>
      <c r="L1499" s="2" t="inlineStr">
        <is>
          <t>Кино_СССР сводный каталог.xlsx: список фильмов (доп.)</t>
        </is>
      </c>
      <c r="M1499" s="2">
        <f>HYPERLINK("https://ru.wikipedia.org/w/index.php?search=%D0%9D%D0%B5%D0%B2%D0%BE%D0%B7%D0%B2%D1%80%D0%B0%D1%89%D0%B5%D0%BD%D0%B5%D1%86%201991%20%D1%84%D0%B8%D0%BB%D1%8C%D0%BC","искать")</f>
        <v/>
      </c>
      <c r="N1499" s="3" t="n"/>
      <c r="O1499" s="2" t="n"/>
    </row>
    <row r="1500">
      <c r="A1500" s="2" t="n">
        <v>1499</v>
      </c>
      <c r="B1500" s="2" t="inlineStr">
        <is>
          <t>не сюжет</t>
        </is>
      </c>
      <c r="C1500" s="2" t="n">
        <v>7345</v>
      </c>
      <c r="D1500" s="3" t="inlineStr">
        <is>
          <t>Владыка</t>
        </is>
      </c>
      <c r="E1500" s="2" t="n">
        <v>1987</v>
      </c>
      <c r="F1500" s="2" t="inlineStr">
        <is>
          <t>телефильм</t>
        </is>
      </c>
      <c r="G1500" s="2" t="n"/>
      <c r="H1500" s="2" t="n">
        <v>209</v>
      </c>
      <c r="I1500" s="2" t="inlineStr"/>
      <c r="J1500" s="2" t="inlineStr">
        <is>
          <t>да</t>
        </is>
      </c>
      <c r="K1500" s="3" t="inlineStr">
        <is>
          <t>Фильм поставлен по одноименной драме В.Миколайтиса-Путинаса. Хотя древние племена литовцев воевали между собой за власть, они всегда были верны главному принципу: нет ничего дороже чести и любви близких людей.</t>
        </is>
      </c>
      <c r="L1500" s="2" t="inlineStr">
        <is>
          <t>Кино_СССР сводный каталог.xlsx: список телефильмов</t>
        </is>
      </c>
      <c r="M1500" s="2">
        <f>HYPERLINK("https://ru.wikipedia.org/w/index.php?search=%D0%92%D0%BB%D0%B0%D0%B4%D1%8B%D0%BA%D0%B0%201987%20%D1%84%D0%B8%D0%BB%D1%8C%D0%BC","искать")</f>
        <v/>
      </c>
      <c r="N1500" s="3" t="n"/>
      <c r="O1500" s="2" t="n"/>
    </row>
    <row r="1501">
      <c r="A1501" s="2" t="n">
        <v>1500</v>
      </c>
      <c r="B1501" s="2" t="inlineStr">
        <is>
          <t>не сюжет</t>
        </is>
      </c>
      <c r="C1501" s="2" t="n">
        <v>10915</v>
      </c>
      <c r="D1501" s="3" t="inlineStr">
        <is>
          <t>Совесть</t>
        </is>
      </c>
      <c r="E1501" s="2" t="n">
        <v>1981</v>
      </c>
      <c r="F1501" s="2" t="inlineStr">
        <is>
          <t>фильм-спектакль</t>
        </is>
      </c>
      <c r="G1501" s="2" t="n"/>
      <c r="H1501" s="2" t="n">
        <v>209</v>
      </c>
      <c r="I1501" s="2" t="inlineStr"/>
      <c r="J1501" s="2" t="inlineStr">
        <is>
          <t>да</t>
        </is>
      </c>
      <c r="K1501" s="3" t="inlineStr">
        <is>
          <t>Снят по одноименному роману узбекского писателя Адыла Якубова (1927-2009).
Сюжетные линии соединяют город и село, столичный научно-исследовательский институт и колхоз, райком партии и полевой стан хлопкоробов.</t>
        </is>
      </c>
      <c r="L1501" s="2" t="inlineStr">
        <is>
          <t>https://www.kino-teatr.ru/teatr/movie/191062/annot/</t>
        </is>
      </c>
      <c r="M1501" s="2">
        <f>HYPERLINK("https://ru.wikipedia.org/w/index.php?search=%D0%A1%D0%BE%D0%B2%D0%B5%D1%81%D1%82%D1%8C%201981%20%D1%84%D0%B8%D0%BB%D1%8C%D0%BC","искать")</f>
        <v/>
      </c>
      <c r="N1501" s="3" t="n"/>
      <c r="O1501" s="2" t="n"/>
    </row>
    <row r="1502">
      <c r="A1502" s="2" t="n">
        <v>1501</v>
      </c>
      <c r="B1502" s="2" t="inlineStr">
        <is>
          <t>не сюжет</t>
        </is>
      </c>
      <c r="C1502" s="2" t="n">
        <v>11273</v>
      </c>
      <c r="D1502" s="3" t="inlineStr">
        <is>
          <t>Полтава</t>
        </is>
      </c>
      <c r="E1502" s="2" t="n">
        <v>1989</v>
      </c>
      <c r="F1502" s="2" t="inlineStr">
        <is>
          <t>фильм-спектакль</t>
        </is>
      </c>
      <c r="G1502" s="2" t="inlineStr">
        <is>
          <t>Гл. редакция литературно - драматических программ ЦТ, Подборки фильмов, экранизации Пушкина</t>
        </is>
      </c>
      <c r="H1502" s="2" t="n">
        <v>209</v>
      </c>
      <c r="I1502" s="2" t="inlineStr"/>
      <c r="J1502" s="2" t="inlineStr">
        <is>
          <t>да</t>
        </is>
      </c>
      <c r="K1502" s="3" t="inlineStr">
        <is>
          <t>В основе моноспектакля поэма Александра Сергеевича Пушкина "Полтава".
Чтению поэмы предшествует пролог, рассказывающий о том, как создавалась поэма и об оценках, данных этому произведению современниками поэта.</t>
        </is>
      </c>
      <c r="L1502" s="2" t="inlineStr">
        <is>
          <t>https://www.kino-teatr.ru/teatr/movie/104618/annot/</t>
        </is>
      </c>
      <c r="M1502" s="2">
        <f>HYPERLINK("https://ru.wikipedia.org/w/index.php?search=%D0%9F%D0%BE%D0%BB%D1%82%D0%B0%D0%B2%D0%B0%201989%20%D1%84%D0%B8%D0%BB%D1%8C%D0%BC","искать")</f>
        <v/>
      </c>
      <c r="N1502" s="3" t="n"/>
      <c r="O1502" s="2" t="n"/>
    </row>
    <row r="1503">
      <c r="A1503" s="2" t="n">
        <v>1502</v>
      </c>
      <c r="B1503" s="2" t="inlineStr">
        <is>
          <t>не сюжет</t>
        </is>
      </c>
      <c r="C1503" s="2" t="n">
        <v>11012</v>
      </c>
      <c r="D1503" s="3" t="inlineStr">
        <is>
          <t>Сирано де Бержерак</t>
        </is>
      </c>
      <c r="E1503" s="2" t="n">
        <v>1983</v>
      </c>
      <c r="F1503" s="2" t="inlineStr">
        <is>
          <t>фильм-спектакль</t>
        </is>
      </c>
      <c r="G1503" s="2" t="inlineStr">
        <is>
          <t>Гл. ред. лит-драм программ</t>
        </is>
      </c>
      <c r="H1503" s="2" t="n">
        <v>210</v>
      </c>
      <c r="I1503" s="2" t="inlineStr"/>
      <c r="J1503" s="2" t="inlineStr">
        <is>
          <t>да</t>
        </is>
      </c>
      <c r="K1503" s="3" t="inlineStr">
        <is>
          <t>Одна из популярных комедий французского драматурга Э.Ростана. Она не сходит с театральных подмостков со времени ее написания. Телеспектакль с Георгием Тараторкиным в роли Сирано поставил режиссер С.Евлахишвили.</t>
        </is>
      </c>
      <c r="L1503" s="2" t="inlineStr">
        <is>
          <t>https://www.kino-teatr.ru/teatr/movie/12098/annot/</t>
        </is>
      </c>
      <c r="M1503" s="2">
        <f>HYPERLINK("https://ru.wikipedia.org/w/index.php?search=%D0%A1%D0%B8%D1%80%D0%B0%D0%BD%D0%BE%20%D0%B4%D0%B5%20%D0%91%D0%B5%D1%80%D0%B6%D0%B5%D1%80%D0%B0%D0%BA%201983%20%D1%84%D0%B8%D0%BB%D1%8C%D0%BC","искать")</f>
        <v/>
      </c>
      <c r="N1503" s="3" t="n"/>
      <c r="O1503" s="2" t="n"/>
    </row>
    <row r="1504">
      <c r="A1504" s="2" t="n">
        <v>1503</v>
      </c>
      <c r="B1504" s="2" t="inlineStr">
        <is>
          <t>не сюжет</t>
        </is>
      </c>
      <c r="C1504" s="2" t="n">
        <v>11209</v>
      </c>
      <c r="D1504" s="3" t="inlineStr">
        <is>
          <t>Квадрат</t>
        </is>
      </c>
      <c r="E1504" s="2" t="n">
        <v>1988</v>
      </c>
      <c r="F1504" s="2" t="inlineStr">
        <is>
          <t>фильм-спектакль</t>
        </is>
      </c>
      <c r="G1504" s="2" t="inlineStr">
        <is>
          <t>Союзтеатр</t>
        </is>
      </c>
      <c r="H1504" s="2" t="n">
        <v>210</v>
      </c>
      <c r="I1504" s="2" t="inlineStr"/>
      <c r="J1504" s="2" t="inlineStr">
        <is>
          <t>да</t>
        </is>
      </c>
      <c r="K1504" s="3" t="inlineStr">
        <is>
          <t>Спектакль по мотивам повести В.Елисеевой «А было так...».
Видеозапись спектакля Государственного театра молодежи Литовской СССР 17.08.1988 (премьера спектакля 30.12.1980). Перевод с литовского - З.Сакалаускене.</t>
        </is>
      </c>
      <c r="L1504" s="2" t="inlineStr">
        <is>
          <t>https://www.kino-teatr.ru/teatr/movie/11338/annot/</t>
        </is>
      </c>
      <c r="M1504" s="2">
        <f>HYPERLINK("https://ru.wikipedia.org/w/index.php?search=%D0%9A%D0%B2%D0%B0%D0%B4%D1%80%D0%B0%D1%82%201988%20%D1%84%D0%B8%D0%BB%D1%8C%D0%BC","искать")</f>
        <v/>
      </c>
      <c r="N1504" s="3" t="n"/>
      <c r="O1504" s="2" t="n"/>
    </row>
    <row r="1505">
      <c r="A1505" s="2" t="n">
        <v>1504</v>
      </c>
      <c r="B1505" s="2" t="inlineStr">
        <is>
          <t>не сюжет</t>
        </is>
      </c>
      <c r="C1505" s="2" t="n">
        <v>7538</v>
      </c>
      <c r="D1505" s="3" t="inlineStr">
        <is>
          <t>Дом на песке</t>
        </is>
      </c>
      <c r="E1505" s="2" t="n">
        <v>1991</v>
      </c>
      <c r="F1505" s="2" t="inlineStr">
        <is>
          <t>телефильм</t>
        </is>
      </c>
      <c r="G1505" s="2" t="n"/>
      <c r="H1505" s="2" t="n">
        <v>212</v>
      </c>
      <c r="I1505" s="2" t="inlineStr"/>
      <c r="J1505" s="2" t="inlineStr">
        <is>
          <t>да</t>
        </is>
      </c>
      <c r="K1505" s="3" t="inlineStr">
        <is>
          <t>По рассказу Татьяны Толстой "Соня". Лирико-драматическая история девушки, живущей в большой хлебосольной семье интеллигента, растворена в жизнеописании среды и атмосферы Ленинграда конца 30-х - начала 40-х годов.</t>
        </is>
      </c>
      <c r="L1505" s="2" t="inlineStr">
        <is>
          <t>Кино_СССР сводный каталог.xlsx: список телефильмов</t>
        </is>
      </c>
      <c r="M1505" s="2">
        <f>HYPERLINK("https://ru.wikipedia.org/w/index.php?search=%D0%94%D0%BE%D0%BC%20%D0%BD%D0%B0%20%D0%BF%D0%B5%D1%81%D0%BA%D0%B5%201991%20%D1%84%D0%B8%D0%BB%D1%8C%D0%BC","искать")</f>
        <v/>
      </c>
      <c r="N1505" s="3" t="n"/>
      <c r="O1505" s="2" t="n"/>
    </row>
    <row r="1506">
      <c r="A1506" s="2" t="n">
        <v>1505</v>
      </c>
      <c r="B1506" s="2" t="inlineStr">
        <is>
          <t>не сюжет</t>
        </is>
      </c>
      <c r="C1506" s="2" t="n">
        <v>8208</v>
      </c>
      <c r="D1506" s="3" t="inlineStr">
        <is>
          <t>Приключения Петрова и Васечкина, обыкновенные и невероятные</t>
        </is>
      </c>
      <c r="E1506" s="2" t="n">
        <v>1983</v>
      </c>
      <c r="F1506" s="2" t="inlineStr">
        <is>
          <t>телефильм</t>
        </is>
      </c>
      <c r="G1506" s="2" t="inlineStr">
        <is>
          <t>Одесская к/с</t>
        </is>
      </c>
      <c r="H1506" s="2" t="n">
        <v>212</v>
      </c>
      <c r="I1506" s="2" t="inlineStr"/>
      <c r="J1506" s="2" t="inlineStr">
        <is>
          <t>да</t>
        </is>
      </c>
      <c r="K1506" s="3" t="inlineStr">
        <is>
          <t>Телефильм. Неразлучная парочка - скромный, застенчивый Вася Петров и выдумщик Петя Васечкин, герои киножурнала "Ералаш". Следующий фильм о приключениях двух друзей - "Каникулы Петрова и Васечкина" (2 серии, 1984)</t>
        </is>
      </c>
      <c r="L1506" s="2" t="inlineStr">
        <is>
          <t>Кино_СССР сводный каталог.xlsx: список телефильмов</t>
        </is>
      </c>
      <c r="M1506" s="2">
        <f>HYPERLINK("https://ru.wikipedia.org/w/index.php?search=%D0%9F%D1%80%D0%B8%D0%BA%D0%BB%D1%8E%D1%87%D0%B5%D0%BD%D0%B8%D1%8F%20%D0%9F%D0%B5%D1%82%D1%80%D0%BE%D0%B2%D0%B0%20%D0%B8%20%D0%92%D0%B0%D1%81%D0%B5%D1%87%D0%BA%D0%B8%D0%BD%D0%B0%2C%20%D0%BE%D0%B1%D1%8B%D0%BA%D0%BD%D0%BE%D0%B2%D0%B5%D0%BD%D0%BD%D1%8B%D0%B5%20%D0%B8%20%D0%BD%D0%B5%D0%B2%D0%B5%D1%80%D0%BE%D1%8F%D1%82%D0%BD%D1%8B%D0%B5%201983%20%D1%84%D0%B8%D0%BB%D1%8C%D0%BC","искать")</f>
        <v/>
      </c>
      <c r="N1506" s="3" t="n"/>
      <c r="O1506" s="2" t="n"/>
    </row>
    <row r="1507">
      <c r="A1507" s="2" t="n">
        <v>1506</v>
      </c>
      <c r="B1507" s="2" t="inlineStr">
        <is>
          <t>не сюжет</t>
        </is>
      </c>
      <c r="C1507" s="2" t="n">
        <v>8713</v>
      </c>
      <c r="D1507" s="3" t="inlineStr">
        <is>
          <t>Дрозд - птаха зелёная</t>
        </is>
      </c>
      <c r="E1507" s="2" t="n">
        <v>1990</v>
      </c>
      <c r="F1507" s="2" t="inlineStr">
        <is>
          <t>кинофильм</t>
        </is>
      </c>
      <c r="G1507" s="2" t="n"/>
      <c r="H1507" s="2" t="n">
        <v>212</v>
      </c>
      <c r="I1507" s="2" t="inlineStr"/>
      <c r="J1507" s="2" t="inlineStr">
        <is>
          <t>да</t>
        </is>
      </c>
      <c r="K1507" s="3" t="inlineStr">
        <is>
          <t>По мотивам поэмы Сигитаса Геды «Дрозд». Это схема экзистенции каждого человека. В фильме говорится о любом сближении мужчины и женщины, о борьбе со злом каждого человека, о случаях несдержанности, несущих смерть.</t>
        </is>
      </c>
      <c r="L1507" s="2" t="inlineStr">
        <is>
          <t>Кино_СССР сводный каталог.xlsx: список фильмов (доп.)</t>
        </is>
      </c>
      <c r="M1507" s="2">
        <f>HYPERLINK("https://ru.wikipedia.org/w/index.php?search=%D0%94%D1%80%D0%BE%D0%B7%D0%B4%20-%20%D0%BF%D1%82%D0%B0%D1%85%D0%B0%20%D0%B7%D0%B5%D0%BB%D1%91%D0%BD%D0%B0%D1%8F%201990%20%D1%84%D0%B8%D0%BB%D1%8C%D0%BC","искать")</f>
        <v/>
      </c>
      <c r="N1507" s="3" t="n"/>
      <c r="O1507" s="2" t="n"/>
    </row>
    <row r="1508">
      <c r="A1508" s="2" t="n">
        <v>1507</v>
      </c>
      <c r="B1508" s="2" t="inlineStr">
        <is>
          <t>не сюжет</t>
        </is>
      </c>
      <c r="C1508" s="2" t="n">
        <v>10668</v>
      </c>
      <c r="D1508" s="3" t="inlineStr">
        <is>
          <t>Пучина</t>
        </is>
      </c>
      <c r="E1508" s="2" t="n">
        <v>1976</v>
      </c>
      <c r="F1508" s="2" t="inlineStr">
        <is>
          <t>фильм-спектакль</t>
        </is>
      </c>
      <c r="G1508" s="2" t="inlineStr">
        <is>
          <t>ТО “Экран”</t>
        </is>
      </c>
      <c r="H1508" s="2" t="n">
        <v>212</v>
      </c>
      <c r="I1508" s="2" t="inlineStr"/>
      <c r="J1508" s="2" t="inlineStr">
        <is>
          <t>да</t>
        </is>
      </c>
      <c r="K1508" s="3" t="inlineStr">
        <is>
          <t>Фильм-спектакль в постановке Государственного академического Малого театра по одноимённой пьесе Александра Николаевича Островского.
Драма о "маленьком человеке", слабом и добром, тонущем в пучине житейского моря.</t>
        </is>
      </c>
      <c r="L1508" s="2" t="inlineStr">
        <is>
          <t>https://www.kino-teatr.ru/teatr/movie/11677/annot/</t>
        </is>
      </c>
      <c r="M1508" s="2">
        <f>HYPERLINK("https://ru.wikipedia.org/w/index.php?search=%D0%9F%D1%83%D1%87%D0%B8%D0%BD%D0%B0%201976%20%D1%84%D0%B8%D0%BB%D1%8C%D0%BC","искать")</f>
        <v/>
      </c>
      <c r="N1508" s="3" t="n"/>
      <c r="O1508" s="2" t="n"/>
    </row>
    <row r="1509">
      <c r="A1509" s="2" t="n">
        <v>1508</v>
      </c>
      <c r="B1509" s="2" t="inlineStr">
        <is>
          <t>не сюжет</t>
        </is>
      </c>
      <c r="C1509" s="2" t="n">
        <v>8396</v>
      </c>
      <c r="D1509" s="3" t="inlineStr">
        <is>
          <t>Старик хочет домой</t>
        </is>
      </c>
      <c r="E1509" s="2" t="n">
        <v>1991</v>
      </c>
      <c r="F1509" s="2" t="inlineStr">
        <is>
          <t>телефильм</t>
        </is>
      </c>
      <c r="G1509" s="2" t="n"/>
      <c r="H1509" s="2" t="n">
        <v>213</v>
      </c>
      <c r="I1509" s="2" t="inlineStr"/>
      <c r="J1509" s="2" t="inlineStr">
        <is>
          <t>да</t>
        </is>
      </c>
      <c r="K1509" s="3" t="inlineStr">
        <is>
          <t>По одноимённому роману Раймонда Каугвера. Главный герой, пожилой рабочий Тоомас Симмо, считает родной дом важнейшей ценностью своей жизни. Фильм обращается к отношениям поколений и различию их жизненных ценностей.</t>
        </is>
      </c>
      <c r="L1509" s="2" t="inlineStr">
        <is>
          <t>Кино_СССР сводный каталог.xlsx: список телефильмов</t>
        </is>
      </c>
      <c r="M1509" s="2">
        <f>HYPERLINK("https://ru.wikipedia.org/w/index.php?search=%D0%A1%D1%82%D0%B0%D1%80%D0%B8%D0%BA%20%D1%85%D0%BE%D1%87%D0%B5%D1%82%20%D0%B4%D0%BE%D0%BC%D0%BE%D0%B9%201991%20%D1%84%D0%B8%D0%BB%D1%8C%D0%BC","искать")</f>
        <v/>
      </c>
      <c r="N1509" s="3" t="n"/>
      <c r="O1509" s="2" t="n"/>
    </row>
    <row r="1510">
      <c r="A1510" s="2" t="n">
        <v>1509</v>
      </c>
      <c r="B1510" s="2" t="inlineStr">
        <is>
          <t>не сюжет</t>
        </is>
      </c>
      <c r="C1510" s="2" t="n">
        <v>10716</v>
      </c>
      <c r="D1510" s="3" t="inlineStr">
        <is>
          <t>Ситуация</t>
        </is>
      </c>
      <c r="E1510" s="2" t="n">
        <v>1977</v>
      </c>
      <c r="F1510" s="2" t="inlineStr">
        <is>
          <t>фильм-спектакль</t>
        </is>
      </c>
      <c r="G1510" s="2" t="inlineStr">
        <is>
          <t>Центральное телевидение</t>
        </is>
      </c>
      <c r="H1510" s="2" t="n">
        <v>213</v>
      </c>
      <c r="I1510" s="2" t="inlineStr"/>
      <c r="J1510" s="2" t="inlineStr">
        <is>
          <t>да</t>
        </is>
      </c>
      <c r="K1510" s="3" t="inlineStr">
        <is>
          <t>По пьесе Виктора Розова в постановке Государственного академического театра имени Евг. Вахтангова.
О рабочем Викторе Лесикове, честном человеке, который все свои незаурядные способности отдал родному производству.</t>
        </is>
      </c>
      <c r="L1510" s="2" t="inlineStr">
        <is>
          <t>https://www.kino-teatr.ru/teatr/movie/81570/annot/</t>
        </is>
      </c>
      <c r="M1510" s="2">
        <f>HYPERLINK("https://ru.wikipedia.org/w/index.php?search=%D0%A1%D0%B8%D1%82%D1%83%D0%B0%D1%86%D0%B8%D1%8F%201977%20%D1%84%D0%B8%D0%BB%D1%8C%D0%BC","искать")</f>
        <v/>
      </c>
      <c r="N1510" s="3" t="n"/>
      <c r="O1510" s="2" t="n"/>
    </row>
    <row r="1511">
      <c r="A1511" s="2" t="n">
        <v>1510</v>
      </c>
      <c r="B1511" s="2" t="inlineStr">
        <is>
          <t>не сюжет</t>
        </is>
      </c>
      <c r="C1511" s="2" t="n">
        <v>9221</v>
      </c>
      <c r="D1511" s="3" t="inlineStr">
        <is>
          <t>Баштанская республика</t>
        </is>
      </c>
      <c r="E1511" s="2" t="n">
        <v>1930</v>
      </c>
      <c r="F1511" s="2" t="inlineStr">
        <is>
          <t>кинофильм</t>
        </is>
      </c>
      <c r="G1511" s="2" t="n"/>
      <c r="H1511" s="2" t="n">
        <v>214</v>
      </c>
      <c r="I1511" s="2" t="inlineStr"/>
      <c r="J1511" s="2" t="inlineStr">
        <is>
          <t>да</t>
        </is>
      </c>
      <c r="K1511" s="3" t="inlineStr">
        <is>
          <t>Фильм пропагандировал политику коллективизации. На завершающей стадии работы картина была запрещена республиканскими руководителями к выпуску на экран с обвинением в "правом уклоне". Копия фильма в ГФФ не хранится.</t>
        </is>
      </c>
      <c r="L1511" s="2" t="inlineStr">
        <is>
          <t>Кино_СССР сводный каталог.xlsx: список фильмов (доп.)</t>
        </is>
      </c>
      <c r="M1511" s="2">
        <f>HYPERLINK("https://ru.wikipedia.org/w/index.php?search=%D0%91%D0%B0%D1%88%D1%82%D0%B0%D0%BD%D1%81%D0%BA%D0%B0%D1%8F%20%D1%80%D0%B5%D1%81%D0%BF%D1%83%D0%B1%D0%BB%D0%B8%D0%BA%D0%B0%201930%20%D1%84%D0%B8%D0%BB%D1%8C%D0%BC","искать")</f>
        <v/>
      </c>
      <c r="N1511" s="3" t="n"/>
      <c r="O1511" s="2" t="n"/>
    </row>
    <row r="1512">
      <c r="A1512" s="2" t="n">
        <v>1511</v>
      </c>
      <c r="B1512" s="2" t="inlineStr">
        <is>
          <t>не сюжет</t>
        </is>
      </c>
      <c r="C1512" s="2" t="n">
        <v>9232</v>
      </c>
      <c r="D1512" s="3" t="inlineStr">
        <is>
          <t>Белые флаги</t>
        </is>
      </c>
      <c r="E1512" s="2" t="n">
        <v>1990</v>
      </c>
      <c r="F1512" s="2" t="inlineStr">
        <is>
          <t>кинофильм</t>
        </is>
      </c>
      <c r="G1512" s="2" t="n"/>
      <c r="H1512" s="2" t="n">
        <v>214</v>
      </c>
      <c r="I1512" s="2" t="inlineStr"/>
      <c r="J1512" s="2" t="inlineStr">
        <is>
          <t>да</t>
        </is>
      </c>
      <c r="K1512" s="3" t="inlineStr">
        <is>
          <t>თეთრი ბაირაღები По мотивам романа известного грузинского писателя Нодара Думбадзе. Главный герой фильма — Заза Накашидзе, «без вины виноватый» человек, несправедливо осуждённый за убийство, которого он не совершал.</t>
        </is>
      </c>
      <c r="L1512" s="2" t="inlineStr">
        <is>
          <t>Кино_СССР сводный каталог.xlsx: список фильмов (доп.)</t>
        </is>
      </c>
      <c r="M1512" s="2">
        <f>HYPERLINK("https://ru.wikipedia.org/w/index.php?search=%D0%91%D0%B5%D0%BB%D1%8B%D0%B5%20%D1%84%D0%BB%D0%B0%D0%B3%D0%B8%201990%20%D1%84%D0%B8%D0%BB%D1%8C%D0%BC","искать")</f>
        <v/>
      </c>
      <c r="N1512" s="3" t="n"/>
      <c r="O1512" s="2" t="n"/>
    </row>
    <row r="1513">
      <c r="A1513" s="2" t="n">
        <v>1512</v>
      </c>
      <c r="B1513" s="2" t="inlineStr">
        <is>
          <t>не сюжет</t>
        </is>
      </c>
      <c r="C1513" s="2" t="n">
        <v>9478</v>
      </c>
      <c r="D1513" s="3" t="inlineStr">
        <is>
          <t>Мой друг Наврузов</t>
        </is>
      </c>
      <c r="E1513" s="2" t="n">
        <v>1957</v>
      </c>
      <c r="F1513" s="2" t="inlineStr">
        <is>
          <t>кинофильм</t>
        </is>
      </c>
      <c r="G1513" s="2" t="n"/>
      <c r="H1513" s="2" t="n">
        <v>214</v>
      </c>
      <c r="I1513" s="2" t="inlineStr"/>
      <c r="J1513" s="2" t="inlineStr">
        <is>
          <t>да</t>
        </is>
      </c>
      <c r="K1513" s="3" t="inlineStr">
        <is>
          <t>Остросоциальная драма, прославляющая современные взгляды, нормы управления хозяйством, современного, прогрессивного героя с высокими нравственными принципами, с обострённым чувством ответственности перед обществом.</t>
        </is>
      </c>
      <c r="L1513" s="2" t="inlineStr">
        <is>
          <t>Кино_СССР сводный каталог.xlsx: список фильмов (доп.)</t>
        </is>
      </c>
      <c r="M1513" s="2">
        <f>HYPERLINK("https://ru.wikipedia.org/w/index.php?search=%D0%9C%D0%BE%D0%B9%20%D0%B4%D1%80%D1%83%D0%B3%20%D0%9D%D0%B0%D0%B2%D1%80%D1%83%D0%B7%D0%BE%D0%B2%201957%20%D1%84%D0%B8%D0%BB%D1%8C%D0%BC","искать")</f>
        <v/>
      </c>
      <c r="N1513" s="3" t="n"/>
      <c r="O1513" s="2" t="n"/>
    </row>
    <row r="1514">
      <c r="A1514" s="2" t="n">
        <v>1513</v>
      </c>
      <c r="B1514" s="2" t="inlineStr">
        <is>
          <t>не сюжет</t>
        </is>
      </c>
      <c r="C1514" s="2" t="n">
        <v>10380</v>
      </c>
      <c r="D1514" s="3" t="inlineStr">
        <is>
          <t>Борис Годунов</t>
        </is>
      </c>
      <c r="E1514" s="2" t="n">
        <v>1971</v>
      </c>
      <c r="F1514" s="2" t="inlineStr">
        <is>
          <t>фильм-спектакль</t>
        </is>
      </c>
      <c r="G1514" s="2" t="inlineStr">
        <is>
          <t>Главная редакция научно-популярных и образовательных программ ЦТ</t>
        </is>
      </c>
      <c r="H1514" s="2" t="n">
        <v>214</v>
      </c>
      <c r="I1514" s="2" t="inlineStr"/>
      <c r="J1514" s="2" t="inlineStr">
        <is>
          <t>да</t>
        </is>
      </c>
      <c r="K1514" s="3" t="inlineStr">
        <is>
          <t>Пять сцен из трагедии "Борис Годунов" по одноименному произведению А.С.Пушкина в исполнении артистов Московского драматического театра имени Н.В.Гоголя.
Ведущий - доктор филологических наук Сергей Михайлович Бонди.</t>
        </is>
      </c>
      <c r="L1514" s="2" t="inlineStr">
        <is>
          <t>https://www.kino-teatr.ru/teatr/movie/92513/annot/</t>
        </is>
      </c>
      <c r="M1514" s="2">
        <f>HYPERLINK("https://ru.wikipedia.org/w/index.php?search=%D0%91%D0%BE%D1%80%D0%B8%D1%81%20%D0%93%D0%BE%D0%B4%D1%83%D0%BD%D0%BE%D0%B2%201971%20%D1%84%D0%B8%D0%BB%D1%8C%D0%BC","искать")</f>
        <v/>
      </c>
      <c r="N1514" s="3" t="n"/>
      <c r="O1514" s="2" t="n"/>
    </row>
    <row r="1515">
      <c r="A1515" s="2" t="n">
        <v>1514</v>
      </c>
      <c r="B1515" s="2" t="inlineStr">
        <is>
          <t>не сюжет</t>
        </is>
      </c>
      <c r="C1515" s="2" t="n">
        <v>9102</v>
      </c>
      <c r="D1515" s="3" t="inlineStr">
        <is>
          <t>Тихая обитель</t>
        </is>
      </c>
      <c r="E1515" s="2" t="n">
        <v>1971</v>
      </c>
      <c r="F1515" s="2" t="inlineStr">
        <is>
          <t>кинофильм</t>
        </is>
      </c>
      <c r="G1515" s="2" t="n"/>
      <c r="H1515" s="2" t="n">
        <v>215</v>
      </c>
      <c r="I1515" s="2" t="inlineStr"/>
      <c r="J1515" s="2" t="inlineStr">
        <is>
          <t>да</t>
        </is>
      </c>
      <c r="K1515" s="3" t="inlineStr">
        <is>
          <t>მყუდრო სავანე По мотивам произведений Серго Клдиашвили. На примере жизни небольшого уголка в Имерети рассказывается о крушении старого мира, об установлении Советской власти в Грузии и изменениях в психологии людей.</t>
        </is>
      </c>
      <c r="L1515" s="2" t="inlineStr">
        <is>
          <t>Кино_СССР сводный каталог.xlsx: список фильмов (доп.)</t>
        </is>
      </c>
      <c r="M1515" s="2">
        <f>HYPERLINK("https://ru.wikipedia.org/w/index.php?search=%D0%A2%D0%B8%D1%85%D0%B0%D1%8F%20%D0%BE%D0%B1%D0%B8%D1%82%D0%B5%D0%BB%D1%8C%201971%20%D1%84%D0%B8%D0%BB%D1%8C%D0%BC","искать")</f>
        <v/>
      </c>
      <c r="N1515" s="3" t="n"/>
      <c r="O1515" s="2" t="n"/>
    </row>
    <row r="1516">
      <c r="A1516" s="2" t="n">
        <v>1515</v>
      </c>
      <c r="B1516" s="2" t="inlineStr">
        <is>
          <t>не сюжет</t>
        </is>
      </c>
      <c r="C1516" s="2" t="n">
        <v>9659</v>
      </c>
      <c r="D1516" s="3" t="inlineStr">
        <is>
          <t>Совесть мира</t>
        </is>
      </c>
      <c r="E1516" s="2" t="n">
        <v>1951</v>
      </c>
      <c r="F1516" s="2" t="inlineStr">
        <is>
          <t>кинофильм</t>
        </is>
      </c>
      <c r="G1516" s="2" t="n"/>
      <c r="H1516" s="2" t="n">
        <v>215</v>
      </c>
      <c r="I1516" s="2" t="inlineStr"/>
      <c r="J1516" s="2" t="inlineStr">
        <is>
          <t>да</t>
        </is>
      </c>
      <c r="K1516" s="3" t="inlineStr">
        <is>
          <t>Картина поднимает вопросы науки, политики, применения атомной бомбы... Фильм не был завершён. Сохранившиеся в Госфильмофонде сцены были смонтированы и показаны на фестивале архивного кино "Белые столбы" в 2014 году.</t>
        </is>
      </c>
      <c r="L1516" s="2" t="inlineStr">
        <is>
          <t>Кино_СССР сводный каталог.xlsx: список фильмов (доп.)</t>
        </is>
      </c>
      <c r="M1516" s="2">
        <f>HYPERLINK("https://ru.wikipedia.org/w/index.php?search=%D0%A1%D0%BE%D0%B2%D0%B5%D1%81%D1%82%D1%8C%20%D0%BC%D0%B8%D1%80%D0%B0%201951%20%D1%84%D0%B8%D0%BB%D1%8C%D0%BC","искать")</f>
        <v/>
      </c>
      <c r="N1516" s="3" t="n"/>
      <c r="O1516" s="2" t="n"/>
    </row>
    <row r="1517">
      <c r="A1517" s="2" t="n">
        <v>1516</v>
      </c>
      <c r="B1517" s="2" t="inlineStr">
        <is>
          <t>не сюжет</t>
        </is>
      </c>
      <c r="C1517" s="2" t="n">
        <v>11207</v>
      </c>
      <c r="D1517" s="3" t="inlineStr">
        <is>
          <t>Карманный театр</t>
        </is>
      </c>
      <c r="E1517" s="2" t="n">
        <v>1988</v>
      </c>
      <c r="F1517" s="2" t="inlineStr">
        <is>
          <t>фильм-спектакль</t>
        </is>
      </c>
      <c r="G1517" s="2" t="inlineStr">
        <is>
          <t>Главная редакция литературно-драматических программ ЦТ</t>
        </is>
      </c>
      <c r="H1517" s="2" t="n">
        <v>215</v>
      </c>
      <c r="I1517" s="2" t="inlineStr"/>
      <c r="J1517" s="2" t="inlineStr">
        <is>
          <t>да</t>
        </is>
      </c>
      <c r="K1517" s="3" t="inlineStr">
        <is>
          <t>По одноактным пьесам-монологам Ж.Кокто: "Равнодушный красавец", "Я ее потерял", "Человеческий голос" и пьесе-фантазии Г.Горина "На карнизе" на темы Ж.Кокто в постановке Московского театра имени Ленинского комсомола.</t>
        </is>
      </c>
      <c r="L1517" s="2" t="inlineStr">
        <is>
          <t>https://www.kino-teatr.ru/teatr/movie/38046/annot/</t>
        </is>
      </c>
      <c r="M1517" s="2">
        <f>HYPERLINK("https://ru.wikipedia.org/w/index.php?search=%D0%9A%D0%B0%D1%80%D0%BC%D0%B0%D0%BD%D0%BD%D1%8B%D0%B9%20%D1%82%D0%B5%D0%B0%D1%82%D1%80%201988%20%D1%84%D0%B8%D0%BB%D1%8C%D0%BC","искать")</f>
        <v/>
      </c>
      <c r="N1517" s="3" t="n"/>
      <c r="O1517" s="2" t="n"/>
    </row>
    <row r="1518">
      <c r="A1518" s="2" t="n">
        <v>1517</v>
      </c>
      <c r="B1518" s="2" t="inlineStr">
        <is>
          <t>не сюжет</t>
        </is>
      </c>
      <c r="C1518" s="2" t="n">
        <v>7431</v>
      </c>
      <c r="D1518" s="3" t="inlineStr">
        <is>
          <t>Гардемарины, вперёд!</t>
        </is>
      </c>
      <c r="E1518" s="2" t="n">
        <v>1987</v>
      </c>
      <c r="F1518" s="2" t="inlineStr">
        <is>
          <t>телефильм</t>
        </is>
      </c>
      <c r="G1518" s="2" t="inlineStr">
        <is>
          <t>Мосфильм</t>
        </is>
      </c>
      <c r="H1518" s="2" t="n">
        <v>216</v>
      </c>
      <c r="I1518" s="2" t="inlineStr"/>
      <c r="J1518" s="2" t="inlineStr">
        <is>
          <t>да</t>
        </is>
      </c>
      <c r="K1518" s="3" t="inlineStr">
        <is>
          <t>Фильм снят по роману Нины Соротокиной «Трое из Навигацкой школы». Первая из картин трилогии о гардемаринах, в основе сюжета которой - политические и любовные интриги русского царского двора времен Елизаветы Петровны.</t>
        </is>
      </c>
      <c r="L1518" s="2" t="inlineStr">
        <is>
          <t>Кино_СССР сводный каталог.xlsx: список телефильмов</t>
        </is>
      </c>
      <c r="M1518" s="2">
        <f>HYPERLINK("https://ru.wikipedia.org/w/index.php?search=%D0%93%D0%B0%D1%80%D0%B4%D0%B5%D0%BC%D0%B0%D1%80%D0%B8%D0%BD%D1%8B%2C%20%D0%B2%D0%BF%D0%B5%D1%80%D1%91%D0%B4%21%201987%20%D1%84%D0%B8%D0%BB%D1%8C%D0%BC","искать")</f>
        <v/>
      </c>
      <c r="N1518" s="3" t="n"/>
      <c r="O1518" s="2" t="n"/>
    </row>
    <row r="1519">
      <c r="A1519" s="2" t="n">
        <v>1518</v>
      </c>
      <c r="B1519" s="2" t="inlineStr">
        <is>
          <t>не сюжет</t>
        </is>
      </c>
      <c r="C1519" s="2" t="n">
        <v>9883</v>
      </c>
      <c r="D1519" s="3" t="inlineStr">
        <is>
          <t>Сочинение</t>
        </is>
      </c>
      <c r="E1519" s="2" t="n">
        <v>1970</v>
      </c>
      <c r="F1519" s="2" t="inlineStr">
        <is>
          <t>кинофильм</t>
        </is>
      </c>
      <c r="G1519" s="2" t="inlineStr">
        <is>
          <t>Беларусьфильм</t>
        </is>
      </c>
      <c r="H1519" s="2" t="n">
        <v>216</v>
      </c>
      <c r="I1519" s="2" t="inlineStr"/>
      <c r="J1519" s="2" t="inlineStr">
        <is>
          <t>да</t>
        </is>
      </c>
      <c r="K1519" s="3" t="inlineStr">
        <is>
          <t>О единении детской фантазии с восприятием неповторимой красоты окружающей природы. Для героя фильма Яши это восприятие также непосредственно связано с яркими поэтическими образами, с которыми его познакомили в школе.</t>
        </is>
      </c>
      <c r="L1519" s="2" t="inlineStr">
        <is>
          <t>https://www.kino-teatr.ru/short/movie/sov/15923/annot/</t>
        </is>
      </c>
      <c r="M1519" s="2">
        <f>HYPERLINK("https://ru.wikipedia.org/w/index.php?search=%D0%A1%D0%BE%D1%87%D0%B8%D0%BD%D0%B5%D0%BD%D0%B8%D0%B5%201970%20%D1%84%D0%B8%D0%BB%D1%8C%D0%BC","искать")</f>
        <v/>
      </c>
      <c r="N1519" s="3" t="n"/>
      <c r="O1519" s="2" t="n"/>
    </row>
    <row r="1520">
      <c r="A1520" s="2" t="n">
        <v>1519</v>
      </c>
      <c r="B1520" s="2" t="inlineStr">
        <is>
          <t>не сюжет</t>
        </is>
      </c>
      <c r="C1520" s="2" t="n">
        <v>10038</v>
      </c>
      <c r="D1520" s="3" t="inlineStr">
        <is>
          <t>День ряженых</t>
        </is>
      </c>
      <c r="E1520" s="2" t="n">
        <v>1989</v>
      </c>
      <c r="F1520" s="2" t="inlineStr">
        <is>
          <t>кинофильм</t>
        </is>
      </c>
      <c r="G1520" s="2" t="inlineStr">
        <is>
          <t>Таллинфильм</t>
        </is>
      </c>
      <c r="H1520" s="2" t="n">
        <v>216</v>
      </c>
      <c r="I1520" s="2" t="inlineStr"/>
      <c r="J1520" s="2" t="inlineStr">
        <is>
          <t>да</t>
        </is>
      </c>
      <c r="K1520" s="3" t="inlineStr">
        <is>
          <t>День ряженых — Мартов день — это краткий миг счастья и фантазии в нашей будничной жизни. Но даже этот день не приносит семье радость. Фильм рассказывает о трагическом распаде традиционного эстонского семейного клана.</t>
        </is>
      </c>
      <c r="L1520" s="2" t="inlineStr">
        <is>
          <t>https://www.kino-teatr.ru/short/movie/sov/78967/annot/</t>
        </is>
      </c>
      <c r="M1520" s="2">
        <f>HYPERLINK("https://ru.wikipedia.org/w/index.php?search=%D0%94%D0%B5%D0%BD%D1%8C%20%D1%80%D1%8F%D0%B6%D0%B5%D0%BD%D1%8B%D1%85%201989%20%D1%84%D0%B8%D0%BB%D1%8C%D0%BC","искать")</f>
        <v/>
      </c>
      <c r="N1520" s="3" t="n"/>
      <c r="O1520" s="2" t="n"/>
    </row>
    <row r="1521">
      <c r="A1521" s="2" t="n">
        <v>1520</v>
      </c>
      <c r="B1521" s="2" t="inlineStr">
        <is>
          <t>не сюжет</t>
        </is>
      </c>
      <c r="C1521" s="2" t="n">
        <v>11315</v>
      </c>
      <c r="D1521" s="3" t="inlineStr">
        <is>
          <t>После дуэли</t>
        </is>
      </c>
      <c r="E1521" s="2" t="n">
        <v>1990</v>
      </c>
      <c r="F1521" s="2" t="inlineStr">
        <is>
          <t>фильм-спектакль</t>
        </is>
      </c>
      <c r="G1521" s="2" t="n"/>
      <c r="H1521" s="2" t="n">
        <v>216</v>
      </c>
      <c r="I1521" s="2" t="inlineStr"/>
      <c r="J1521" s="2" t="inlineStr">
        <is>
          <t>да</t>
        </is>
      </c>
      <c r="K1521" s="3" t="inlineStr">
        <is>
          <t>По пьесе Михаила Рощина "После дуэли" о реакции на гибель поэта Михаила Юрьевича Лермонтова его друзей, недругов, знакомых, близких и далёких людей. Пьеса написана по материалам воспоминаний современников Лермонтова.</t>
        </is>
      </c>
      <c r="L1521" s="2" t="inlineStr">
        <is>
          <t>https://www.kino-teatr.ru/teatr/movie/105441/annot/</t>
        </is>
      </c>
      <c r="M1521" s="2">
        <f>HYPERLINK("https://ru.wikipedia.org/w/index.php?search=%D0%9F%D0%BE%D1%81%D0%BB%D0%B5%20%D0%B4%D1%83%D1%8D%D0%BB%D0%B8%201990%20%D1%84%D0%B8%D0%BB%D1%8C%D0%BC","искать")</f>
        <v/>
      </c>
      <c r="N1521" s="3" t="n"/>
      <c r="O1521" s="2" t="n"/>
    </row>
    <row r="1522">
      <c r="A1522" s="2" t="n">
        <v>1521</v>
      </c>
      <c r="B1522" s="2" t="inlineStr">
        <is>
          <t>не сюжет</t>
        </is>
      </c>
      <c r="C1522" s="2" t="n">
        <v>8959</v>
      </c>
      <c r="D1522" s="3" t="inlineStr">
        <is>
          <t>Последний барьер</t>
        </is>
      </c>
      <c r="E1522" s="2" t="n">
        <v>1978</v>
      </c>
      <c r="F1522" s="2" t="inlineStr">
        <is>
          <t>кинофильм</t>
        </is>
      </c>
      <c r="G1522" s="2" t="n"/>
      <c r="H1522" s="2" t="n">
        <v>217</v>
      </c>
      <c r="I1522" s="2" t="inlineStr"/>
      <c r="J1522" s="2" t="inlineStr">
        <is>
          <t>да</t>
        </is>
      </c>
      <c r="K1522" s="3" t="inlineStr">
        <is>
          <t>Фильм поставлен по одноименному роману А.Дрипе. Действие картины происходит в колонии  для несовершеннолетних правонарушителей.  Это фильм о долге воспитателя, о личной ответственности за тех, чьи судьбы ему доверены.</t>
        </is>
      </c>
      <c r="L1522" s="2" t="inlineStr">
        <is>
          <t>Кино_СССР сводный каталог.xlsx: список фильмов (доп.)</t>
        </is>
      </c>
      <c r="M1522" s="2">
        <f>HYPERLINK("https://ru.wikipedia.org/w/index.php?search=%D0%9F%D0%BE%D1%81%D0%BB%D0%B5%D0%B4%D0%BD%D0%B8%D0%B9%20%D0%B1%D0%B0%D1%80%D1%8C%D0%B5%D1%80%201978%20%D1%84%D0%B8%D0%BB%D1%8C%D0%BC","искать")</f>
        <v/>
      </c>
      <c r="N1522" s="3" t="n"/>
      <c r="O1522" s="2" t="n"/>
    </row>
    <row r="1523">
      <c r="A1523" s="2" t="n">
        <v>1522</v>
      </c>
      <c r="B1523" s="2" t="inlineStr">
        <is>
          <t>не сюжет</t>
        </is>
      </c>
      <c r="C1523" s="2" t="n">
        <v>9584</v>
      </c>
      <c r="D1523" s="3" t="inlineStr">
        <is>
          <t>Преступление свершилось</t>
        </is>
      </c>
      <c r="E1523" s="2" t="n">
        <v>1988</v>
      </c>
      <c r="F1523" s="2" t="inlineStr">
        <is>
          <t>кинофильм</t>
        </is>
      </c>
      <c r="G1523" s="2" t="n"/>
      <c r="H1523" s="2" t="n">
        <v>217</v>
      </c>
      <c r="I1523" s="2" t="inlineStr"/>
      <c r="J1523" s="2" t="inlineStr">
        <is>
          <t>да</t>
        </is>
      </c>
      <c r="K1523" s="3" t="inlineStr">
        <is>
          <t>დანაშაული მოხდა События фильма происходят в одном из больших дворов современного Тбилиси, где ежедневно собираются подростки. В общем неплохие ребята, когда собираются вместе, становятся неуправляемыми и агрессивными.</t>
        </is>
      </c>
      <c r="L1523" s="2" t="inlineStr">
        <is>
          <t>Кино_СССР сводный каталог.xlsx: список фильмов (доп.)</t>
        </is>
      </c>
      <c r="M1523" s="2">
        <f>HYPERLINK("https://ru.wikipedia.org/w/index.php?search=%D0%9F%D1%80%D0%B5%D1%81%D1%82%D1%83%D0%BF%D0%BB%D0%B5%D0%BD%D0%B8%D0%B5%20%D1%81%D0%B2%D0%B5%D1%80%D1%88%D0%B8%D0%BB%D0%BE%D1%81%D1%8C%201988%20%D1%84%D0%B8%D0%BB%D1%8C%D0%BC","искать")</f>
        <v/>
      </c>
      <c r="N1523" s="3" t="n"/>
      <c r="O1523" s="2" t="n"/>
    </row>
    <row r="1524">
      <c r="A1524" s="2" t="n">
        <v>1523</v>
      </c>
      <c r="B1524" s="2" t="inlineStr">
        <is>
          <t>не сюжет</t>
        </is>
      </c>
      <c r="C1524" s="2" t="n">
        <v>7281</v>
      </c>
      <c r="D1524" s="3" t="inlineStr">
        <is>
          <t>Бумбараш</t>
        </is>
      </c>
      <c r="E1524" s="2" t="n">
        <v>1971</v>
      </c>
      <c r="F1524" s="2" t="inlineStr">
        <is>
          <t>телефильм</t>
        </is>
      </c>
      <c r="G1524" s="2" t="inlineStr">
        <is>
          <t>к/с им. Довженко</t>
        </is>
      </c>
      <c r="H1524" s="2" t="n">
        <v>218</v>
      </c>
      <c r="I1524" s="2" t="inlineStr"/>
      <c r="J1524" s="2" t="inlineStr">
        <is>
          <t>да</t>
        </is>
      </c>
      <c r="K1524" s="3" t="inlineStr">
        <is>
          <t>По мотивам ранних произведений Аркадия Гайдара. Смешной и грустный, трагичный и веселый телефильм о гражданской войне в России своим успехом во многом обязан великолепной игре Валерия Золотухина и замечательной музыке.</t>
        </is>
      </c>
      <c r="L1524" s="2" t="inlineStr">
        <is>
          <t>Кино_СССР сводный каталог.xlsx: список телефильмов</t>
        </is>
      </c>
      <c r="M1524" s="2">
        <f>HYPERLINK("https://ru.wikipedia.org/w/index.php?search=%D0%91%D1%83%D0%BC%D0%B1%D0%B0%D1%80%D0%B0%D1%88%201971%20%D1%84%D0%B8%D0%BB%D1%8C%D0%BC","искать")</f>
        <v/>
      </c>
      <c r="N1524" s="3" t="n"/>
      <c r="O1524" s="2" t="n"/>
    </row>
    <row r="1525">
      <c r="A1525" s="2" t="n">
        <v>1524</v>
      </c>
      <c r="B1525" s="2" t="inlineStr">
        <is>
          <t>не сюжет</t>
        </is>
      </c>
      <c r="C1525" s="2" t="n">
        <v>9733</v>
      </c>
      <c r="D1525" s="3" t="inlineStr">
        <is>
          <t>Хождение по мукам</t>
        </is>
      </c>
      <c r="E1525" s="2" t="n">
        <v>1957</v>
      </c>
      <c r="F1525" s="2" t="inlineStr">
        <is>
          <t>кинофильм</t>
        </is>
      </c>
      <c r="G1525" s="2" t="n"/>
      <c r="H1525" s="2" t="n">
        <v>219</v>
      </c>
      <c r="I1525" s="2" t="inlineStr"/>
      <c r="J1525" s="2" t="inlineStr">
        <is>
          <t>да</t>
        </is>
      </c>
      <c r="K1525" s="3" t="inlineStr">
        <is>
          <t>Кинотрилогия ("Сёстры" (1957), "Восемнадцатый год"(1958), "Хмурое утро" (1959) по одноименному роману Алексея Николаевича Толстого. О судьбах русской интеллигенции на фоне развала Российской империи и гражданской войны.</t>
        </is>
      </c>
      <c r="L1525" s="2" t="inlineStr">
        <is>
          <t>Кино_СССР сводный каталог.xlsx: список фильмов (доп.)</t>
        </is>
      </c>
      <c r="M1525" s="2">
        <f>HYPERLINK("https://ru.wikipedia.org/w/index.php?search=%D0%A5%D0%BE%D0%B6%D0%B4%D0%B5%D0%BD%D0%B8%D0%B5%20%D0%BF%D0%BE%20%D0%BC%D1%83%D0%BA%D0%B0%D0%BC%201957%20%D1%84%D0%B8%D0%BB%D1%8C%D0%BC","искать")</f>
        <v/>
      </c>
      <c r="N1525" s="3" t="n"/>
      <c r="O1525" s="2" t="n"/>
    </row>
    <row r="1526">
      <c r="A1526" s="2" t="n">
        <v>1525</v>
      </c>
      <c r="B1526" s="2" t="inlineStr">
        <is>
          <t>не сюжет</t>
        </is>
      </c>
      <c r="C1526" s="2" t="n">
        <v>7709</v>
      </c>
      <c r="D1526" s="3" t="inlineStr">
        <is>
          <t>Каникулы Петрова и Васечкина, обыкновенные и невероятные</t>
        </is>
      </c>
      <c r="E1526" s="2" t="n">
        <v>1984</v>
      </c>
      <c r="F1526" s="2" t="inlineStr">
        <is>
          <t>телефильм</t>
        </is>
      </c>
      <c r="G1526" s="2" t="n"/>
      <c r="H1526" s="2" t="n">
        <v>220</v>
      </c>
      <c r="I1526" s="2" t="inlineStr"/>
      <c r="J1526" s="2" t="inlineStr">
        <is>
          <t>да</t>
        </is>
      </c>
      <c r="K1526" s="3" t="inlineStr">
        <is>
          <t>Неразлучная парочка - скромный, застенчивый Вася Петров и выдумщик Петя Васечкин, герои киножурнала "Ералаш", на летнем отдыхе в пионерском лагере. Картина первая - "Хулиган" (почти по Гоголю). Картина вторая - "Рыцарь".</t>
        </is>
      </c>
      <c r="L1526" s="2" t="inlineStr">
        <is>
          <t>Кино_СССР сводный каталог.xlsx: список телефильмов</t>
        </is>
      </c>
      <c r="M1526" s="2">
        <f>HYPERLINK("https://ru.wikipedia.org/w/index.php?search=%D0%9A%D0%B0%D0%BD%D0%B8%D0%BA%D1%83%D0%BB%D1%8B%20%D0%9F%D0%B5%D1%82%D1%80%D0%BE%D0%B2%D0%B0%20%D0%B8%20%D0%92%D0%B0%D1%81%D0%B5%D1%87%D0%BA%D0%B8%D0%BD%D0%B0%2C%20%D0%BE%D0%B1%D1%8B%D0%BA%D0%BD%D0%BE%D0%B2%D0%B5%D0%BD%D0%BD%D1%8B%D0%B5%20%D0%B8%20%D0%BD%D0%B5%D0%B2%D0%B5%D1%80%D0%BE%D1%8F%D1%82%D0%BD%D1%8B%D0%B5%201984%20%D1%84%D0%B8%D0%BB%D1%8C%D0%BC","искать")</f>
        <v/>
      </c>
      <c r="N1526" s="3" t="n"/>
      <c r="O1526" s="2" t="n"/>
    </row>
    <row r="1527">
      <c r="A1527" s="2" t="n">
        <v>1526</v>
      </c>
      <c r="B1527" s="2" t="inlineStr">
        <is>
          <t>не сюжет</t>
        </is>
      </c>
      <c r="C1527" s="2" t="n">
        <v>10423</v>
      </c>
      <c r="D1527" s="3" t="inlineStr">
        <is>
          <t>Тысяча душ</t>
        </is>
      </c>
      <c r="E1527" s="2" t="n">
        <v>1971</v>
      </c>
      <c r="F1527" s="2" t="inlineStr">
        <is>
          <t>фильм-спектакль</t>
        </is>
      </c>
      <c r="G1527" s="2" t="inlineStr">
        <is>
          <t>Главная редакция литературно-драматических программ ЦТ</t>
        </is>
      </c>
      <c r="H1527" s="2" t="n">
        <v>220</v>
      </c>
      <c r="I1527" s="2" t="inlineStr"/>
      <c r="J1527" s="2" t="inlineStr">
        <is>
          <t>да</t>
        </is>
      </c>
      <c r="K1527" s="3" t="inlineStr">
        <is>
          <t>По мотивам одноименного романа А.Ф.Писемского.
Спектакль о всесильной власти денег и нравах чиновничьего мира, губящих все честное, доброе, гуманное. Действие происходит в середине 40-х гг. XIX в. в уездном городе N-ске.</t>
        </is>
      </c>
      <c r="L1527" s="2" t="inlineStr">
        <is>
          <t>https://www.kino-teatr.ru/teatr/movie/79301/annot/</t>
        </is>
      </c>
      <c r="M1527" s="2">
        <f>HYPERLINK("https://ru.wikipedia.org/w/index.php?search=%D0%A2%D1%8B%D1%81%D1%8F%D1%87%D0%B0%20%D0%B4%D1%83%D1%88%201971%20%D1%84%D0%B8%D0%BB%D1%8C%D0%BC","искать")</f>
        <v/>
      </c>
      <c r="N1527" s="3" t="n"/>
      <c r="O1527" s="2" t="n"/>
    </row>
    <row r="1528">
      <c r="A1528" s="2" t="n">
        <v>1527</v>
      </c>
      <c r="B1528" s="2" t="inlineStr">
        <is>
          <t>не сюжет</t>
        </is>
      </c>
      <c r="C1528" s="2" t="n">
        <v>7635</v>
      </c>
      <c r="D1528" s="3" t="inlineStr">
        <is>
          <t>Здесь наш дом</t>
        </is>
      </c>
      <c r="E1528" s="2" t="n">
        <v>1984</v>
      </c>
      <c r="F1528" s="2" t="inlineStr">
        <is>
          <t>телефильм</t>
        </is>
      </c>
      <c r="G1528" s="2" t="n"/>
      <c r="H1528" s="2" t="n">
        <v>221</v>
      </c>
      <c r="I1528" s="2" t="inlineStr"/>
      <c r="J1528" s="2" t="inlineStr">
        <is>
          <t>да</t>
        </is>
      </c>
      <c r="K1528" s="3" t="inlineStr">
        <is>
          <t>Фильм поставлен по одноимённому роману Ю.Паукштялиса. Главный герой фильма Валентас Бернотас, талантливый человек из народа,  проходит сложный жизненный путь - от последних лет буржуазной республики до послевоенной Литвы.</t>
        </is>
      </c>
      <c r="L1528" s="2" t="inlineStr">
        <is>
          <t>Кино_СССР сводный каталог.xlsx: список телефильмов</t>
        </is>
      </c>
      <c r="M1528" s="2">
        <f>HYPERLINK("https://ru.wikipedia.org/w/index.php?search=%D0%97%D0%B4%D0%B5%D1%81%D1%8C%20%D0%BD%D0%B0%D1%88%20%D0%B4%D0%BE%D0%BC%201984%20%D1%84%D0%B8%D0%BB%D1%8C%D0%BC","искать")</f>
        <v/>
      </c>
      <c r="N1528" s="3" t="n"/>
      <c r="O1528" s="2" t="n"/>
    </row>
    <row r="1529">
      <c r="A1529" s="2" t="n">
        <v>1528</v>
      </c>
      <c r="B1529" s="2" t="inlineStr">
        <is>
          <t>не сюжет</t>
        </is>
      </c>
      <c r="C1529" s="2" t="n">
        <v>9741</v>
      </c>
      <c r="D1529" s="3" t="inlineStr">
        <is>
          <t>Цвет корриды</t>
        </is>
      </c>
      <c r="E1529" s="2" t="n">
        <v>1987</v>
      </c>
      <c r="F1529" s="2" t="inlineStr">
        <is>
          <t>кинофильм</t>
        </is>
      </c>
      <c r="G1529" s="2" t="n"/>
      <c r="H1529" s="2" t="n">
        <v>221</v>
      </c>
      <c r="I1529" s="2" t="inlineStr"/>
      <c r="J1529" s="2" t="inlineStr">
        <is>
          <t>да</t>
        </is>
      </c>
      <c r="K1529" s="3" t="inlineStr">
        <is>
          <t>Из года в год совхозное хозяйство села Домашовка выполняло план за счет выработки яблочного вина. Когда же его производство было прекращено, перед молодым директором совхоза встал вопрос: как вывести хозяйство из кризиса?</t>
        </is>
      </c>
      <c r="L1529" s="2" t="inlineStr">
        <is>
          <t>Кино_СССР сводный каталог.xlsx: список фильмов (доп.)</t>
        </is>
      </c>
      <c r="M1529" s="2">
        <f>HYPERLINK("https://ru.wikipedia.org/w/index.php?search=%D0%A6%D0%B2%D0%B5%D1%82%20%D0%BA%D0%BE%D1%80%D1%80%D0%B8%D0%B4%D1%8B%201987%20%D1%84%D0%B8%D0%BB%D1%8C%D0%BC","искать")</f>
        <v/>
      </c>
      <c r="N1529" s="3" t="n"/>
      <c r="O1529" s="2" t="n"/>
    </row>
    <row r="1530">
      <c r="A1530" s="2" t="n">
        <v>1529</v>
      </c>
      <c r="B1530" s="2" t="inlineStr">
        <is>
          <t>не сюжет</t>
        </is>
      </c>
      <c r="C1530" s="2" t="n">
        <v>9341</v>
      </c>
      <c r="D1530" s="3" t="inlineStr">
        <is>
          <t>Дни человека</t>
        </is>
      </c>
      <c r="E1530" s="2" t="n">
        <v>1989</v>
      </c>
      <c r="F1530" s="2" t="inlineStr">
        <is>
          <t>кинофильм</t>
        </is>
      </c>
      <c r="G1530" s="2" t="n"/>
      <c r="H1530" s="2" t="n">
        <v>222</v>
      </c>
      <c r="I1530" s="2" t="inlineStr"/>
      <c r="J1530" s="2" t="inlineStr">
        <is>
          <t>да</t>
        </is>
      </c>
      <c r="K1530" s="3" t="inlineStr">
        <is>
          <t>По мотивам произведений Андрея Битова. Главный герой фильма - Алексей Инфантьев. В основе фильма внутренний мир главного героя, его восприятие действительности, чувства и мечты на фоне событий 1954-1955, 1968 и 1988 годов.</t>
        </is>
      </c>
      <c r="L1530" s="2" t="inlineStr">
        <is>
          <t>Кино_СССР сводный каталог.xlsx: список фильмов (доп.)</t>
        </is>
      </c>
      <c r="M1530" s="2">
        <f>HYPERLINK("https://ru.wikipedia.org/w/index.php?search=%D0%94%D0%BD%D0%B8%20%D1%87%D0%B5%D0%BB%D0%BE%D0%B2%D0%B5%D0%BA%D0%B0%201989%20%D1%84%D0%B8%D0%BB%D1%8C%D0%BC","искать")</f>
        <v/>
      </c>
      <c r="N1530" s="3" t="n"/>
      <c r="O1530" s="2" t="n"/>
    </row>
    <row r="1531">
      <c r="A1531" s="2" t="n">
        <v>1530</v>
      </c>
      <c r="B1531" s="2" t="inlineStr">
        <is>
          <t>не сюжет</t>
        </is>
      </c>
      <c r="C1531" s="2" t="n">
        <v>9396</v>
      </c>
      <c r="D1531" s="3" t="inlineStr">
        <is>
          <t>Искусство жить в Одессе</t>
        </is>
      </c>
      <c r="E1531" s="2" t="n">
        <v>1989</v>
      </c>
      <c r="F1531" s="2" t="inlineStr">
        <is>
          <t>кинофильм</t>
        </is>
      </c>
      <c r="G1531" s="2" t="n"/>
      <c r="H1531" s="2" t="n">
        <v>222</v>
      </c>
      <c r="I1531" s="2" t="inlineStr"/>
      <c r="J1531" s="2" t="inlineStr">
        <is>
          <t>да</t>
        </is>
      </c>
      <c r="K1531" s="3" t="inlineStr">
        <is>
          <t>Фантазия-фейерверк на темы знаменитых и вечных "Одесских рассказов" Исаака Бабеля: неподражаемый одесский юмор; немыслимые, но узнаваемые сюжеты; удивительные герои во главе с легендарным королем налетчиков - Беней Криком.</t>
        </is>
      </c>
      <c r="L1531" s="2" t="inlineStr">
        <is>
          <t>Кино_СССР сводный каталог.xlsx: список фильмов (доп.)</t>
        </is>
      </c>
      <c r="M1531" s="2">
        <f>HYPERLINK("https://ru.wikipedia.org/w/index.php?search=%D0%98%D1%81%D0%BA%D1%83%D1%81%D1%81%D1%82%D0%B2%D0%BE%20%D0%B6%D0%B8%D1%82%D1%8C%20%D0%B2%20%D0%9E%D0%B4%D0%B5%D1%81%D1%81%D0%B5%201989%20%D1%84%D0%B8%D0%BB%D1%8C%D0%BC","искать")</f>
        <v/>
      </c>
      <c r="N1531" s="3" t="n"/>
      <c r="O1531" s="2" t="n"/>
    </row>
    <row r="1532">
      <c r="A1532" s="2" t="n">
        <v>1531</v>
      </c>
      <c r="B1532" s="2" t="inlineStr">
        <is>
          <t>не сюжет</t>
        </is>
      </c>
      <c r="C1532" s="2" t="n">
        <v>8525</v>
      </c>
      <c r="D1532" s="3" t="inlineStr">
        <is>
          <t>Хозяйка Медвежьей речки</t>
        </is>
      </c>
      <c r="E1532" s="2" t="n">
        <v>1963</v>
      </c>
      <c r="F1532" s="2" t="inlineStr">
        <is>
          <t>телефильм</t>
        </is>
      </c>
      <c r="G1532" s="2" t="n"/>
      <c r="H1532" s="2" t="n">
        <v>223</v>
      </c>
      <c r="I1532" s="2" t="inlineStr"/>
      <c r="J1532" s="2" t="inlineStr">
        <is>
          <t>да</t>
        </is>
      </c>
      <c r="K1532" s="3" t="inlineStr">
        <is>
          <t>По одноименному рассказу Леонида Пасенюка о зарождающемся чувстве любви. Действие происходит на исследовательской станции Министерства рыбного хозяйства, организованной в районе Петропавловска-Камчатского у Медвежьей речки.</t>
        </is>
      </c>
      <c r="L1532" s="2" t="inlineStr">
        <is>
          <t>Кино_СССР сводный каталог.xlsx: список телефильмов</t>
        </is>
      </c>
      <c r="M1532" s="2">
        <f>HYPERLINK("https://ru.wikipedia.org/w/index.php?search=%D0%A5%D0%BE%D0%B7%D1%8F%D0%B9%D0%BA%D0%B0%20%D0%9C%D0%B5%D0%B4%D0%B2%D0%B5%D0%B6%D1%8C%D0%B5%D0%B9%20%D1%80%D0%B5%D1%87%D0%BA%D0%B8%201963%20%D1%84%D0%B8%D0%BB%D1%8C%D0%BC","искать")</f>
        <v/>
      </c>
      <c r="N1532" s="3" t="n"/>
      <c r="O1532" s="2" t="n"/>
    </row>
    <row r="1533">
      <c r="A1533" s="2" t="n">
        <v>1532</v>
      </c>
      <c r="B1533" s="2" t="inlineStr">
        <is>
          <t>не сюжет</t>
        </is>
      </c>
      <c r="C1533" s="2" t="n">
        <v>10750</v>
      </c>
      <c r="D1533" s="3" t="inlineStr">
        <is>
          <t>Кузен Понс</t>
        </is>
      </c>
      <c r="E1533" s="2" t="n">
        <v>1978</v>
      </c>
      <c r="F1533" s="2" t="inlineStr">
        <is>
          <t>фильм-спектакль</t>
        </is>
      </c>
      <c r="G1533" s="2" t="inlineStr">
        <is>
          <t>Гостелерадио СССР, ЦТ</t>
        </is>
      </c>
      <c r="H1533" s="2" t="n">
        <v>223</v>
      </c>
      <c r="I1533" s="2" t="inlineStr"/>
      <c r="J1533" s="2" t="inlineStr">
        <is>
          <t>да</t>
        </is>
      </c>
      <c r="K1533" s="3" t="inlineStr">
        <is>
          <t>По мотивам одноименного романа французского писателя Оноре де Бальзака из цикла "Этюды о нравах". Бездуховность и ограниченность "добропорядочных" буржуа превращают ценности искусства в средство наживы, в предмет тщеславия.</t>
        </is>
      </c>
      <c r="L1533" s="2" t="inlineStr">
        <is>
          <t>https://www.kino-teatr.ru/teatr/movie/11956/annot/</t>
        </is>
      </c>
      <c r="M1533" s="2">
        <f>HYPERLINK("https://ru.wikipedia.org/w/index.php?search=%D0%9A%D1%83%D0%B7%D0%B5%D0%BD%20%D0%9F%D0%BE%D0%BD%D1%81%201978%20%D1%84%D0%B8%D0%BB%D1%8C%D0%BC","искать")</f>
        <v/>
      </c>
      <c r="N1533" s="3" t="n"/>
      <c r="O1533" s="2" t="n"/>
    </row>
    <row r="1534">
      <c r="A1534" s="2" t="n">
        <v>1533</v>
      </c>
      <c r="B1534" s="2" t="inlineStr">
        <is>
          <t>не сюжет</t>
        </is>
      </c>
      <c r="C1534" s="2" t="n">
        <v>11062</v>
      </c>
      <c r="D1534" s="3" t="inlineStr">
        <is>
          <t>Исполнить свой долг</t>
        </is>
      </c>
      <c r="E1534" s="2" t="n">
        <v>1985</v>
      </c>
      <c r="F1534" s="2" t="inlineStr">
        <is>
          <t>фильм-спектакль</t>
        </is>
      </c>
      <c r="G1534" s="2" t="inlineStr">
        <is>
          <t>Главная редакция научно-популярных и учебных программ ЦТ</t>
        </is>
      </c>
      <c r="H1534" s="2" t="n">
        <v>224</v>
      </c>
      <c r="I1534" s="2" t="inlineStr"/>
      <c r="J1534" s="2" t="inlineStr">
        <is>
          <t>да</t>
        </is>
      </c>
      <c r="K1534" s="3" t="inlineStr">
        <is>
          <t>Телеспектакль посвящен 80-летию революции 1905-1907 гг. и работе III съезда РСДРП, проходившего в Лондоне в 1905 году, так же показана история возникновения первого в России Совета рабочих депутатов в г. Иваново-Вознесенске.</t>
        </is>
      </c>
      <c r="L1534" s="2" t="inlineStr">
        <is>
          <t>https://www.kino-teatr.ru/teatr/movie/107332/annot/</t>
        </is>
      </c>
      <c r="M1534" s="2">
        <f>HYPERLINK("https://ru.wikipedia.org/w/index.php?search=%D0%98%D1%81%D0%BF%D0%BE%D0%BB%D0%BD%D0%B8%D1%82%D1%8C%20%D1%81%D0%B2%D0%BE%D0%B9%20%D0%B4%D0%BE%D0%BB%D0%B3%201985%20%D1%84%D0%B8%D0%BB%D1%8C%D0%BC","искать")</f>
        <v/>
      </c>
      <c r="N1534" s="3" t="n"/>
      <c r="O1534" s="2" t="n"/>
    </row>
    <row r="1535">
      <c r="A1535" s="2" t="n">
        <v>1534</v>
      </c>
      <c r="B1535" s="2" t="inlineStr">
        <is>
          <t>не сюжет</t>
        </is>
      </c>
      <c r="C1535" s="2" t="n">
        <v>7216</v>
      </c>
      <c r="D1535" s="3" t="inlineStr">
        <is>
          <t>Аптека на перекрестке</t>
        </is>
      </c>
      <c r="E1535" s="2" t="n">
        <v>1987</v>
      </c>
      <c r="F1535" s="2" t="inlineStr">
        <is>
          <t>телефильм</t>
        </is>
      </c>
      <c r="G1535" s="2" t="n"/>
      <c r="H1535" s="2" t="n">
        <v>225</v>
      </c>
      <c r="I1535" s="2" t="inlineStr"/>
      <c r="J1535" s="2" t="inlineStr">
        <is>
          <t>да</t>
        </is>
      </c>
      <c r="K1535" s="3" t="inlineStr">
        <is>
          <t>Խաչմերուկի դեղատունը՝ Каждый день на перекрестке улиц у небольшой старой аптеки встречаются дворник Мушег, аптекарь Адамян и сторож Гаспар. Все они люди пожилые, прошедшие войну, во время которой потеряли самых близких людей.</t>
        </is>
      </c>
      <c r="L1535" s="2" t="inlineStr">
        <is>
          <t>Кино_СССР сводный каталог.xlsx: список телефильмов</t>
        </is>
      </c>
      <c r="M1535" s="2">
        <f>HYPERLINK("https://ru.wikipedia.org/w/index.php?search=%D0%90%D0%BF%D1%82%D0%B5%D0%BA%D0%B0%20%D0%BD%D0%B0%20%D0%BF%D0%B5%D1%80%D0%B5%D0%BA%D1%80%D0%B5%D1%81%D1%82%D0%BA%D0%B5%201987%20%D1%84%D0%B8%D0%BB%D1%8C%D0%BC","искать")</f>
        <v/>
      </c>
      <c r="N1535" s="3" t="n"/>
      <c r="O1535" s="2" t="n"/>
    </row>
    <row r="1536">
      <c r="A1536" s="2" t="n">
        <v>1535</v>
      </c>
      <c r="B1536" s="2" t="inlineStr">
        <is>
          <t>не сюжет</t>
        </is>
      </c>
      <c r="C1536" s="2" t="n">
        <v>10470</v>
      </c>
      <c r="D1536" s="3" t="inlineStr">
        <is>
          <t>Стихи Агнии Барто</t>
        </is>
      </c>
      <c r="E1536" s="2" t="n">
        <v>1972</v>
      </c>
      <c r="F1536" s="2" t="inlineStr">
        <is>
          <t>фильм-спектакль</t>
        </is>
      </c>
      <c r="G1536" s="2" t="inlineStr">
        <is>
          <t>Главная редакция программ для детей и юношества ЦТ</t>
        </is>
      </c>
      <c r="H1536" s="2" t="n">
        <v>226</v>
      </c>
      <c r="I1536" s="2" t="inlineStr"/>
      <c r="J1536" s="2" t="inlineStr">
        <is>
          <t>да</t>
        </is>
      </c>
      <c r="K1536" s="3" t="inlineStr">
        <is>
          <t>Телеспектакль для детей, в основе которого стихи Агнии Барто - "Уехали", "Снегирь", "Любочка", "Птичий рынок", "Штукатуры",
"О любви", "Три очка за старичка",
"Рыцари", "Перепляс", "Лешенька", "Рыболовы", "Башмаки со скрипом".</t>
        </is>
      </c>
      <c r="L1536" s="2" t="inlineStr">
        <is>
          <t>https://www.kino-teatr.ru/teatr/movie/79903/annot/</t>
        </is>
      </c>
      <c r="M1536" s="2">
        <f>HYPERLINK("https://ru.wikipedia.org/w/index.php?search=%D0%A1%D1%82%D0%B8%D1%85%D0%B8%20%D0%90%D0%B3%D0%BD%D0%B8%D0%B8%20%D0%91%D0%B0%D1%80%D1%82%D0%BE%201972%20%D1%84%D0%B8%D0%BB%D1%8C%D0%BC","искать")</f>
        <v/>
      </c>
      <c r="N1536" s="3" t="n"/>
      <c r="O1536" s="2" t="n"/>
    </row>
    <row r="1537">
      <c r="A1537" s="2" t="n">
        <v>1536</v>
      </c>
      <c r="B1537" s="2" t="inlineStr">
        <is>
          <t>не сюжет</t>
        </is>
      </c>
      <c r="C1537" s="2" t="n">
        <v>11120</v>
      </c>
      <c r="D1537" s="3" t="inlineStr">
        <is>
          <t>Обиды не страшась, не требуя венца...</t>
        </is>
      </c>
      <c r="E1537" s="2" t="n">
        <v>1986</v>
      </c>
      <c r="F1537" s="2" t="inlineStr">
        <is>
          <t>фильм-спектакль</t>
        </is>
      </c>
      <c r="G1537" s="2" t="inlineStr">
        <is>
          <t>Главная редакция литературно-драматических программ ЦТ</t>
        </is>
      </c>
      <c r="H1537" s="2" t="n">
        <v>226</v>
      </c>
      <c r="I1537" s="2" t="inlineStr"/>
      <c r="J1537" s="2" t="inlineStr">
        <is>
          <t>да</t>
        </is>
      </c>
      <c r="K1537" s="3" t="inlineStr">
        <is>
          <t>Композиция "Обиды не страшась, не требуя венца...", написанна по публицистическим наброскам и черновикам Александра Сергеевича Пушкина. Это размышления великого классика о творчестве, критиках, роли Поэта в общественной жизни.</t>
        </is>
      </c>
      <c r="L1537" s="2" t="inlineStr">
        <is>
          <t>https://www.kino-teatr.ru/teatr/movie/113939/annot/</t>
        </is>
      </c>
      <c r="M1537" s="2">
        <f>HYPERLINK("https://ru.wikipedia.org/w/index.php?search=%D0%9E%D0%B1%D0%B8%D0%B4%D1%8B%20%D0%BD%D0%B5%20%D1%81%D1%82%D1%80%D0%B0%D1%88%D0%B0%D1%81%D1%8C%2C%20%D0%BD%D0%B5%20%D1%82%D1%80%D0%B5%D0%B1%D1%83%D1%8F%20%D0%B2%D0%B5%D0%BD%D1%86%D0%B0...%201986%20%D1%84%D0%B8%D0%BB%D1%8C%D0%BC","искать")</f>
        <v/>
      </c>
      <c r="N1537" s="3" t="n"/>
      <c r="O1537" s="2" t="n"/>
    </row>
    <row r="1538">
      <c r="A1538" s="2" t="n">
        <v>1537</v>
      </c>
      <c r="B1538" s="2" t="inlineStr">
        <is>
          <t>не сюжет</t>
        </is>
      </c>
      <c r="C1538" s="2" t="n">
        <v>8280</v>
      </c>
      <c r="D1538" s="3" t="inlineStr">
        <is>
          <t>Родные</t>
        </is>
      </c>
      <c r="E1538" s="2" t="n">
        <v>1977</v>
      </c>
      <c r="F1538" s="2" t="inlineStr">
        <is>
          <t>телефильм</t>
        </is>
      </c>
      <c r="G1538" s="2" t="n"/>
      <c r="H1538" s="2" t="n">
        <v>227</v>
      </c>
      <c r="I1538" s="2" t="inlineStr"/>
      <c r="J1538" s="2" t="inlineStr">
        <is>
          <t>да</t>
        </is>
      </c>
      <c r="K1538" s="3" t="inlineStr">
        <is>
          <t>Из жизни украинского колхоза. Председатель колхоза Павел Тарасов является представителем династии хлеборобов, которая всю свою жизнь посвятила становлению коллективного хозяйства. Он честно продолжает дело, начатое его родными.</t>
        </is>
      </c>
      <c r="L1538" s="2" t="inlineStr">
        <is>
          <t>Кино_СССР сводный каталог.xlsx: список телефильмов</t>
        </is>
      </c>
      <c r="M1538" s="2">
        <f>HYPERLINK("https://ru.wikipedia.org/w/index.php?search=%D0%A0%D0%BE%D0%B4%D0%BD%D1%8B%D0%B5%201977%20%D1%84%D0%B8%D0%BB%D1%8C%D0%BC","искать")</f>
        <v/>
      </c>
      <c r="N1538" s="3" t="n"/>
      <c r="O1538" s="2" t="n"/>
    </row>
    <row r="1539">
      <c r="A1539" s="2" t="n">
        <v>1538</v>
      </c>
      <c r="B1539" s="2" t="inlineStr">
        <is>
          <t>не сюжет</t>
        </is>
      </c>
      <c r="C1539" s="2" t="n">
        <v>9815</v>
      </c>
      <c r="D1539" s="3" t="inlineStr">
        <is>
          <t>Драма</t>
        </is>
      </c>
      <c r="E1539" s="2" t="n">
        <v>1960</v>
      </c>
      <c r="F1539" s="2" t="inlineStr">
        <is>
          <t>телефильм</t>
        </is>
      </c>
      <c r="G1539" s="2" t="inlineStr">
        <is>
          <t>ЦТ, Подборки фильмов, экранизации Чехова</t>
        </is>
      </c>
      <c r="H1539" s="2" t="n">
        <v>227</v>
      </c>
      <c r="I1539" s="2" t="inlineStr"/>
      <c r="J1539" s="2" t="inlineStr">
        <is>
          <t>да</t>
        </is>
      </c>
      <c r="K1539" s="3" t="inlineStr">
        <is>
          <t>В инсценировке рассказа Чехова "Драма" Раневская произносит в три раза больше текста, чем написано у автора. Эту блистательную пародию на графоманство она придумывает сама, безупречно стилизуя свои фантазии под чеховский стиль.</t>
        </is>
      </c>
      <c r="L1539" s="2" t="inlineStr">
        <is>
          <t>https://www.kino-teatr.ru/short/movie/sov/79609/annot/</t>
        </is>
      </c>
      <c r="M1539" s="2">
        <f>HYPERLINK("https://ru.wikipedia.org/w/index.php?search=%D0%94%D1%80%D0%B0%D0%BC%D0%B0%201960%20%D1%84%D0%B8%D0%BB%D1%8C%D0%BC","искать")</f>
        <v/>
      </c>
      <c r="N1539" s="3" t="n"/>
      <c r="O1539" s="2" t="n"/>
    </row>
    <row r="1540">
      <c r="A1540" s="2" t="n">
        <v>1539</v>
      </c>
      <c r="B1540" s="2" t="inlineStr">
        <is>
          <t>не сюжет</t>
        </is>
      </c>
      <c r="C1540" s="2" t="n">
        <v>10867</v>
      </c>
      <c r="D1540" s="3" t="inlineStr">
        <is>
          <t>Рђ.Рџ.Р§РµС…РѕРІ. Р Р°СЃСЃРєР°Р·С‹</t>
        </is>
      </c>
      <c r="E1540" s="2" t="n">
        <v>1980</v>
      </c>
      <c r="F1540" s="2" t="inlineStr">
        <is>
          <t>фильм-спектакль</t>
        </is>
      </c>
      <c r="G1540" s="2" t="n"/>
      <c r="H1540" s="2" t="n">
        <v>227</v>
      </c>
      <c r="I1540" s="2" t="inlineStr"/>
      <c r="J1540" s="2" t="inlineStr">
        <is>
          <t>да</t>
        </is>
      </c>
      <c r="K1540" s="3" t="inlineStr">
        <is>
          <t>РќР°СЂРѕРґРЅС‹Р№ Р°СЂС‚РёСЃС‚ РЎРЎРЎР Рђ.РџРѕРїРѕРІ С‡РёС‚Р°РµС‚ СЂР°СЃСЃРєР°Р·С‹ Рђ.Рџ.Р§РµС…РѕРІР° "РЁР°РјРїР°РЅСЃРєРѕРµ", "Р‘РµСЃРµРґР° РїСЊСЏРЅРѕРіРѕ СЃ С‚СЂРµР·РІС‹Рј С‡РµСЂС‚РѕРј", "РќР°С…Р»РµР±РЅРёРєРё", РЁСѓС‚РѕС‡РєР°".</t>
        </is>
      </c>
      <c r="L1540" s="2" t="inlineStr">
        <is>
          <t>https://www.kino-teatr.ru/teatr/movie/102911/annot/</t>
        </is>
      </c>
      <c r="M1540" s="2">
        <f>HYPERLINK("https://ru.wikipedia.org/w/index.php?search=%D0%A0%D1%92.%D0%A0%D1%9F.%D0%A0%C2%A7%D0%A0%C2%B5%D0%A1%E2%80%A6%D0%A0%D1%95%D0%A0%D0%86.%20%D0%A0%20%D0%A0%C2%B0%D0%A1%D0%83%D0%A1%D0%83%D0%A0%D1%94%D0%A0%C2%B0%D0%A0%C2%B7%D0%A1%E2%80%B9%201980%20%D1%84%D0%B8%D0%BB%D1%8C%D0%BC","искать")</f>
        <v/>
      </c>
      <c r="N1540" s="3" t="n"/>
      <c r="O1540" s="2" t="n"/>
    </row>
    <row r="1541">
      <c r="A1541" s="2" t="n">
        <v>1540</v>
      </c>
      <c r="B1541" s="2" t="inlineStr">
        <is>
          <t>не сюжет</t>
        </is>
      </c>
      <c r="C1541" s="2" t="n">
        <v>8587</v>
      </c>
      <c r="D1541" s="3" t="inlineStr">
        <is>
          <t>Эзоп</t>
        </is>
      </c>
      <c r="E1541" s="2" t="n">
        <v>1981</v>
      </c>
      <c r="F1541" s="2" t="inlineStr">
        <is>
          <t>телефильм</t>
        </is>
      </c>
      <c r="G1541" s="2" t="n"/>
      <c r="H1541" s="2" t="n">
        <v>228</v>
      </c>
      <c r="I1541" s="2" t="inlineStr"/>
      <c r="J1541" s="2" t="inlineStr">
        <is>
          <t>да</t>
        </is>
      </c>
      <c r="K1541" s="3" t="inlineStr">
        <is>
          <t>По пьесе Гильерме Фигейредо "Лиса и виноград". История о греческом рабе Эзопе, подарившем мировой литературе свои гениальные произведения и о его глупом хозяине, обладающим деньгами и властью, но лишенном доброты и порядочности.</t>
        </is>
      </c>
      <c r="L1541" s="2" t="inlineStr">
        <is>
          <t>Кино_СССР сводный каталог.xlsx: список телефильмов</t>
        </is>
      </c>
      <c r="M1541" s="2">
        <f>HYPERLINK("https://ru.wikipedia.org/w/index.php?search=%D0%AD%D0%B7%D0%BE%D0%BF%201981%20%D1%84%D0%B8%D0%BB%D1%8C%D0%BC","искать")</f>
        <v/>
      </c>
      <c r="N1541" s="3" t="n"/>
      <c r="O1541" s="2" t="n"/>
    </row>
    <row r="1542">
      <c r="A1542" s="2" t="n">
        <v>1541</v>
      </c>
      <c r="B1542" s="2" t="inlineStr">
        <is>
          <t>не сюжет</t>
        </is>
      </c>
      <c r="C1542" s="2" t="n">
        <v>11363</v>
      </c>
      <c r="D1542" s="3" t="inlineStr">
        <is>
          <t>Восточное сказание</t>
        </is>
      </c>
      <c r="E1542" s="2" t="n">
        <v>1972</v>
      </c>
      <c r="F1542" s="2" t="inlineStr">
        <is>
          <t>фильм-опера/балет</t>
        </is>
      </c>
      <c r="G1542" s="2" t="n"/>
      <c r="H1542" s="2" t="n">
        <v>228</v>
      </c>
      <c r="I1542" s="2" t="inlineStr"/>
      <c r="J1542" s="2" t="inlineStr">
        <is>
          <t>да</t>
        </is>
      </c>
      <c r="K1542" s="3" t="inlineStr">
        <is>
          <t>Фильм-балет по мотивам стихотворения М.Лермонтова "Три пальмы" и стихотворений Саади, Авиценны, Фирдоуси в постановке Таджикского Государственного академического театра оперы и балета имени С.Айни. Балетмейстер - Ибрагим Юсупов.</t>
        </is>
      </c>
      <c r="L1542" s="2" t="inlineStr">
        <is>
          <t>Кино_СССР телефильмы и пропуски включить в базу.xlsx</t>
        </is>
      </c>
      <c r="M1542" s="2">
        <f>HYPERLINK("https://ru.wikipedia.org/w/index.php?search=%D0%92%D0%BE%D1%81%D1%82%D0%BE%D1%87%D0%BD%D0%BE%D0%B5%20%D1%81%D0%BA%D0%B0%D0%B7%D0%B0%D0%BD%D0%B8%D0%B5%201972%20%D1%84%D0%B8%D0%BB%D1%8C%D0%BC","искать")</f>
        <v/>
      </c>
      <c r="N1542" s="3" t="n"/>
      <c r="O1542" s="2" t="n"/>
    </row>
    <row r="1543">
      <c r="A1543" s="2" t="n">
        <v>1542</v>
      </c>
      <c r="B1543" s="2" t="inlineStr">
        <is>
          <t>не сюжет</t>
        </is>
      </c>
      <c r="C1543" s="2" t="n">
        <v>7339</v>
      </c>
      <c r="D1543" s="3" t="inlineStr">
        <is>
          <t>Взять живым</t>
        </is>
      </c>
      <c r="E1543" s="2" t="n">
        <v>1982</v>
      </c>
      <c r="F1543" s="2" t="inlineStr">
        <is>
          <t>телефильм</t>
        </is>
      </c>
      <c r="G1543" s="2" t="n"/>
      <c r="H1543" s="2" t="n">
        <v>231</v>
      </c>
      <c r="I1543" s="2" t="inlineStr"/>
      <c r="J1543" s="2" t="inlineStr">
        <is>
          <t>да</t>
        </is>
      </c>
      <c r="K1543" s="3" t="inlineStr">
        <is>
          <t>Телесериал. Экранизация одноименного романа Владимира Карпова. О судьбе солдата Василия Ромашкина, вчерашнего десятиклассника, прошедшего через все испытания Великой Отечественной войны и закончившего боевой путь офицером разведки.</t>
        </is>
      </c>
      <c r="L1543" s="2" t="inlineStr">
        <is>
          <t>Кино_СССР сводный каталог.xlsx: список телефильмов</t>
        </is>
      </c>
      <c r="M1543" s="2">
        <f>HYPERLINK("https://ru.wikipedia.org/w/index.php?search=%D0%92%D0%B7%D1%8F%D1%82%D1%8C%20%D0%B6%D0%B8%D0%B2%D1%8B%D0%BC%201982%20%D1%84%D0%B8%D0%BB%D1%8C%D0%BC","искать")</f>
        <v/>
      </c>
      <c r="N1543" s="3" t="n"/>
      <c r="O1543" s="2" t="n"/>
    </row>
    <row r="1544">
      <c r="A1544" s="2" t="n">
        <v>1543</v>
      </c>
      <c r="B1544" s="2" t="inlineStr">
        <is>
          <t>не сюжет</t>
        </is>
      </c>
      <c r="C1544" s="2" t="n">
        <v>10165</v>
      </c>
      <c r="D1544" s="3" t="inlineStr">
        <is>
          <t>Кола Брюньон</t>
        </is>
      </c>
      <c r="E1544" s="2" t="n">
        <v>1966</v>
      </c>
      <c r="F1544" s="2" t="inlineStr">
        <is>
          <t>фильм-спектакль</t>
        </is>
      </c>
      <c r="G1544" s="2" t="n"/>
      <c r="H1544" s="2" t="n">
        <v>231</v>
      </c>
      <c r="I1544" s="2" t="inlineStr"/>
      <c r="J1544" s="2" t="inlineStr">
        <is>
          <t>да</t>
        </is>
      </c>
      <c r="K1544" s="3" t="inlineStr">
        <is>
          <t>По мотивам одноименной повести французского писателя Ромена Роллана.
Весельчак и балагур, Кола Брюньон, любит жизнь и умеет ею наслаждаться. Даже когда судьба строит ему кислую мину, он находит шутку, чтобы поднять себе настроение.</t>
        </is>
      </c>
      <c r="L1544" s="2" t="inlineStr">
        <is>
          <t>https://www.kino-teatr.ru/teatr/movie/81689/annot/</t>
        </is>
      </c>
      <c r="M1544" s="2">
        <f>HYPERLINK("https://ru.wikipedia.org/w/index.php?search=%D0%9A%D0%BE%D0%BB%D0%B0%20%D0%91%D1%80%D1%8E%D0%BD%D1%8C%D0%BE%D0%BD%201966%20%D1%84%D0%B8%D0%BB%D1%8C%D0%BC","искать")</f>
        <v/>
      </c>
      <c r="N1544" s="3" t="n"/>
      <c r="O1544" s="2" t="n"/>
    </row>
    <row r="1545">
      <c r="A1545" s="2" t="n">
        <v>1544</v>
      </c>
      <c r="B1545" s="2" t="inlineStr">
        <is>
          <t>не сюжет</t>
        </is>
      </c>
      <c r="C1545" s="2" t="n">
        <v>7269</v>
      </c>
      <c r="D1545" s="3" t="inlineStr">
        <is>
          <t>Братья Ершовы</t>
        </is>
      </c>
      <c r="E1545" s="2" t="n">
        <v>1960</v>
      </c>
      <c r="F1545" s="2" t="inlineStr">
        <is>
          <t>телефильм</t>
        </is>
      </c>
      <c r="G1545" s="2" t="n"/>
      <c r="H1545" s="2" t="n">
        <v>232</v>
      </c>
      <c r="I1545" s="2" t="inlineStr"/>
      <c r="J1545" s="2" t="inlineStr">
        <is>
          <t>да</t>
        </is>
      </c>
      <c r="K1545" s="3" t="inlineStr">
        <is>
          <t>По одноименному роману Всеволода Кочетова. О судьбах членов семьи Ершовых, потомственных металлургов, о путях технического прогресса на металлургическом заводе, о борьбе за передовые идеи, о победе принципиальности и справедливости.</t>
        </is>
      </c>
      <c r="L1545" s="2" t="inlineStr">
        <is>
          <t>Кино_СССР сводный каталог.xlsx: список телефильмов</t>
        </is>
      </c>
      <c r="M1545" s="2">
        <f>HYPERLINK("https://ru.wikipedia.org/w/index.php?search=%D0%91%D1%80%D0%B0%D1%82%D1%8C%D1%8F%20%D0%95%D1%80%D1%88%D0%BE%D0%B2%D1%8B%201960%20%D1%84%D0%B8%D0%BB%D1%8C%D0%BC","искать")</f>
        <v/>
      </c>
      <c r="N1545" s="3" t="n"/>
      <c r="O1545" s="2" t="n"/>
    </row>
    <row r="1546">
      <c r="A1546" s="2" t="n">
        <v>1545</v>
      </c>
      <c r="B1546" s="2" t="inlineStr">
        <is>
          <t>не сюжет</t>
        </is>
      </c>
      <c r="C1546" s="2" t="n">
        <v>9463</v>
      </c>
      <c r="D1546" s="3" t="inlineStr">
        <is>
          <t>Маленькая Вера</t>
        </is>
      </c>
      <c r="E1546" s="2" t="n">
        <v>1988</v>
      </c>
      <c r="F1546" s="2" t="inlineStr">
        <is>
          <t>кинофильм</t>
        </is>
      </c>
      <c r="G1546" s="2" t="n"/>
      <c r="H1546" s="2" t="n">
        <v>232</v>
      </c>
      <c r="I1546" s="2" t="inlineStr"/>
      <c r="J1546" s="2" t="inlineStr">
        <is>
          <t>да</t>
        </is>
      </c>
      <c r="K1546" s="3" t="inlineStr">
        <is>
          <t>Пройдя через ад несуразно устроенного быта, герои находят главную опору своей жизни в любви и прощении. Наталья Негода о фильме : "Это маленький мир маленьких людей с маленькими мечтами. И моя Вера не может вырваться из этого мира".</t>
        </is>
      </c>
      <c r="L1546" s="2" t="inlineStr">
        <is>
          <t>Кино_СССР сводный каталог.xlsx: список фильмов (доп.)</t>
        </is>
      </c>
      <c r="M1546" s="2">
        <f>HYPERLINK("https://ru.wikipedia.org/w/index.php?search=%D0%9C%D0%B0%D0%BB%D0%B5%D0%BD%D1%8C%D0%BA%D0%B0%D1%8F%20%D0%92%D0%B5%D1%80%D0%B0%201988%20%D1%84%D0%B8%D0%BB%D1%8C%D0%BC","искать")</f>
        <v/>
      </c>
      <c r="N1546" s="3" t="n"/>
      <c r="O1546" s="2" t="n"/>
    </row>
    <row r="1547">
      <c r="A1547" s="2" t="n">
        <v>1546</v>
      </c>
      <c r="B1547" s="2" t="inlineStr">
        <is>
          <t>не сюжет</t>
        </is>
      </c>
      <c r="C1547" s="2" t="n">
        <v>10670</v>
      </c>
      <c r="D1547" s="3" t="inlineStr">
        <is>
          <t>Рассказы Марка Твена</t>
        </is>
      </c>
      <c r="E1547" s="2" t="n">
        <v>1976</v>
      </c>
      <c r="F1547" s="2" t="inlineStr">
        <is>
          <t>фильм-спектакль</t>
        </is>
      </c>
      <c r="G1547" s="2" t="n"/>
      <c r="H1547" s="2" t="n">
        <v>232</v>
      </c>
      <c r="I1547" s="2" t="inlineStr"/>
      <c r="J1547" s="2" t="inlineStr">
        <is>
          <t>да</t>
        </is>
      </c>
      <c r="K1547" s="3" t="inlineStr">
        <is>
          <t>По мотивам рассказов американского писателя Марка Твена "Разговор с интервьюером", "Моя первая беседа с Артимесом Уордом", "Как меня провели в Ньюарке" "Миссис Мак-Вильямс и молния", "Как я редактировал сельскохозяйственную газету".</t>
        </is>
      </c>
      <c r="L1547" s="2" t="inlineStr">
        <is>
          <t>https://www.kino-teatr.ru/teatr/movie/86503/annot/</t>
        </is>
      </c>
      <c r="M1547" s="2">
        <f>HYPERLINK("https://ru.wikipedia.org/w/index.php?search=%D0%A0%D0%B0%D1%81%D1%81%D0%BA%D0%B0%D0%B7%D1%8B%20%D0%9C%D0%B0%D1%80%D0%BA%D0%B0%20%D0%A2%D0%B2%D0%B5%D0%BD%D0%B0%201976%20%D1%84%D0%B8%D0%BB%D1%8C%D0%BC","искать")</f>
        <v/>
      </c>
      <c r="N1547" s="3" t="n"/>
      <c r="O1547" s="2" t="n"/>
    </row>
    <row r="1548">
      <c r="A1548" s="2" t="n">
        <v>1547</v>
      </c>
      <c r="B1548" s="2" t="inlineStr">
        <is>
          <t>не сюжет</t>
        </is>
      </c>
      <c r="C1548" s="2" t="n">
        <v>7384</v>
      </c>
      <c r="D1548" s="3" t="inlineStr">
        <is>
          <t>Вот такие чудеса</t>
        </is>
      </c>
      <c r="E1548" s="2" t="n">
        <v>1982</v>
      </c>
      <c r="F1548" s="2" t="inlineStr">
        <is>
          <t>телефильм</t>
        </is>
      </c>
      <c r="G1548" s="2" t="n"/>
      <c r="H1548" s="2" t="n">
        <v>233</v>
      </c>
      <c r="I1548" s="2" t="inlineStr"/>
      <c r="J1548" s="2" t="inlineStr">
        <is>
          <t>да</t>
        </is>
      </c>
      <c r="K1548" s="3" t="inlineStr">
        <is>
          <t>Телефильм. В основе сюжета - создание во Дворце культуры ансамбля народного танца. В фильме снимался ансамбль народного танца Дворца молодежи профтехобразования города Свердловска под руководством народного артиста РСФСР А.Поличкина.</t>
        </is>
      </c>
      <c r="L1548" s="2" t="inlineStr">
        <is>
          <t>Кино_СССР сводный каталог.xlsx: список телефильмов</t>
        </is>
      </c>
      <c r="M1548" s="2">
        <f>HYPERLINK("https://ru.wikipedia.org/w/index.php?search=%D0%92%D0%BE%D1%82%20%D1%82%D0%B0%D0%BA%D0%B8%D0%B5%20%D1%87%D1%83%D0%B4%D0%B5%D1%81%D0%B0%201982%20%D1%84%D0%B8%D0%BB%D1%8C%D0%BC","искать")</f>
        <v/>
      </c>
      <c r="N1548" s="3" t="n"/>
      <c r="O1548" s="2" t="n"/>
    </row>
    <row r="1549">
      <c r="A1549" s="2" t="n">
        <v>1548</v>
      </c>
      <c r="B1549" s="2" t="inlineStr">
        <is>
          <t>не сюжет</t>
        </is>
      </c>
      <c r="C1549" s="2" t="n">
        <v>8382</v>
      </c>
      <c r="D1549" s="3" t="inlineStr">
        <is>
          <t>Соль земли</t>
        </is>
      </c>
      <c r="E1549" s="2" t="n">
        <v>1978</v>
      </c>
      <c r="F1549" s="2" t="inlineStr">
        <is>
          <t>телефильм</t>
        </is>
      </c>
      <c r="G1549" s="2" t="n"/>
      <c r="H1549" s="2" t="n">
        <v>235</v>
      </c>
      <c r="I1549" s="2" t="inlineStr"/>
      <c r="J1549" s="2" t="inlineStr">
        <is>
          <t>да</t>
        </is>
      </c>
      <c r="K1549" s="3" t="inlineStr">
        <is>
          <t>Телесериал. По мотивам одноименного романа Георгия Маркова. В фильме прослеживается судьба крестьянской семьи Строговых. Действие происходит в Западной Сибири в конце сороковых годов двадцатого века. Продолжение телесериала «Строговы».</t>
        </is>
      </c>
      <c r="L1549" s="2" t="inlineStr">
        <is>
          <t>Кино_СССР сводный каталог.xlsx: список телефильмов</t>
        </is>
      </c>
      <c r="M1549" s="2">
        <f>HYPERLINK("https://ru.wikipedia.org/w/index.php?search=%D0%A1%D0%BE%D0%BB%D1%8C%20%D0%B7%D0%B5%D0%BC%D0%BB%D0%B8%201978%20%D1%84%D0%B8%D0%BB%D1%8C%D0%BC","искать")</f>
        <v/>
      </c>
      <c r="N1549" s="3" t="n"/>
      <c r="O1549" s="2" t="n"/>
    </row>
    <row r="1550">
      <c r="A1550" s="2" t="n">
        <v>1549</v>
      </c>
      <c r="B1550" s="2" t="inlineStr">
        <is>
          <t>не сюжет</t>
        </is>
      </c>
      <c r="C1550" s="2" t="n">
        <v>7861</v>
      </c>
      <c r="D1550" s="3" t="inlineStr">
        <is>
          <t>Между тремя поветриями</t>
        </is>
      </c>
      <c r="E1550" s="2" t="n">
        <v>1970</v>
      </c>
      <c r="F1550" s="2" t="inlineStr">
        <is>
          <t>телефильм</t>
        </is>
      </c>
      <c r="G1550" s="2" t="n"/>
      <c r="H1550" s="2" t="n">
        <v>237</v>
      </c>
      <c r="I1550" s="2" t="inlineStr"/>
      <c r="J1550" s="2" t="inlineStr">
        <is>
          <t>да</t>
        </is>
      </c>
      <c r="K1550" s="3" t="inlineStr">
        <is>
          <t>Фильм снят по первой книге романа эстонского писателя Яана Кросса "Между тремя поветриями" ("Kolme katku vahel"). Kapтинa рассказывает о судьбе философа второй половины XVI века - Балтазара Руссова - автора "Хроники Ливонской провинции".</t>
        </is>
      </c>
      <c r="L1550" s="2" t="inlineStr">
        <is>
          <t>Кино_СССР сводный каталог.xlsx: список телефильмов</t>
        </is>
      </c>
      <c r="M1550" s="2">
        <f>HYPERLINK("https://ru.wikipedia.org/w/index.php?search=%D0%9C%D0%B5%D0%B6%D0%B4%D1%83%20%D1%82%D1%80%D0%B5%D0%BC%D1%8F%20%D0%BF%D0%BE%D0%B2%D0%B5%D1%82%D1%80%D0%B8%D1%8F%D0%BC%D0%B8%201970%20%D1%84%D0%B8%D0%BB%D1%8C%D0%BC","искать")</f>
        <v/>
      </c>
      <c r="N1550" s="3" t="n"/>
      <c r="O1550" s="2" t="n"/>
    </row>
    <row r="1551">
      <c r="A1551" s="2" t="n">
        <v>1550</v>
      </c>
      <c r="B1551" s="2" t="inlineStr">
        <is>
          <t>не сюжет</t>
        </is>
      </c>
      <c r="C1551" s="2" t="n">
        <v>9032</v>
      </c>
      <c r="D1551" s="3" t="inlineStr">
        <is>
          <t>Светлая личность</t>
        </is>
      </c>
      <c r="E1551" s="2" t="n">
        <v>1989</v>
      </c>
      <c r="F1551" s="2" t="inlineStr">
        <is>
          <t>кинофильм</t>
        </is>
      </c>
      <c r="G1551" s="2" t="n"/>
      <c r="H1551" s="2" t="n">
        <v>237</v>
      </c>
      <c r="I1551" s="2" t="inlineStr"/>
      <c r="J1551" s="2" t="inlineStr">
        <is>
          <t>да</t>
        </is>
      </c>
      <c r="K1551" s="3" t="inlineStr">
        <is>
          <t>По мотивам произведений И.Ильфа и Е.Петрова. В основу картины легли: повесть "Светлая личность", рассказ "Клооп", пьеса "Сильное чувство", отдельные эпизоды из "12 стульев" и "Золотого теленка". Посвящается доблестным советским служащим.</t>
        </is>
      </c>
      <c r="L1551" s="2" t="inlineStr">
        <is>
          <t>Кино_СССР сводный каталог.xlsx: список фильмов (доп.)</t>
        </is>
      </c>
      <c r="M1551" s="2">
        <f>HYPERLINK("https://ru.wikipedia.org/w/index.php?search=%D0%A1%D0%B2%D0%B5%D1%82%D0%BB%D0%B0%D1%8F%20%D0%BB%D0%B8%D1%87%D0%BD%D0%BE%D1%81%D1%82%D1%8C%201989%20%D1%84%D0%B8%D0%BB%D1%8C%D0%BC","искать")</f>
        <v/>
      </c>
      <c r="N1551" s="3" t="n"/>
      <c r="O1551" s="2" t="n"/>
    </row>
    <row r="1552">
      <c r="A1552" s="2" t="n">
        <v>1551</v>
      </c>
      <c r="B1552" s="2" t="inlineStr">
        <is>
          <t>не сюжет</t>
        </is>
      </c>
      <c r="C1552" s="2" t="n">
        <v>10724</v>
      </c>
      <c r="D1552" s="3" t="inlineStr">
        <is>
          <t>Чеховские страницы</t>
        </is>
      </c>
      <c r="E1552" s="2" t="n">
        <v>1977</v>
      </c>
      <c r="F1552" s="2" t="inlineStr">
        <is>
          <t>фильм-спектакль</t>
        </is>
      </c>
      <c r="G1552" s="2" t="inlineStr">
        <is>
          <t>ТО “Экран”</t>
        </is>
      </c>
      <c r="H1552" s="2" t="n">
        <v>237</v>
      </c>
      <c r="I1552" s="2" t="inlineStr"/>
      <c r="J1552" s="2" t="inlineStr">
        <is>
          <t>да</t>
        </is>
      </c>
      <c r="K1552" s="3" t="inlineStr">
        <is>
          <t>Экранизация двухсерийного спектакля "Чеховские страницы" в постановке МХАТа им. М.Горького по одноактным пьесам и рассказам А.П.Чехова: "Канитель", "Лекция о вреде табака", "Юбилей", "Печенег", "Рассказ госпожи N.N.", "Лебединая песня" .</t>
        </is>
      </c>
      <c r="L1552" s="2" t="inlineStr">
        <is>
          <t>https://www.kino-teatr.ru/teatr/movie/7891/annot/</t>
        </is>
      </c>
      <c r="M1552" s="2">
        <f>HYPERLINK("https://ru.wikipedia.org/w/index.php?search=%D0%A7%D0%B5%D1%85%D0%BE%D0%B2%D1%81%D0%BA%D0%B8%D0%B5%20%D1%81%D1%82%D1%80%D0%B0%D0%BD%D0%B8%D1%86%D1%8B%201977%20%D1%84%D0%B8%D0%BB%D1%8C%D0%BC","искать")</f>
        <v/>
      </c>
      <c r="N1552" s="3" t="n"/>
      <c r="O1552" s="2" t="n"/>
    </row>
    <row r="1553">
      <c r="A1553" s="2" t="n">
        <v>1552</v>
      </c>
      <c r="B1553" s="2" t="inlineStr">
        <is>
          <t>не сюжет</t>
        </is>
      </c>
      <c r="C1553" s="2" t="n">
        <v>10114</v>
      </c>
      <c r="D1553" s="3" t="inlineStr">
        <is>
          <t>Р РµРјР±СЂР°РЅРґС‚</t>
        </is>
      </c>
      <c r="E1553" s="2" t="n">
        <v>1963</v>
      </c>
      <c r="F1553" s="2" t="inlineStr">
        <is>
          <t>фильм-спектакль</t>
        </is>
      </c>
      <c r="G1553" s="2" t="n"/>
      <c r="H1553" s="2" t="n">
        <v>238</v>
      </c>
      <c r="I1553" s="2" t="inlineStr"/>
      <c r="J1553" s="2" t="inlineStr">
        <is>
          <t>да</t>
        </is>
      </c>
      <c r="K1553" s="3" t="inlineStr">
        <is>
          <t>РќРµСЃРєРѕР»СЊРєРѕ СЌРїРёР·РѕРґРѕРІ РёР· Р¶РёР·РЅРё РіРѕР»Р»Р°РЅРґСЃРєРѕРіРѕ Р¶РёРІРѕРїРёСЃС†Р° РҐР°СЂРјРµРЅСЃР° РІР°РЅ Р РµР№РЅР° Р РµРјР±СЂР°РЅРґС‚Р°. РџРѕ РѕРґРЅРѕРёРјРµРЅРЅРѕРјСѓ РїСЂРѕРёР·РІРµРґРµРЅРёСЋ Р”РјРёС‚СЂРёСЏ РљРµРґСЂРёРЅР°.</t>
        </is>
      </c>
      <c r="L1553" s="2" t="inlineStr">
        <is>
          <t>https://www.kino-teatr.ru/teatr/movie/17107/annot/</t>
        </is>
      </c>
      <c r="M1553" s="2">
        <f>HYPERLINK("https://ru.wikipedia.org/w/index.php?search=%D0%A0%20%D0%A0%C2%B5%D0%A0%D1%98%D0%A0%C2%B1%D0%A1%D0%82%D0%A0%C2%B0%D0%A0%D0%85%D0%A0%D2%91%D0%A1%E2%80%9A%201963%20%D1%84%D0%B8%D0%BB%D1%8C%D0%BC","искать")</f>
        <v/>
      </c>
      <c r="N1553" s="3" t="n"/>
      <c r="O1553" s="2" t="n"/>
    </row>
    <row r="1554">
      <c r="A1554" s="2" t="n">
        <v>1553</v>
      </c>
      <c r="B1554" s="2" t="inlineStr">
        <is>
          <t>не сюжет</t>
        </is>
      </c>
      <c r="C1554" s="2" t="n">
        <v>10783</v>
      </c>
      <c r="D1554" s="3" t="inlineStr">
        <is>
          <t>Хозяйка</t>
        </is>
      </c>
      <c r="E1554" s="2" t="n">
        <v>1978</v>
      </c>
      <c r="F1554" s="2" t="inlineStr">
        <is>
          <t>фильм-спектакль</t>
        </is>
      </c>
      <c r="G1554" s="2" t="inlineStr">
        <is>
          <t>Центральное телевидение</t>
        </is>
      </c>
      <c r="H1554" s="2" t="n">
        <v>238</v>
      </c>
      <c r="I1554" s="2" t="inlineStr"/>
      <c r="J1554" s="2" t="inlineStr">
        <is>
          <t>да</t>
        </is>
      </c>
      <c r="K1554" s="3" t="inlineStr">
        <is>
          <t>Фильм-спектакль Киевского академического театра русской драмы им. Леси Украинки по пьесе Музы Гараевой "Хозяйка".
В основе пьесы реальная трудная, но счастливая судьба литейщицы киевского завода "Большевик", Героя Социалистического Труда.</t>
        </is>
      </c>
      <c r="L1554" s="2" t="inlineStr">
        <is>
          <t>https://www.kino-teatr.ru/teatr/movie/81364/annot/</t>
        </is>
      </c>
      <c r="M1554" s="2">
        <f>HYPERLINK("https://ru.wikipedia.org/w/index.php?search=%D0%A5%D0%BE%D0%B7%D1%8F%D0%B9%D0%BA%D0%B0%201978%20%D1%84%D0%B8%D0%BB%D1%8C%D0%BC","искать")</f>
        <v/>
      </c>
      <c r="N1554" s="3" t="n"/>
      <c r="O1554" s="2" t="n"/>
    </row>
    <row r="1555">
      <c r="A1555" s="2" t="n">
        <v>1554</v>
      </c>
      <c r="B1555" s="2" t="inlineStr">
        <is>
          <t>не сюжет</t>
        </is>
      </c>
      <c r="C1555" s="2" t="n">
        <v>9132</v>
      </c>
      <c r="D1555" s="3" t="inlineStr">
        <is>
          <t>Утерянный рай</t>
        </is>
      </c>
      <c r="E1555" s="2" t="n">
        <v>1991</v>
      </c>
      <c r="F1555" s="2" t="inlineStr">
        <is>
          <t>кинофильм</t>
        </is>
      </c>
      <c r="G1555" s="2" t="n"/>
      <c r="H1555" s="2" t="n">
        <v>240</v>
      </c>
      <c r="I1555" s="2" t="inlineStr"/>
      <c r="J1555" s="2" t="inlineStr">
        <is>
          <t>да</t>
        </is>
      </c>
      <c r="K1555" s="3" t="inlineStr">
        <is>
          <t>Корни «Потерянного рая» — символичной, полной религиозных интонаций драмы — в армянской истории и мифологии. Автор картины представляет типичную крестьянскую семью в отдаленной деревне, которая в то же время является отражением целого мира.</t>
        </is>
      </c>
      <c r="L1555" s="2" t="inlineStr">
        <is>
          <t>Кино_СССР сводный каталог.xlsx: список фильмов (доп.)</t>
        </is>
      </c>
      <c r="M1555" s="2">
        <f>HYPERLINK("https://ru.wikipedia.org/w/index.php?search=%D0%A3%D1%82%D0%B5%D1%80%D1%8F%D0%BD%D0%BD%D1%8B%D0%B9%20%D1%80%D0%B0%D0%B9%201991%20%D1%84%D0%B8%D0%BB%D1%8C%D0%BC","искать")</f>
        <v/>
      </c>
      <c r="N1555" s="3" t="n"/>
      <c r="O1555" s="2" t="n"/>
    </row>
    <row r="1556">
      <c r="A1556" s="2" t="n">
        <v>1555</v>
      </c>
      <c r="B1556" s="2" t="inlineStr">
        <is>
          <t>не сюжет</t>
        </is>
      </c>
      <c r="C1556" s="2" t="n">
        <v>10957</v>
      </c>
      <c r="D1556" s="3" t="inlineStr">
        <is>
          <t>Попечители</t>
        </is>
      </c>
      <c r="E1556" s="2" t="n">
        <v>1982</v>
      </c>
      <c r="F1556" s="2" t="inlineStr">
        <is>
          <t>фильм-спектакль</t>
        </is>
      </c>
      <c r="G1556" s="2" t="inlineStr">
        <is>
          <t>Главная редакция литературно-драматических программ ЦТ</t>
        </is>
      </c>
      <c r="H1556" s="2" t="n">
        <v>240</v>
      </c>
      <c r="I1556" s="2" t="inlineStr"/>
      <c r="J1556" s="2" t="inlineStr">
        <is>
          <t>да</t>
        </is>
      </c>
      <c r="K1556" s="3" t="inlineStr">
        <is>
          <t>Телеспектакль по пьесе А.Н. Островского "Последняя жертва", снятый к 180-летию со дня рождения драматурга.
В этой пьесе есть роковая страсть молодой женщины, неотразимый обольститель, большие деньги и стремление загубить свою душу в кутеже.</t>
        </is>
      </c>
      <c r="L1556" s="2" t="inlineStr">
        <is>
          <t>https://www.kino-teatr.ru/teatr/movie/5396/annot/</t>
        </is>
      </c>
      <c r="M1556" s="2">
        <f>HYPERLINK("https://ru.wikipedia.org/w/index.php?search=%D0%9F%D0%BE%D0%BF%D0%B5%D1%87%D0%B8%D1%82%D0%B5%D0%BB%D0%B8%201982%20%D1%84%D0%B8%D0%BB%D1%8C%D0%BC","искать")</f>
        <v/>
      </c>
      <c r="N1556" s="3" t="n"/>
      <c r="O1556" s="2" t="n"/>
    </row>
    <row r="1557">
      <c r="A1557" s="2" t="n">
        <v>1556</v>
      </c>
      <c r="B1557" s="2" t="inlineStr">
        <is>
          <t>не сюжет</t>
        </is>
      </c>
      <c r="C1557" s="2" t="n">
        <v>11325</v>
      </c>
      <c r="D1557" s="3" t="inlineStr">
        <is>
          <t>Страсти по Авдею</t>
        </is>
      </c>
      <c r="E1557" s="2" t="n">
        <v>1990</v>
      </c>
      <c r="F1557" s="2" t="inlineStr">
        <is>
          <t>фильм-спектакль</t>
        </is>
      </c>
      <c r="G1557" s="2" t="inlineStr">
        <is>
          <t>Главная редакция литературно-художественных программ ЦТ</t>
        </is>
      </c>
      <c r="H1557" s="2" t="n">
        <v>240</v>
      </c>
      <c r="I1557" s="2" t="inlineStr"/>
      <c r="J1557" s="2" t="inlineStr">
        <is>
          <t>да</t>
        </is>
      </c>
      <c r="K1557" s="3" t="inlineStr">
        <is>
          <t>Одноименная пьеса Владимира Бутромеева по повести Георгия Марчука "Крик на хуторе" в постановке Белорусского государственного академического театра имени Янки Купалы.
О трагической судьбе хуторянина Авдея и его семьи в годы коллективизации.</t>
        </is>
      </c>
      <c r="L1557" s="2" t="inlineStr">
        <is>
          <t>https://www.kino-teatr.ru/teatr/movie/108056/annot/</t>
        </is>
      </c>
      <c r="M1557" s="2">
        <f>HYPERLINK("https://ru.wikipedia.org/w/index.php?search=%D0%A1%D1%82%D1%80%D0%B0%D1%81%D1%82%D0%B8%20%D0%BF%D0%BE%20%D0%90%D0%B2%D0%B4%D0%B5%D1%8E%201990%20%D1%84%D0%B8%D0%BB%D1%8C%D0%BC","искать")</f>
        <v/>
      </c>
      <c r="N1557" s="3" t="n"/>
      <c r="O1557" s="2" t="n"/>
    </row>
    <row r="1558">
      <c r="A1558" s="2" t="n">
        <v>1557</v>
      </c>
      <c r="B1558" s="2" t="inlineStr">
        <is>
          <t>не сюжет</t>
        </is>
      </c>
      <c r="C1558" s="2" t="n">
        <v>10543</v>
      </c>
      <c r="D1558" s="3" t="inlineStr">
        <is>
          <t>Бенефис Савелия Крамарова</t>
        </is>
      </c>
      <c r="E1558" s="2" t="n">
        <v>1974</v>
      </c>
      <c r="F1558" s="2" t="inlineStr">
        <is>
          <t>фильм-спектакль</t>
        </is>
      </c>
      <c r="G1558" s="2" t="inlineStr">
        <is>
          <t>Главная редакция литературно-драматических программ ЦТ</t>
        </is>
      </c>
      <c r="H1558" s="2" t="n">
        <v>241</v>
      </c>
      <c r="I1558" s="2" t="inlineStr"/>
      <c r="J1558" s="2" t="inlineStr">
        <is>
          <t>да</t>
        </is>
      </c>
      <c r="K1558" s="3" t="inlineStr">
        <is>
          <t>Театральный бенефис Савелия Крамарова. Он был самым первым из всех бенефисов, съемки которых начались именно с популярнейшего комедийного актера 70-х годов. Долгое время программа считалась утерянной, говорили о невозможности ее реставрации.</t>
        </is>
      </c>
      <c r="L1558" s="2" t="inlineStr">
        <is>
          <t>https://www.kino-teatr.ru/teatr/movie/82989/annot/</t>
        </is>
      </c>
      <c r="M1558" s="2">
        <f>HYPERLINK("https://ru.wikipedia.org/w/index.php?search=%D0%91%D0%B5%D0%BD%D0%B5%D1%84%D0%B8%D1%81%20%D0%A1%D0%B0%D0%B2%D0%B5%D0%BB%D0%B8%D1%8F%20%D0%9A%D1%80%D0%B0%D0%BC%D0%B0%D1%80%D0%BE%D0%B2%D0%B0%201974%20%D1%84%D0%B8%D0%BB%D1%8C%D0%BC","искать")</f>
        <v/>
      </c>
      <c r="N1558" s="3" t="n"/>
      <c r="O1558" s="2" t="n"/>
    </row>
    <row r="1559">
      <c r="A1559" s="2" t="n">
        <v>1558</v>
      </c>
      <c r="B1559" s="2" t="inlineStr">
        <is>
          <t>не сюжет</t>
        </is>
      </c>
      <c r="C1559" s="2" t="n">
        <v>7911</v>
      </c>
      <c r="D1559" s="3" t="inlineStr">
        <is>
          <t>Мужчины и все остальные (киноальманах)</t>
        </is>
      </c>
      <c r="E1559" s="2" t="n">
        <v>1985</v>
      </c>
      <c r="F1559" s="2" t="inlineStr">
        <is>
          <t>телефильм</t>
        </is>
      </c>
      <c r="G1559" s="2" t="n"/>
      <c r="H1559" s="2" t="n">
        <v>243</v>
      </c>
      <c r="I1559" s="2" t="inlineStr"/>
      <c r="J1559" s="2" t="inlineStr">
        <is>
          <t>да</t>
        </is>
      </c>
      <c r="K1559" s="3" t="inlineStr">
        <is>
          <t>მამაკაცები და სხვები Телефильм состоит из семи забавных новелл о грузинских традициях, об уважении к старшим, преданности в дружбе и других чертах грузинского характера. * Мужчина; * Мефодиевна; * Хечо; * Виноград; * Чемпионы; * Кепка; * Орлы.</t>
        </is>
      </c>
      <c r="L1559" s="2" t="inlineStr">
        <is>
          <t>Кино_СССР сводный каталог.xlsx: список телефильмов</t>
        </is>
      </c>
      <c r="M1559" s="2">
        <f>HYPERLINK("https://ru.wikipedia.org/w/index.php?search=%D0%9C%D1%83%D0%B6%D1%87%D0%B8%D0%BD%D1%8B%20%D0%B8%20%D0%B2%D1%81%D0%B5%20%D0%BE%D1%81%D1%82%D0%B0%D0%BB%D1%8C%D0%BD%D1%8B%D0%B5%20%28%D0%BA%D0%B8%D0%BD%D0%BE%D0%B0%D0%BB%D1%8C%D0%BC%D0%B0%D0%BD%D0%B0%D1%85%29%201985%20%D1%84%D0%B8%D0%BB%D1%8C%D0%BC","искать")</f>
        <v/>
      </c>
      <c r="N1559" s="3" t="n"/>
      <c r="O1559" s="2" t="n"/>
    </row>
    <row r="1560">
      <c r="A1560" s="2" t="n">
        <v>1559</v>
      </c>
      <c r="B1560" s="2" t="inlineStr">
        <is>
          <t>не сюжет</t>
        </is>
      </c>
      <c r="C1560" s="2" t="n">
        <v>8991</v>
      </c>
      <c r="D1560" s="3" t="inlineStr">
        <is>
          <t>Прощай, Америка!</t>
        </is>
      </c>
      <c r="E1560" s="2" t="n">
        <v>1951</v>
      </c>
      <c r="F1560" s="2" t="inlineStr">
        <is>
          <t>кинофильм</t>
        </is>
      </c>
      <c r="G1560" s="2" t="n"/>
      <c r="H1560" s="2" t="n">
        <v>243</v>
      </c>
      <c r="I1560" s="2" t="inlineStr"/>
      <c r="J1560" s="2" t="inlineStr">
        <is>
          <t>да</t>
        </is>
      </c>
      <c r="K1560" s="3" t="inlineStr">
        <is>
          <t>В основе сценария последней незаконченной режиссерской работы Александра Петровича Довженко - книга 1949 года американской журналистки Аннабеллы Бюкар "Правда об американских дипломатах", разоблачающая нравы в американском посольстве в Москве.</t>
        </is>
      </c>
      <c r="L1560" s="2" t="inlineStr">
        <is>
          <t>Кино_СССР сводный каталог.xlsx: список фильмов (доп.)</t>
        </is>
      </c>
      <c r="M1560" s="2">
        <f>HYPERLINK("https://ru.wikipedia.org/w/index.php?search=%D0%9F%D1%80%D0%BE%D1%89%D0%B0%D0%B9%2C%20%D0%90%D0%BC%D0%B5%D1%80%D0%B8%D0%BA%D0%B0%21%201951%20%D1%84%D0%B8%D0%BB%D1%8C%D0%BC","искать")</f>
        <v/>
      </c>
      <c r="N1560" s="3" t="n"/>
      <c r="O1560" s="2" t="n"/>
    </row>
    <row r="1561">
      <c r="A1561" s="2" t="n">
        <v>1560</v>
      </c>
      <c r="B1561" s="2" t="inlineStr">
        <is>
          <t>не сюжет</t>
        </is>
      </c>
      <c r="C1561" s="2" t="n">
        <v>9348</v>
      </c>
      <c r="D1561" s="3" t="inlineStr">
        <is>
          <t>Друзья совести</t>
        </is>
      </c>
      <c r="E1561" s="2" t="n">
        <v>1932</v>
      </c>
      <c r="F1561" s="2" t="inlineStr">
        <is>
          <t>кинофильм</t>
        </is>
      </c>
      <c r="G1561" s="2" t="n"/>
      <c r="H1561" s="2" t="n">
        <v>245</v>
      </c>
      <c r="I1561" s="2" t="inlineStr"/>
      <c r="J1561" s="2" t="inlineStr">
        <is>
          <t>да</t>
        </is>
      </c>
      <c r="K1561" s="3" t="inlineStr">
        <is>
          <t>О революционной борьбе горняков Рура в Германии в 1920 году. Фильм был запрещен, как дающий пессимистическую оценку борьбы пролетариата и как чисто формалистическое произведение, недоступное для массового зрителя. В ГФФ копия фильма не хранится.</t>
        </is>
      </c>
      <c r="L1561" s="2" t="inlineStr">
        <is>
          <t>Кино_СССР сводный каталог.xlsx: список фильмов (доп.)</t>
        </is>
      </c>
      <c r="M1561" s="2">
        <f>HYPERLINK("https://ru.wikipedia.org/w/index.php?search=%D0%94%D1%80%D1%83%D0%B7%D1%8C%D1%8F%20%D1%81%D0%BE%D0%B2%D0%B5%D1%81%D1%82%D0%B8%201932%20%D1%84%D0%B8%D0%BB%D1%8C%D0%BC","искать")</f>
        <v/>
      </c>
      <c r="N1561" s="3" t="n"/>
      <c r="O1561" s="2" t="n"/>
    </row>
    <row r="1562">
      <c r="A1562" s="2" t="n">
        <v>1561</v>
      </c>
      <c r="B1562" s="2" t="inlineStr">
        <is>
          <t>не сюжет</t>
        </is>
      </c>
      <c r="C1562" s="2" t="n">
        <v>7778</v>
      </c>
      <c r="D1562" s="3" t="inlineStr">
        <is>
          <t>Кто был ничем...</t>
        </is>
      </c>
      <c r="E1562" s="2" t="n">
        <v>1974</v>
      </c>
      <c r="F1562" s="2" t="inlineStr">
        <is>
          <t>телефильм</t>
        </is>
      </c>
      <c r="G1562" s="2" t="n"/>
      <c r="H1562" s="2" t="n">
        <v>247</v>
      </c>
      <c r="I1562" s="2" t="inlineStr"/>
      <c r="J1562" s="2" t="inlineStr">
        <is>
          <t>да</t>
        </is>
      </c>
      <c r="K1562" s="3" t="inlineStr">
        <is>
          <t>По мотивам произведений С. Айни. Первая часть кинодилогии, завершающейся фильмом «...тот станет всем» (1975), об установлении Советской власти в Таджикистане. 1-я серия — «Нет места на земле»; 2 — «Каждый бьется в одиночку»; 3 — «Кипит наш разум».</t>
        </is>
      </c>
      <c r="L1562" s="2" t="inlineStr">
        <is>
          <t>Кино_СССР сводный каталог.xlsx: список телефильмов</t>
        </is>
      </c>
      <c r="M1562" s="2">
        <f>HYPERLINK("https://ru.wikipedia.org/w/index.php?search=%D0%9A%D1%82%D0%BE%20%D0%B1%D1%8B%D0%BB%20%D0%BD%D0%B8%D1%87%D0%B5%D0%BC...%201974%20%D1%84%D0%B8%D0%BB%D1%8C%D0%BC","искать")</f>
        <v/>
      </c>
      <c r="N1562" s="3" t="n"/>
      <c r="O1562" s="2" t="n"/>
    </row>
    <row r="1563">
      <c r="A1563" s="2" t="n">
        <v>1562</v>
      </c>
      <c r="B1563" s="2" t="inlineStr">
        <is>
          <t>не сюжет</t>
        </is>
      </c>
      <c r="C1563" s="2" t="n">
        <v>9888</v>
      </c>
      <c r="D1563" s="3" t="inlineStr">
        <is>
          <t>Прощайте, коза и велосипед</t>
        </is>
      </c>
      <c r="E1563" s="2" t="n">
        <v>1971</v>
      </c>
      <c r="F1563" s="2" t="inlineStr">
        <is>
          <t>телефильм</t>
        </is>
      </c>
      <c r="G1563" s="2" t="inlineStr">
        <is>
          <t>Северо-Осетинская студия телефильмов</t>
        </is>
      </c>
      <c r="H1563" s="2" t="n">
        <v>247</v>
      </c>
      <c r="I1563" s="2" t="inlineStr"/>
      <c r="J1563" s="2" t="inlineStr">
        <is>
          <t>да</t>
        </is>
      </c>
      <c r="K1563" s="3" t="inlineStr">
        <is>
          <t>Действие фильма происходит в маленьком ауле Северной Осетии. О дружбе мальчиков Бутуша и Ахсара, потерявших в годы Великой Отечественной войны своих отцов, о доброте и отзывчивости окружающих их людей.
Художественный руководитель фильма Ю.Чулюкин.</t>
        </is>
      </c>
      <c r="L1563" s="2" t="inlineStr">
        <is>
          <t>https://www.kino-teatr.ru/short/movie/sov/16696/annot/</t>
        </is>
      </c>
      <c r="M1563" s="2">
        <f>HYPERLINK("https://ru.wikipedia.org/w/index.php?search=%D0%9F%D1%80%D0%BE%D1%89%D0%B0%D0%B9%D1%82%D0%B5%2C%20%D0%BA%D0%BE%D0%B7%D0%B0%20%D0%B8%20%D0%B2%D0%B5%D0%BB%D0%BE%D1%81%D0%B8%D0%BF%D0%B5%D0%B4%201971%20%D1%84%D0%B8%D0%BB%D1%8C%D0%BC","искать")</f>
        <v/>
      </c>
      <c r="N1563" s="3" t="n"/>
      <c r="O1563" s="2" t="n"/>
    </row>
    <row r="1564">
      <c r="A1564" s="2" t="n">
        <v>1563</v>
      </c>
      <c r="B1564" s="2" t="inlineStr">
        <is>
          <t>не сюжет</t>
        </is>
      </c>
      <c r="C1564" s="2" t="n">
        <v>10427</v>
      </c>
      <c r="D1564" s="3" t="inlineStr">
        <is>
          <t>Что делать?</t>
        </is>
      </c>
      <c r="E1564" s="2" t="n">
        <v>1971</v>
      </c>
      <c r="F1564" s="2" t="inlineStr">
        <is>
          <t>фильм-спектакль</t>
        </is>
      </c>
      <c r="G1564" s="2" t="inlineStr">
        <is>
          <t>Главная редакция литературно-драматических программ ЦТ</t>
        </is>
      </c>
      <c r="H1564" s="2" t="n">
        <v>247</v>
      </c>
      <c r="I1564" s="2" t="inlineStr"/>
      <c r="J1564" s="2" t="inlineStr">
        <is>
          <t>да</t>
        </is>
      </c>
      <c r="K1564" s="3" t="inlineStr">
        <is>
          <t>По одноименному произведению Николая Чернышевского.
Телеспектакль представляет собой лирико-бытовую драму с элементами фантазии, трагедии и фарса и раскрывает такие темы как личное благоустройство человека в обществе и вопросы идеального общества.</t>
        </is>
      </c>
      <c r="L1564" s="2" t="inlineStr">
        <is>
          <t>https://www.kino-teatr.ru/teatr/movie/13932/annot/</t>
        </is>
      </c>
      <c r="M1564" s="2">
        <f>HYPERLINK("https://ru.wikipedia.org/w/index.php?search=%D0%A7%D1%82%D0%BE%20%D0%B4%D0%B5%D0%BB%D0%B0%D1%82%D1%8C%3F%201971%20%D1%84%D0%B8%D0%BB%D1%8C%D0%BC","искать")</f>
        <v/>
      </c>
      <c r="N1564" s="3" t="n"/>
      <c r="O1564" s="2" t="n"/>
    </row>
    <row r="1565">
      <c r="A1565" s="2" t="n">
        <v>1564</v>
      </c>
      <c r="B1565" s="2" t="inlineStr">
        <is>
          <t>не сюжет</t>
        </is>
      </c>
      <c r="C1565" s="2" t="n">
        <v>10883</v>
      </c>
      <c r="D1565" s="3" t="inlineStr">
        <is>
          <t>Иванов</t>
        </is>
      </c>
      <c r="E1565" s="2" t="n">
        <v>1981</v>
      </c>
      <c r="F1565" s="2" t="inlineStr">
        <is>
          <t>фильм-спектакль</t>
        </is>
      </c>
      <c r="G1565" s="2" t="inlineStr">
        <is>
          <t>МХАТ им. Горького, т/о Экран</t>
        </is>
      </c>
      <c r="H1565" s="2" t="n">
        <v>248</v>
      </c>
      <c r="I1565" s="2" t="inlineStr"/>
      <c r="J1565" s="2" t="inlineStr">
        <is>
          <t>да</t>
        </is>
      </c>
      <c r="K1565" s="3" t="inlineStr">
        <is>
          <t>Постановка Олега Ефремова в Московском Художественном академическом театре по одноименной пьесе А.П. Чехова, написанной в 1887 году. «Иванов» — первая пьеса Чехова, поставленная на сцене. Действие происходит в одном из уездов средней полосы России.</t>
        </is>
      </c>
      <c r="L1565" s="2" t="inlineStr">
        <is>
          <t>https://www.kino-teatr.ru/teatr/movie/81613/annot/</t>
        </is>
      </c>
      <c r="M1565" s="2">
        <f>HYPERLINK("https://ru.wikipedia.org/w/index.php?search=%D0%98%D0%B2%D0%B0%D0%BD%D0%BE%D0%B2%201981%20%D1%84%D0%B8%D0%BB%D1%8C%D0%BC","искать")</f>
        <v/>
      </c>
      <c r="N1565" s="3" t="n"/>
      <c r="O1565" s="2" t="n"/>
    </row>
    <row r="1566">
      <c r="A1566" s="2" t="n">
        <v>1565</v>
      </c>
      <c r="B1566" s="2" t="inlineStr">
        <is>
          <t>не сюжет</t>
        </is>
      </c>
      <c r="C1566" s="2" t="n">
        <v>11280</v>
      </c>
      <c r="D1566" s="3" t="inlineStr">
        <is>
          <t>Святая святых</t>
        </is>
      </c>
      <c r="E1566" s="2" t="n">
        <v>1989</v>
      </c>
      <c r="F1566" s="2" t="inlineStr">
        <is>
          <t>фильм-спектакль</t>
        </is>
      </c>
      <c r="G1566" s="2" t="n"/>
      <c r="H1566" s="2" t="n">
        <v>248</v>
      </c>
      <c r="I1566" s="2" t="inlineStr"/>
      <c r="J1566" s="2" t="inlineStr">
        <is>
          <t>да</t>
        </is>
      </c>
      <c r="K1566" s="3" t="inlineStr">
        <is>
          <t>По одноименной пьесе Иона Друце. В спектакле рассказывается о судьбе односельчан Кэлина Абабия (Николай Пастухов), чья тяжелая, полная лишений жизнь прошла в молдавской деревне, и Михая Груя (Игорь Ледогоров), сделавшего блестящую карьеру в городе.</t>
        </is>
      </c>
      <c r="L1566" s="2" t="inlineStr">
        <is>
          <t>https://www.kino-teatr.ru/teatr/movie/81314/annot/</t>
        </is>
      </c>
      <c r="M1566" s="2">
        <f>HYPERLINK("https://ru.wikipedia.org/w/index.php?search=%D0%A1%D0%B2%D1%8F%D1%82%D0%B0%D1%8F%20%D1%81%D0%B2%D1%8F%D1%82%D1%8B%D1%85%201989%20%D1%84%D0%B8%D0%BB%D1%8C%D0%BC","искать")</f>
        <v/>
      </c>
      <c r="N1566" s="3" t="n"/>
      <c r="O1566" s="2" t="n"/>
    </row>
    <row r="1567">
      <c r="A1567" s="2" t="n">
        <v>1566</v>
      </c>
      <c r="B1567" s="2" t="inlineStr">
        <is>
          <t>не сюжет</t>
        </is>
      </c>
      <c r="C1567" s="2" t="n">
        <v>7193</v>
      </c>
      <c r="D1567" s="3" t="inlineStr">
        <is>
          <t>Азбука мудрости</t>
        </is>
      </c>
      <c r="E1567" s="2" t="n">
        <v>1982</v>
      </c>
      <c r="F1567" s="2" t="inlineStr">
        <is>
          <t>телефильм</t>
        </is>
      </c>
      <c r="G1567" s="2" t="n"/>
      <c r="H1567" s="2" t="n">
        <v>249</v>
      </c>
      <c r="I1567" s="2" t="inlineStr"/>
      <c r="J1567" s="2" t="inlineStr">
        <is>
          <t>да</t>
        </is>
      </c>
      <c r="K1567" s="3" t="inlineStr">
        <is>
          <t>სიბრძნის კარავი Сценарий написан на основе книги притч «Мудрость вымысла» грузинского писателя-философа XVII века Сулхан-Саба Орбелиани. В основу фильма легли четыре притчи из книги:«Хозяин и сторож», «Слепой и зрячий», «Хлеб наш насущный» и «Клад».</t>
        </is>
      </c>
      <c r="L1567" s="2" t="inlineStr">
        <is>
          <t>Кино_СССР сводный каталог.xlsx: список телефильмов</t>
        </is>
      </c>
      <c r="M1567" s="2">
        <f>HYPERLINK("https://ru.wikipedia.org/w/index.php?search=%D0%90%D0%B7%D0%B1%D1%83%D0%BA%D0%B0%20%D0%BC%D1%83%D0%B4%D1%80%D0%BE%D1%81%D1%82%D0%B8%201982%20%D1%84%D0%B8%D0%BB%D1%8C%D0%BC","искать")</f>
        <v/>
      </c>
      <c r="N1567" s="3" t="n"/>
      <c r="O1567" s="2" t="n"/>
    </row>
    <row r="1568">
      <c r="A1568" s="2" t="n">
        <v>1567</v>
      </c>
      <c r="B1568" s="2" t="inlineStr">
        <is>
          <t>не сюжет</t>
        </is>
      </c>
      <c r="C1568" s="2" t="n">
        <v>8816</v>
      </c>
      <c r="D1568" s="3" t="inlineStr">
        <is>
          <t>Мама Роза</t>
        </is>
      </c>
      <c r="E1568" s="2" t="n">
        <v>1991</v>
      </c>
      <c r="F1568" s="2" t="inlineStr">
        <is>
          <t>кинофильм</t>
        </is>
      </c>
      <c r="G1568" s="2" t="n"/>
      <c r="H1568" s="2" t="n">
        <v>249</v>
      </c>
      <c r="I1568" s="2" t="inlineStr"/>
      <c r="J1568" s="2" t="inlineStr">
        <is>
          <t>да</t>
        </is>
      </c>
      <c r="K1568" s="3" t="inlineStr">
        <is>
          <t>История взаимоотношений мальчика и его приемной матери-старушки интерпретирована в чистых, чуть ностальгических, старомодно-ветхих тонах. Трагикомизм ситуаций, порожденных любовью, жалостью, грустью и ненавистью в конечном итоге сводится к трагедии.</t>
        </is>
      </c>
      <c r="L1568" s="2" t="inlineStr">
        <is>
          <t>Кино_СССР сводный каталог.xlsx: список фильмов (доп.)</t>
        </is>
      </c>
      <c r="M1568" s="2">
        <f>HYPERLINK("https://ru.wikipedia.org/w/index.php?search=%D0%9C%D0%B0%D0%BC%D0%B0%20%D0%A0%D0%BE%D0%B7%D0%B0%201991%20%D1%84%D0%B8%D0%BB%D1%8C%D0%BC","искать")</f>
        <v/>
      </c>
      <c r="N1568" s="3" t="n"/>
      <c r="O1568" s="2" t="n"/>
    </row>
    <row r="1569">
      <c r="A1569" s="2" t="n">
        <v>1568</v>
      </c>
      <c r="B1569" s="2" t="inlineStr">
        <is>
          <t>не сюжет</t>
        </is>
      </c>
      <c r="C1569" s="2" t="n">
        <v>9887</v>
      </c>
      <c r="D1569" s="3" t="inlineStr">
        <is>
          <t>Мистер-Твистер</t>
        </is>
      </c>
      <c r="E1569" s="2" t="n">
        <v>1971</v>
      </c>
      <c r="F1569" s="2" t="inlineStr">
        <is>
          <t>телефильм</t>
        </is>
      </c>
      <c r="G1569" s="2" t="inlineStr">
        <is>
          <t>"Телефильм-Одесса"</t>
        </is>
      </c>
      <c r="H1569" s="2" t="n">
        <v>249</v>
      </c>
      <c r="I1569" s="2" t="inlineStr"/>
      <c r="J1569" s="2" t="inlineStr">
        <is>
          <t>да</t>
        </is>
      </c>
      <c r="K1569" s="3" t="inlineStr">
        <is>
          <t>По одноименному произведению С.Маршака.
В фильме снимались: артисты балета Одесского Государственного Академического т-ра оперы и балета (балетмейстер Игорь Чернышев). Артисты балета Одесского театра музыкальной комедии (балетмейстер Игорь Дидурко).</t>
        </is>
      </c>
      <c r="L1569" s="2" t="inlineStr">
        <is>
          <t>https://www.kino-teatr.ru/short/movie/sov/16488/annot/</t>
        </is>
      </c>
      <c r="M1569" s="2">
        <f>HYPERLINK("https://ru.wikipedia.org/w/index.php?search=%D0%9C%D0%B8%D1%81%D1%82%D0%B5%D1%80-%D0%A2%D0%B2%D0%B8%D1%81%D1%82%D0%B5%D1%80%201971%20%D1%84%D0%B8%D0%BB%D1%8C%D0%BC","искать")</f>
        <v/>
      </c>
      <c r="N1569" s="3" t="n"/>
      <c r="O1569" s="2" t="n"/>
    </row>
    <row r="1570">
      <c r="A1570" s="2" t="n">
        <v>1569</v>
      </c>
      <c r="B1570" s="2" t="inlineStr">
        <is>
          <t>не сюжет</t>
        </is>
      </c>
      <c r="C1570" s="2" t="n">
        <v>10655</v>
      </c>
      <c r="D1570" s="3" t="inlineStr">
        <is>
          <t>Мартин Иден</t>
        </is>
      </c>
      <c r="E1570" s="2" t="n">
        <v>1976</v>
      </c>
      <c r="F1570" s="2" t="inlineStr">
        <is>
          <t>фильм-спектакль</t>
        </is>
      </c>
      <c r="G1570" s="2" t="inlineStr">
        <is>
          <t>Главная редакция литературно-драматических программ ЦТ</t>
        </is>
      </c>
      <c r="H1570" s="2" t="n">
        <v>249</v>
      </c>
      <c r="I1570" s="2" t="inlineStr"/>
      <c r="J1570" s="2" t="inlineStr">
        <is>
          <t>да</t>
        </is>
      </c>
      <c r="K1570" s="3" t="inlineStr">
        <is>
          <t>По одноименному роману Джека Лондона, в котором воссоздана нелегкая, но прекрасная пора его жизни. Раскрывается тема психологического преобразования человека, в тяжелых испытаниях открывающего в себе и настоящее мужество и неиссякаемую волю к жизни.</t>
        </is>
      </c>
      <c r="L1570" s="2" t="inlineStr">
        <is>
          <t>https://www.kino-teatr.ru/teatr/movie/3737/annot/</t>
        </is>
      </c>
      <c r="M1570" s="2">
        <f>HYPERLINK("https://ru.wikipedia.org/w/index.php?search=%D0%9C%D0%B0%D1%80%D1%82%D0%B8%D0%BD%20%D0%98%D0%B4%D0%B5%D0%BD%201976%20%D1%84%D0%B8%D0%BB%D1%8C%D0%BC","искать")</f>
        <v/>
      </c>
      <c r="N1570" s="3" t="n"/>
      <c r="O1570" s="2" t="n"/>
    </row>
    <row r="1571">
      <c r="A1571" s="2" t="n">
        <v>1570</v>
      </c>
      <c r="B1571" s="2" t="inlineStr">
        <is>
          <t>не сюжет</t>
        </is>
      </c>
      <c r="C1571" s="2" t="n">
        <v>10570</v>
      </c>
      <c r="D1571" s="3" t="inlineStr">
        <is>
          <t>Мелодии любви</t>
        </is>
      </c>
      <c r="E1571" s="2" t="n">
        <v>1974</v>
      </c>
      <c r="F1571" s="2" t="inlineStr">
        <is>
          <t>фильм-спектакль</t>
        </is>
      </c>
      <c r="G1571" s="2" t="inlineStr">
        <is>
          <t>Свердловская киностудия</t>
        </is>
      </c>
      <c r="H1571" s="2" t="n">
        <v>250</v>
      </c>
      <c r="I1571" s="2" t="inlineStr"/>
      <c r="J1571" s="2" t="inlineStr">
        <is>
          <t>да</t>
        </is>
      </c>
      <c r="K1571" s="3" t="inlineStr">
        <is>
          <t>Артисты Свердловского театра музыкальной комедии в фильме- спектакле "Мелодии любви".
В фильме-спектакле собраны отрывки из оперетт Имре Кальмана "Фиалка Монмартра", "Дьявольский наездник", "Сильва", "Герцогиня из Чикаго", "Цыган-премьер", "Баядера".</t>
        </is>
      </c>
      <c r="L1571" s="2" t="inlineStr">
        <is>
          <t>https://www.kino-teatr.ru/teatr/movie/83994/annot/</t>
        </is>
      </c>
      <c r="M1571" s="2">
        <f>HYPERLINK("https://ru.wikipedia.org/w/index.php?search=%D0%9C%D0%B5%D0%BB%D0%BE%D0%B4%D0%B8%D0%B8%20%D0%BB%D1%8E%D0%B1%D0%B2%D0%B8%201974%20%D1%84%D0%B8%D0%BB%D1%8C%D0%BC","искать")</f>
        <v/>
      </c>
      <c r="N1571" s="3" t="n"/>
      <c r="O1571" s="2" t="n"/>
    </row>
    <row r="1572">
      <c r="A1572" s="2" t="n">
        <v>1571</v>
      </c>
      <c r="B1572" s="2" t="inlineStr">
        <is>
          <t>не сюжет</t>
        </is>
      </c>
      <c r="C1572" s="2" t="n">
        <v>10944</v>
      </c>
      <c r="D1572" s="3" t="inlineStr">
        <is>
          <t>Король Лир</t>
        </is>
      </c>
      <c r="E1572" s="2" t="n">
        <v>1982</v>
      </c>
      <c r="F1572" s="2" t="inlineStr">
        <is>
          <t>фильм-спектакль</t>
        </is>
      </c>
      <c r="G1572" s="2" t="n"/>
      <c r="H1572" s="2" t="n">
        <v>250</v>
      </c>
      <c r="I1572" s="2" t="inlineStr"/>
      <c r="J1572" s="2" t="inlineStr">
        <is>
          <t>да</t>
        </is>
      </c>
      <c r="K1572" s="3" t="inlineStr">
        <is>
          <t>По одноименной пьесе У.Шекспира в постановке Государственного академического Малого театра Союза ССР. История Короля Лира - это история ослепленного собственным деспотизмом человека, который на склоне лет впервые сталкивается с горькой правдой жизни.</t>
        </is>
      </c>
      <c r="L1572" s="2" t="inlineStr">
        <is>
          <t>https://www.kino-teatr.ru/teatr/movie/81745/annot/</t>
        </is>
      </c>
      <c r="M1572" s="2">
        <f>HYPERLINK("https://ru.wikipedia.org/w/index.php?search=%D0%9A%D0%BE%D1%80%D0%BE%D0%BB%D1%8C%20%D0%9B%D0%B8%D1%80%201982%20%D1%84%D0%B8%D0%BB%D1%8C%D0%BC","искать")</f>
        <v/>
      </c>
      <c r="N1572" s="3" t="n"/>
      <c r="O1572" s="2" t="n"/>
    </row>
    <row r="1573">
      <c r="A1573" s="2" t="n">
        <v>1572</v>
      </c>
      <c r="B1573" s="2" t="inlineStr">
        <is>
          <t>не сюжет</t>
        </is>
      </c>
      <c r="C1573" s="2" t="n">
        <v>10817</v>
      </c>
      <c r="D1573" s="3" t="inlineStr">
        <is>
          <t>Русские люди</t>
        </is>
      </c>
      <c r="E1573" s="2" t="n">
        <v>1979</v>
      </c>
      <c r="F1573" s="2" t="inlineStr">
        <is>
          <t>фильм-спектакль</t>
        </is>
      </c>
      <c r="G1573" s="2" t="inlineStr">
        <is>
          <t>Главная редакция литературно-драматических программ</t>
        </is>
      </c>
      <c r="H1573" s="2" t="n">
        <v>251</v>
      </c>
      <c r="I1573" s="2" t="inlineStr"/>
      <c r="J1573" s="2" t="inlineStr">
        <is>
          <t>да</t>
        </is>
      </c>
      <c r="K1573" s="3" t="inlineStr">
        <is>
          <t>По одноименной пьесе К.Симонова в постановке Государственного академического Малого театра Союза ССР.
О героизме и мужестве русских людей в годы Великой Отечественной войны. Действие происходит в 1941 году в оккупированном фашистами маленьком городке.</t>
        </is>
      </c>
      <c r="L1573" s="2" t="inlineStr">
        <is>
          <t>https://www.kino-teatr.ru/teatr/movie/82105/annot/</t>
        </is>
      </c>
      <c r="M1573" s="2">
        <f>HYPERLINK("https://ru.wikipedia.org/w/index.php?search=%D0%A0%D1%83%D1%81%D1%81%D0%BA%D0%B8%D0%B5%20%D0%BB%D1%8E%D0%B4%D0%B8%201979%20%D1%84%D0%B8%D0%BB%D1%8C%D0%BC","искать")</f>
        <v/>
      </c>
      <c r="N1573" s="3" t="n"/>
      <c r="O1573" s="2" t="n"/>
    </row>
    <row r="1574">
      <c r="A1574" s="2" t="n">
        <v>1573</v>
      </c>
      <c r="B1574" s="2" t="inlineStr">
        <is>
          <t>не сюжет</t>
        </is>
      </c>
      <c r="C1574" s="2" t="n">
        <v>8521</v>
      </c>
      <c r="D1574" s="3" t="inlineStr">
        <is>
          <t>Хлеб — имя существительное</t>
        </is>
      </c>
      <c r="E1574" s="2" t="n">
        <v>1988</v>
      </c>
      <c r="F1574" s="2" t="inlineStr">
        <is>
          <t>телефильм</t>
        </is>
      </c>
      <c r="G1574" s="2" t="inlineStr">
        <is>
          <t>Ленфильм</t>
        </is>
      </c>
      <c r="H1574" s="2" t="n">
        <v>252</v>
      </c>
      <c r="I1574" s="2" t="inlineStr"/>
      <c r="J1574" s="2" t="inlineStr">
        <is>
          <t>да</t>
        </is>
      </c>
      <c r="K1574" s="3" t="inlineStr">
        <is>
          <t>Сериал по мотивам романов и повестей Михаила Алексеева "Хлеб - имя существительное", "Вишневый омут", "Карюха", "Драчуны". О жизни большого саратовского села от начала века до середины 30-х годов. Своеобразный коллективный портрет русского крестьянина.</t>
        </is>
      </c>
      <c r="L1574" s="2" t="inlineStr">
        <is>
          <t>Кино_СССР сводный каталог.xlsx: список телефильмов</t>
        </is>
      </c>
      <c r="M1574" s="2">
        <f>HYPERLINK("https://ru.wikipedia.org/w/index.php?search=%D0%A5%D0%BB%D0%B5%D0%B1%20%E2%80%94%20%D0%B8%D0%BC%D1%8F%20%D1%81%D1%83%D1%89%D0%B5%D1%81%D1%82%D0%B2%D0%B8%D1%82%D0%B5%D0%BB%D1%8C%D0%BD%D0%BE%D0%B5%201988%20%D1%84%D0%B8%D0%BB%D1%8C%D0%BC","искать")</f>
        <v/>
      </c>
      <c r="N1574" s="3" t="n"/>
      <c r="O1574" s="2" t="n"/>
    </row>
    <row r="1575">
      <c r="A1575" s="2" t="n">
        <v>1574</v>
      </c>
      <c r="B1575" s="2" t="inlineStr">
        <is>
          <t>не сюжет</t>
        </is>
      </c>
      <c r="C1575" s="2" t="n">
        <v>7592</v>
      </c>
      <c r="D1575" s="3" t="inlineStr">
        <is>
          <t>Женщина дня</t>
        </is>
      </c>
      <c r="E1575" s="2" t="n">
        <v>1989</v>
      </c>
      <c r="F1575" s="2" t="inlineStr">
        <is>
          <t>телефильм</t>
        </is>
      </c>
      <c r="G1575" s="2" t="n"/>
      <c r="H1575" s="2" t="n">
        <v>253</v>
      </c>
      <c r="I1575" s="2" t="inlineStr"/>
      <c r="J1575" s="2" t="inlineStr">
        <is>
          <t>да</t>
        </is>
      </c>
      <c r="K1575" s="3" t="inlineStr">
        <is>
          <t>Психологическая драма, фабульно построенная как триллер с крепко закрученным сюжетом. Главная героиня - Саша - тип современной городской девушки, непредсказуемой в своих поступках, вызывающей различное эмоциональное отношение на протяжении всей картины.</t>
        </is>
      </c>
      <c r="L1575" s="2" t="inlineStr">
        <is>
          <t>Кино_СССР сводный каталог.xlsx: список телефильмов</t>
        </is>
      </c>
      <c r="M1575" s="2">
        <f>HYPERLINK("https://ru.wikipedia.org/w/index.php?search=%D0%96%D0%B5%D0%BD%D1%89%D0%B8%D0%BD%D0%B0%20%D0%B4%D0%BD%D1%8F%201989%20%D1%84%D0%B8%D0%BB%D1%8C%D0%BC","искать")</f>
        <v/>
      </c>
      <c r="N1575" s="3" t="n"/>
      <c r="O1575" s="2" t="n"/>
    </row>
    <row r="1576">
      <c r="A1576" s="2" t="n">
        <v>1575</v>
      </c>
      <c r="B1576" s="2" t="inlineStr">
        <is>
          <t>не сюжет</t>
        </is>
      </c>
      <c r="C1576" s="2" t="n">
        <v>10266</v>
      </c>
      <c r="D1576" s="3" t="inlineStr">
        <is>
          <t>Поздняя любовь</t>
        </is>
      </c>
      <c r="E1576" s="2" t="n">
        <v>1968</v>
      </c>
      <c r="F1576" s="2" t="inlineStr">
        <is>
          <t>фильм-спектакль</t>
        </is>
      </c>
      <c r="G1576" s="2" t="inlineStr">
        <is>
          <t>МХАТ им. Горького, Подборки фильмов, экранизации Островского</t>
        </is>
      </c>
      <c r="H1576" s="2" t="n">
        <v>253</v>
      </c>
      <c r="I1576" s="2" t="inlineStr"/>
      <c r="J1576" s="2" t="inlineStr">
        <is>
          <t>да</t>
        </is>
      </c>
      <c r="K1576" s="3" t="inlineStr">
        <is>
          <t>По одноименной пьесе А.Островского в постановке Московского Художественного академического театра им. Горького. Написанная в 1873 году и впервые поставленная на сцене Малого театра, эта пьеса с тех пор не сходит со сценических подмостков многих театров.</t>
        </is>
      </c>
      <c r="L1576" s="2" t="inlineStr">
        <is>
          <t>https://www.kino-teatr.ru/teatr/movie/82242/annot/</t>
        </is>
      </c>
      <c r="M1576" s="2">
        <f>HYPERLINK("https://ru.wikipedia.org/w/index.php?search=%D0%9F%D0%BE%D0%B7%D0%B4%D0%BD%D1%8F%D1%8F%20%D0%BB%D1%8E%D0%B1%D0%BE%D0%B2%D1%8C%201968%20%D1%84%D0%B8%D0%BB%D1%8C%D0%BC","искать")</f>
        <v/>
      </c>
      <c r="N1576" s="3" t="n"/>
      <c r="O1576" s="2" t="n"/>
    </row>
    <row r="1577">
      <c r="A1577" s="2" t="n">
        <v>1576</v>
      </c>
      <c r="B1577" s="2" t="inlineStr">
        <is>
          <t>не сюжет</t>
        </is>
      </c>
      <c r="C1577" s="2" t="n">
        <v>8813</v>
      </c>
      <c r="D1577" s="3" t="inlineStr">
        <is>
          <t>Маленькие страсти</t>
        </is>
      </c>
      <c r="E1577" s="2" t="n">
        <v>1990</v>
      </c>
      <c r="F1577" s="2" t="inlineStr">
        <is>
          <t>кинофильм</t>
        </is>
      </c>
      <c r="G1577" s="2" t="n"/>
      <c r="H1577" s="2" t="n">
        <v>255</v>
      </c>
      <c r="I1577" s="2" t="inlineStr"/>
      <c r="J1577" s="2" t="inlineStr">
        <is>
          <t>да</t>
        </is>
      </c>
      <c r="K1577" s="3" t="inlineStr">
        <is>
          <t>Главная тема фильма - любовь и предательство. Четыре главных героини девушка Инга, ее мама Анна, подруга мамы Марта и соседка по коммунальной квартире Лавизе, связаны друг с другом одной похожей нитью судьбы, разорвать которую не под силу ни одной из них.</t>
        </is>
      </c>
      <c r="L1577" s="2" t="inlineStr">
        <is>
          <t>Кино_СССР сводный каталог.xlsx: список фильмов (доп.)</t>
        </is>
      </c>
      <c r="M1577" s="2">
        <f>HYPERLINK("https://ru.wikipedia.org/w/index.php?search=%D0%9C%D0%B0%D0%BB%D0%B5%D0%BD%D1%8C%D0%BA%D0%B8%D0%B5%20%D1%81%D1%82%D1%80%D0%B0%D1%81%D1%82%D0%B8%201990%20%D1%84%D0%B8%D0%BB%D1%8C%D0%BC","искать")</f>
        <v/>
      </c>
      <c r="N1577" s="3" t="n"/>
      <c r="O1577" s="2" t="n"/>
    </row>
    <row r="1578">
      <c r="A1578" s="2" t="n">
        <v>1577</v>
      </c>
      <c r="B1578" s="2" t="inlineStr">
        <is>
          <t>не сюжет</t>
        </is>
      </c>
      <c r="C1578" s="2" t="n">
        <v>10876</v>
      </c>
      <c r="D1578" s="3" t="inlineStr">
        <is>
          <t>Беседы при ясной луне</t>
        </is>
      </c>
      <c r="E1578" s="2" t="n">
        <v>1981</v>
      </c>
      <c r="F1578" s="2" t="inlineStr">
        <is>
          <t>фильм-спектакль</t>
        </is>
      </c>
      <c r="G1578" s="2" t="inlineStr">
        <is>
          <t>ТО "Экран"</t>
        </is>
      </c>
      <c r="H1578" s="2" t="n">
        <v>255</v>
      </c>
      <c r="I1578" s="2" t="inlineStr"/>
      <c r="J1578" s="2" t="inlineStr">
        <is>
          <t>да</t>
        </is>
      </c>
      <c r="K1578" s="3" t="inlineStr">
        <is>
          <t>По рассказам Василия Шукшина «Крыша над головой», «Сапожки», «Письмо», «Вянет, пропадает», «Бессовестные», «Срезал», «Думы», «Земляки», «Заревой дождь», «Горе», «Верую!», «Дядя Ермолай» в постановке Государственного академического Малого театра Союза ССР.</t>
        </is>
      </c>
      <c r="L1578" s="2" t="inlineStr">
        <is>
          <t>https://www.kino-teatr.ru/teatr/movie/15332/annot/</t>
        </is>
      </c>
      <c r="M1578" s="2">
        <f>HYPERLINK("https://ru.wikipedia.org/w/index.php?search=%D0%91%D0%B5%D1%81%D0%B5%D0%B4%D1%8B%20%D0%BF%D1%80%D0%B8%20%D1%8F%D1%81%D0%BD%D0%BE%D0%B9%20%D0%BB%D1%83%D0%BD%D0%B5%201981%20%D1%84%D0%B8%D0%BB%D1%8C%D0%BC","искать")</f>
        <v/>
      </c>
      <c r="N1578" s="3" t="n"/>
      <c r="O1578" s="2" t="n"/>
    </row>
    <row r="1579">
      <c r="A1579" s="2" t="n">
        <v>1578</v>
      </c>
      <c r="B1579" s="2" t="inlineStr">
        <is>
          <t>не сюжет</t>
        </is>
      </c>
      <c r="C1579" s="2" t="n">
        <v>10367</v>
      </c>
      <c r="D1579" s="3" t="inlineStr">
        <is>
          <t>Посредник - святой отец</t>
        </is>
      </c>
      <c r="E1579" s="2" t="n">
        <v>1970</v>
      </c>
      <c r="F1579" s="2" t="inlineStr">
        <is>
          <t>фильм-спектакль</t>
        </is>
      </c>
      <c r="G1579" s="2" t="n"/>
      <c r="H1579" s="2" t="n">
        <v>256</v>
      </c>
      <c r="I1579" s="2" t="inlineStr"/>
      <c r="J1579" s="2" t="inlineStr">
        <is>
          <t>да</t>
        </is>
      </c>
      <c r="K1579" s="3" t="inlineStr">
        <is>
          <t>Միջնորդ տեր պապան
По произведению Ерванда Отяна.
Сюжет которого взят из жизни армян Стамбула. Главный герой романа – священник, который не гнушается пускать в ход лживые наветы. Городской класс также подвергнется резкой критике за честолюбие и высокомерие.</t>
        </is>
      </c>
      <c r="L1579" s="2" t="inlineStr">
        <is>
          <t>https://www.kino-teatr.ru/teatr/movie/108318/annot/</t>
        </is>
      </c>
      <c r="M1579" s="2">
        <f>HYPERLINK("https://ru.wikipedia.org/w/index.php?search=%D0%9F%D0%BE%D1%81%D1%80%D0%B5%D0%B4%D0%BD%D0%B8%D0%BA%20-%20%D1%81%D0%B2%D1%8F%D1%82%D0%BE%D0%B9%20%D0%BE%D1%82%D0%B5%D1%86%201970%20%D1%84%D0%B8%D0%BB%D1%8C%D0%BC","искать")</f>
        <v/>
      </c>
      <c r="N1579" s="3" t="n"/>
      <c r="O1579" s="2" t="n"/>
    </row>
    <row r="1580">
      <c r="A1580" s="2" t="n">
        <v>1579</v>
      </c>
      <c r="B1580" s="2" t="inlineStr">
        <is>
          <t>не сюжет</t>
        </is>
      </c>
      <c r="C1580" s="2" t="n">
        <v>11194</v>
      </c>
      <c r="D1580" s="3" t="inlineStr">
        <is>
          <t>Диктатура совести</t>
        </is>
      </c>
      <c r="E1580" s="2" t="n">
        <v>1988</v>
      </c>
      <c r="F1580" s="2" t="inlineStr">
        <is>
          <t>фильм-спектакль</t>
        </is>
      </c>
      <c r="G1580" s="2" t="n"/>
      <c r="H1580" s="2" t="n">
        <v>256</v>
      </c>
      <c r="I1580" s="2" t="inlineStr"/>
      <c r="J1580" s="2" t="inlineStr">
        <is>
          <t>да</t>
        </is>
      </c>
      <c r="K1580" s="3" t="inlineStr">
        <is>
          <t>Спектакль театра Ленком по пьесе М.Шатрова. В авторские диалоги вмонтированы цитаты из документов, писем и литературных произведений, на сцене встречаются исторические персонажи и вымышленные герои из разных эпох, в диалог которых вовлечен также и зритель.</t>
        </is>
      </c>
      <c r="L1580" s="2" t="inlineStr">
        <is>
          <t>https://www.kino-teatr.ru/teatr/movie/81609/annot/</t>
        </is>
      </c>
      <c r="M1580" s="2">
        <f>HYPERLINK("https://ru.wikipedia.org/w/index.php?search=%D0%94%D0%B8%D0%BA%D1%82%D0%B0%D1%82%D1%83%D1%80%D0%B0%20%D1%81%D0%BE%D0%B2%D0%B5%D1%81%D1%82%D0%B8%201988%20%D1%84%D0%B8%D0%BB%D1%8C%D0%BC","искать")</f>
        <v/>
      </c>
      <c r="N1580" s="3" t="n"/>
      <c r="O1580" s="2" t="n"/>
    </row>
    <row r="1581">
      <c r="A1581" s="2" t="n">
        <v>1580</v>
      </c>
      <c r="B1581" s="2" t="inlineStr">
        <is>
          <t>не сюжет</t>
        </is>
      </c>
      <c r="C1581" s="2" t="n">
        <v>7670</v>
      </c>
      <c r="D1581" s="3" t="inlineStr">
        <is>
          <t>Иван Павлов. Поиски истины</t>
        </is>
      </c>
      <c r="E1581" s="2" t="n">
        <v>1984</v>
      </c>
      <c r="F1581" s="2" t="inlineStr">
        <is>
          <t>телефильм</t>
        </is>
      </c>
      <c r="G1581" s="2" t="n"/>
      <c r="H1581" s="2" t="n">
        <v>257</v>
      </c>
      <c r="I1581" s="2" t="inlineStr"/>
      <c r="J1581" s="2" t="inlineStr">
        <is>
          <t>да</t>
        </is>
      </c>
      <c r="K1581" s="3" t="inlineStr">
        <is>
          <t>Биографический фильм, посвященный жизни и деятельности великого русского физиолога Ивана Петровича Павлова. В фильме использованы произведения: Н. Помяловского, М. Пришвина, Н. Сладкова, воспоминания современников И.Павлова и мемуары С. Карчевской-Павловой.</t>
        </is>
      </c>
      <c r="L1581" s="2" t="inlineStr">
        <is>
          <t>Кино_СССР сводный каталог.xlsx: список телефильмов</t>
        </is>
      </c>
      <c r="M1581" s="2">
        <f>HYPERLINK("https://ru.wikipedia.org/w/index.php?search=%D0%98%D0%B2%D0%B0%D0%BD%20%D0%9F%D0%B0%D0%B2%D0%BB%D0%BE%D0%B2.%20%D0%9F%D0%BE%D0%B8%D1%81%D0%BA%D0%B8%20%D0%B8%D1%81%D1%82%D0%B8%D0%BD%D1%8B%201984%20%D1%84%D0%B8%D0%BB%D1%8C%D0%BC","искать")</f>
        <v/>
      </c>
      <c r="N1581" s="3" t="n"/>
      <c r="O1581" s="2" t="n"/>
    </row>
    <row r="1582">
      <c r="A1582" s="2" t="n">
        <v>1581</v>
      </c>
      <c r="B1582" s="2" t="inlineStr">
        <is>
          <t>не сюжет</t>
        </is>
      </c>
      <c r="C1582" s="2" t="n">
        <v>8379</v>
      </c>
      <c r="D1582" s="3" t="inlineStr">
        <is>
          <t>Солнечный ветер</t>
        </is>
      </c>
      <c r="E1582" s="2" t="n">
        <v>1982</v>
      </c>
      <c r="F1582" s="2" t="inlineStr">
        <is>
          <t>телефильм</t>
        </is>
      </c>
      <c r="G1582" s="2" t="n"/>
      <c r="H1582" s="2" t="n">
        <v>257</v>
      </c>
      <c r="I1582" s="2" t="inlineStr"/>
      <c r="J1582" s="2" t="inlineStr">
        <is>
          <t>да</t>
        </is>
      </c>
      <c r="K1582" s="3" t="inlineStr">
        <is>
          <t>По мотивам пьесы Игнатия Дворецкого «Саша Белова». Героиня фильма - молодой ученый Надежда Петровская, работающая над проблемами, находящимися на стыке различных наук. Действие телефильма начинается в конце 1960-х годов и охватывает последующее десятилетие.</t>
        </is>
      </c>
      <c r="L1582" s="2" t="inlineStr">
        <is>
          <t>Кино_СССР сводный каталог.xlsx: список телефильмов</t>
        </is>
      </c>
      <c r="M1582" s="2">
        <f>HYPERLINK("https://ru.wikipedia.org/w/index.php?search=%D0%A1%D0%BE%D0%BB%D0%BD%D0%B5%D1%87%D0%BD%D1%8B%D0%B9%20%D0%B2%D0%B5%D1%82%D0%B5%D1%80%201982%20%D1%84%D0%B8%D0%BB%D1%8C%D0%BC","искать")</f>
        <v/>
      </c>
      <c r="N1582" s="3" t="n"/>
      <c r="O1582" s="2" t="n"/>
    </row>
    <row r="1583">
      <c r="A1583" s="2" t="n">
        <v>1582</v>
      </c>
      <c r="B1583" s="2" t="inlineStr">
        <is>
          <t>не сюжет</t>
        </is>
      </c>
      <c r="C1583" s="2" t="n">
        <v>10159</v>
      </c>
      <c r="D1583" s="3" t="inlineStr">
        <is>
          <t>12 стульев</t>
        </is>
      </c>
      <c r="E1583" s="2" t="n">
        <v>1966</v>
      </c>
      <c r="F1583" s="2" t="inlineStr">
        <is>
          <t>фильм-спектакль</t>
        </is>
      </c>
      <c r="G1583" s="2" t="inlineStr">
        <is>
          <t>Ленинградское Телевидение</t>
        </is>
      </c>
      <c r="H1583" s="2" t="n">
        <v>257</v>
      </c>
      <c r="I1583" s="2" t="inlineStr"/>
      <c r="J1583" s="2" t="inlineStr">
        <is>
          <t>да</t>
        </is>
      </c>
      <c r="K1583" s="3" t="inlineStr">
        <is>
          <t>Телеэкранизация отдельных глав из романа И.Ильфа и Е.Петрова.
В середине 1960-х годов Александр Белинский поставил на Ленинградском телевидении спектакль «Двенадцать стульев» с Игорем Горбачевым, Николаем Боярским и Алисой Фрейндлих в роли Эллочки-людоедки.</t>
        </is>
      </c>
      <c r="L1583" s="2" t="inlineStr">
        <is>
          <t>https://www.kino-teatr.ru/teatr/movie/8/annot/</t>
        </is>
      </c>
      <c r="M1583" s="2">
        <f>HYPERLINK("https://ru.wikipedia.org/w/index.php?search=12%20%D1%81%D1%82%D1%83%D0%BB%D1%8C%D0%B5%D0%B2%201966%20%D1%84%D0%B8%D0%BB%D1%8C%D0%BC","искать")</f>
        <v/>
      </c>
      <c r="N1583" s="3" t="n"/>
      <c r="O1583" s="2" t="n"/>
    </row>
    <row r="1584">
      <c r="A1584" s="2" t="n">
        <v>1583</v>
      </c>
      <c r="B1584" s="2" t="inlineStr">
        <is>
          <t>не сюжет</t>
        </is>
      </c>
      <c r="C1584" s="2" t="n">
        <v>10406</v>
      </c>
      <c r="D1584" s="3" t="inlineStr">
        <is>
          <t>Мещане</t>
        </is>
      </c>
      <c r="E1584" s="2" t="n">
        <v>1971</v>
      </c>
      <c r="F1584" s="2" t="inlineStr">
        <is>
          <t>фильм-спектакль</t>
        </is>
      </c>
      <c r="G1584" s="2" t="inlineStr">
        <is>
          <t>Ленфильм</t>
        </is>
      </c>
      <c r="H1584" s="2" t="n">
        <v>257</v>
      </c>
      <c r="I1584" s="2" t="inlineStr"/>
      <c r="J1584" s="2" t="inlineStr">
        <is>
          <t>да</t>
        </is>
      </c>
      <c r="K1584" s="3" t="inlineStr">
        <is>
          <t>Телеспектакль, трагикомедия по одноименной пьесе М. Горького.
Телевизионный вариант спектакля ленинградского БДТ имени М.Горького (первая постановка — 1966 год), шедшего почти четверть века в исполнении легендарной труппы и ставшего мировым шедевром театра.</t>
        </is>
      </c>
      <c r="L1584" s="2" t="inlineStr">
        <is>
          <t>https://www.kino-teatr.ru/teatr/movie/9279/annot/</t>
        </is>
      </c>
      <c r="M1584" s="2">
        <f>HYPERLINK("https://ru.wikipedia.org/w/index.php?search=%D0%9C%D0%B5%D1%89%D0%B0%D0%BD%D0%B5%201971%20%D1%84%D0%B8%D0%BB%D1%8C%D0%BC","искать")</f>
        <v/>
      </c>
      <c r="N1584" s="3" t="n"/>
      <c r="O1584" s="2" t="n"/>
    </row>
    <row r="1585">
      <c r="A1585" s="2" t="n">
        <v>1584</v>
      </c>
      <c r="B1585" s="2" t="inlineStr">
        <is>
          <t>не сюжет</t>
        </is>
      </c>
      <c r="C1585" s="2" t="n">
        <v>11288</v>
      </c>
      <c r="D1585" s="3" t="inlineStr">
        <is>
          <t>Тройка</t>
        </is>
      </c>
      <c r="E1585" s="2" t="n">
        <v>1989</v>
      </c>
      <c r="F1585" s="2" t="inlineStr">
        <is>
          <t>фильм-спектакль</t>
        </is>
      </c>
      <c r="G1585" s="2" t="n"/>
      <c r="H1585" s="2" t="n">
        <v>257</v>
      </c>
      <c r="I1585" s="2" t="inlineStr"/>
      <c r="J1585" s="2" t="inlineStr">
        <is>
          <t>да</t>
        </is>
      </c>
      <c r="K1585" s="3" t="inlineStr">
        <is>
          <t>По одноименной пьесе Юлиу Эдлиса.
О трагических страницах нашей истории, когда так называемое "особое совещание", состоящее из трех человек, выносило суровые приговоры ни в чем неповинным людям.
Выпущено: Главная редакция литературно-драматических программ.</t>
        </is>
      </c>
      <c r="L1585" s="2" t="inlineStr">
        <is>
          <t>https://www.kino-teatr.ru/teatr/movie/95032/annot/</t>
        </is>
      </c>
      <c r="M1585" s="2">
        <f>HYPERLINK("https://ru.wikipedia.org/w/index.php?search=%D0%A2%D1%80%D0%BE%D0%B9%D0%BA%D0%B0%201989%20%D1%84%D0%B8%D0%BB%D1%8C%D0%BC","искать")</f>
        <v/>
      </c>
      <c r="N1585" s="3" t="n"/>
      <c r="O1585" s="2" t="n"/>
    </row>
    <row r="1586">
      <c r="A1586" s="2" t="n">
        <v>1585</v>
      </c>
      <c r="B1586" s="2" t="inlineStr">
        <is>
          <t>не сюжет</t>
        </is>
      </c>
      <c r="C1586" s="2" t="n">
        <v>8375</v>
      </c>
      <c r="D1586" s="3" t="inlineStr">
        <is>
          <t>Созвездие Козлотура</t>
        </is>
      </c>
      <c r="E1586" s="2" t="n">
        <v>1989</v>
      </c>
      <c r="F1586" s="2" t="inlineStr">
        <is>
          <t>телефильм</t>
        </is>
      </c>
      <c r="G1586" s="2" t="inlineStr">
        <is>
          <t>Мосфильм</t>
        </is>
      </c>
      <c r="H1586" s="2" t="n">
        <v>258</v>
      </c>
      <c r="I1586" s="2" t="inlineStr"/>
      <c r="J1586" s="2" t="inlineStr">
        <is>
          <t>да</t>
        </is>
      </c>
      <c r="K1586" s="3" t="inlineStr">
        <is>
          <t>Сатирическая комедия по мотивам одноименной повести Фазиля Искандера. Действие происходит в одной из закавказских республик в шестидесятые годы, где развернулась кампания по выведению нового животного козлотура, происходящего от горного тура и домашней козы.</t>
        </is>
      </c>
      <c r="L1586" s="2" t="inlineStr">
        <is>
          <t>Кино_СССР сводный каталог.xlsx: список телефильмов</t>
        </is>
      </c>
      <c r="M1586" s="2">
        <f>HYPERLINK("https://ru.wikipedia.org/w/index.php?search=%D0%A1%D0%BE%D0%B7%D0%B2%D0%B5%D0%B7%D0%B4%D0%B8%D0%B5%20%D0%9A%D0%BE%D0%B7%D0%BB%D0%BE%D1%82%D1%83%D1%80%D0%B0%201989%20%D1%84%D0%B8%D0%BB%D1%8C%D0%BC","искать")</f>
        <v/>
      </c>
      <c r="N1586" s="3" t="n"/>
      <c r="O1586" s="2" t="n"/>
    </row>
    <row r="1587">
      <c r="A1587" s="2" t="n">
        <v>1586</v>
      </c>
      <c r="B1587" s="2" t="inlineStr">
        <is>
          <t>не сюжет</t>
        </is>
      </c>
      <c r="C1587" s="2" t="n">
        <v>9196</v>
      </c>
      <c r="D1587" s="3" t="inlineStr">
        <is>
          <t>Абдулладжан, или Посвящается Стивену Спилбергу</t>
        </is>
      </c>
      <c r="E1587" s="2" t="n">
        <v>1991</v>
      </c>
      <c r="F1587" s="2" t="inlineStr">
        <is>
          <t>кинофильм</t>
        </is>
      </c>
      <c r="G1587" s="2" t="n"/>
      <c r="H1587" s="2" t="n">
        <v>260</v>
      </c>
      <c r="I1587" s="2" t="inlineStr"/>
      <c r="J1587" s="2" t="inlineStr">
        <is>
          <t>да</t>
        </is>
      </c>
      <c r="K1587" s="3" t="inlineStr">
        <is>
          <t>Фильм снят в жанре фантастической комедии с элементами пародии. Дополнительную юмористическую окраску ему придают восточная экзотика и простодушные комментарии одного из героев - сторожа колхозного магазина, посмотревшего в видеосалоне фильм Стивена Спилберга.</t>
        </is>
      </c>
      <c r="L1587" s="2" t="inlineStr">
        <is>
          <t>Кино_СССР сводный каталог.xlsx: список фильмов (доп.)</t>
        </is>
      </c>
      <c r="M1587" s="2">
        <f>HYPERLINK("https://ru.wikipedia.org/w/index.php?search=%D0%90%D0%B1%D0%B4%D1%83%D0%BB%D0%BB%D0%B0%D0%B4%D0%B6%D0%B0%D0%BD%2C%20%D0%B8%D0%BB%D0%B8%20%D0%9F%D0%BE%D1%81%D0%B2%D1%8F%D1%89%D0%B0%D0%B5%D1%82%D1%81%D1%8F%20%D0%A1%D1%82%D0%B8%D0%B2%D0%B5%D0%BD%D1%83%20%D0%A1%D0%BF%D0%B8%D0%BB%D0%B1%D0%B5%D1%80%D0%B3%D1%83%201991%20%D1%84%D0%B8%D0%BB%D1%8C%D0%BC","искать")</f>
        <v/>
      </c>
      <c r="N1587" s="3" t="n"/>
      <c r="O1587" s="2" t="n"/>
    </row>
    <row r="1588">
      <c r="A1588" s="2" t="n">
        <v>1587</v>
      </c>
      <c r="B1588" s="2" t="inlineStr">
        <is>
          <t>не сюжет</t>
        </is>
      </c>
      <c r="C1588" s="2" t="n">
        <v>10701</v>
      </c>
      <c r="D1588" s="3" t="inlineStr">
        <is>
          <t>Михаил Ульянов читает рассказы Василия Шукшина</t>
        </is>
      </c>
      <c r="E1588" s="2" t="n">
        <v>1977</v>
      </c>
      <c r="F1588" s="2" t="inlineStr">
        <is>
          <t>фильм-спектакль</t>
        </is>
      </c>
      <c r="G1588" s="2" t="inlineStr">
        <is>
          <t>Центральное телевидение</t>
        </is>
      </c>
      <c r="H1588" s="2" t="n">
        <v>261</v>
      </c>
      <c r="I1588" s="2" t="inlineStr"/>
      <c r="J1588" s="2" t="inlineStr">
        <is>
          <t>да</t>
        </is>
      </c>
      <c r="K1588" s="3" t="inlineStr">
        <is>
          <t>Рассказы Василия Шукшина "Раскас", "Осенью", "Микроскоп" читает артист Михаил Ульянов.
В моноспектакль внесен также личный момент: Ульянов и Шукшин были хорошо знакомы, им доводилось и вместе работать. Поэтому в спектакле есть небольшие вставки от первого лица.</t>
        </is>
      </c>
      <c r="L1588" s="2" t="inlineStr">
        <is>
          <t>https://www.kino-teatr.ru/teatr/movie/103104/annot/</t>
        </is>
      </c>
      <c r="M1588" s="2">
        <f>HYPERLINK("https://ru.wikipedia.org/w/index.php?search=%D0%9C%D0%B8%D1%85%D0%B0%D0%B8%D0%BB%20%D0%A3%D0%BB%D1%8C%D1%8F%D0%BD%D0%BE%D0%B2%20%D1%87%D0%B8%D1%82%D0%B0%D0%B5%D1%82%20%D1%80%D0%B0%D1%81%D1%81%D0%BA%D0%B0%D0%B7%D1%8B%20%D0%92%D0%B0%D1%81%D0%B8%D0%BB%D0%B8%D1%8F%20%D0%A8%D1%83%D0%BA%D1%88%D0%B8%D0%BD%D0%B0%201977%20%D1%84%D0%B8%D0%BB%D1%8C%D0%BC","искать")</f>
        <v/>
      </c>
      <c r="N1588" s="3" t="n"/>
      <c r="O1588" s="2" t="n"/>
    </row>
    <row r="1589">
      <c r="A1589" s="2" t="n">
        <v>1588</v>
      </c>
      <c r="B1589" s="2" t="inlineStr">
        <is>
          <t>не сюжет</t>
        </is>
      </c>
      <c r="C1589" s="2" t="n">
        <v>11262</v>
      </c>
      <c r="D1589" s="3" t="inlineStr">
        <is>
          <t>Квартет</t>
        </is>
      </c>
      <c r="E1589" s="2" t="n">
        <v>1989</v>
      </c>
      <c r="F1589" s="2" t="inlineStr">
        <is>
          <t>фильм-спектакль</t>
        </is>
      </c>
      <c r="G1589" s="2" t="inlineStr">
        <is>
          <t>Литовский телефильм</t>
        </is>
      </c>
      <c r="H1589" s="2" t="n">
        <v>261</v>
      </c>
      <c r="I1589" s="2" t="inlineStr"/>
      <c r="J1589" s="2" t="inlineStr">
        <is>
          <t>да</t>
        </is>
      </c>
      <c r="K1589" s="3" t="inlineStr">
        <is>
          <t>Телевизионный спектакль по пьесе польского писателя С.Мрожека. Это гротеск о человеке, потерявшем систему ценностей. Наше существование очень хрупкое, в любой момент может вернуться прошлое. Привидения прошлого могут оказывать влияние на нашу сегодняшнюю жизнь.</t>
        </is>
      </c>
      <c r="L1589" s="2" t="inlineStr">
        <is>
          <t>https://www.kino-teatr.ru/teatr/movie/107254/annot/</t>
        </is>
      </c>
      <c r="M1589" s="2">
        <f>HYPERLINK("https://ru.wikipedia.org/w/index.php?search=%D0%9A%D0%B2%D0%B0%D1%80%D1%82%D0%B5%D1%82%201989%20%D1%84%D0%B8%D0%BB%D1%8C%D0%BC","искать")</f>
        <v/>
      </c>
      <c r="N1589" s="3" t="n"/>
      <c r="O1589" s="2" t="n"/>
    </row>
    <row r="1590">
      <c r="A1590" s="2" t="n">
        <v>1589</v>
      </c>
      <c r="B1590" s="2" t="inlineStr">
        <is>
          <t>не сюжет</t>
        </is>
      </c>
      <c r="C1590" s="2" t="n">
        <v>11157</v>
      </c>
      <c r="D1590" s="3" t="inlineStr">
        <is>
          <t>Идиот (фильм-балет)</t>
        </is>
      </c>
      <c r="E1590" s="2" t="n">
        <v>1987</v>
      </c>
      <c r="F1590" s="2" t="inlineStr">
        <is>
          <t>фильм-спектакль</t>
        </is>
      </c>
      <c r="G1590" s="2" t="inlineStr">
        <is>
          <t>Творческое объединение «Экран» Гостелерадио СССР</t>
        </is>
      </c>
      <c r="H1590" s="2" t="n">
        <v>262</v>
      </c>
      <c r="I1590" s="2" t="inlineStr"/>
      <c r="J1590" s="2" t="inlineStr">
        <is>
          <t>да</t>
        </is>
      </c>
      <c r="K1590" s="3" t="inlineStr">
        <is>
          <t>По роману Ф.М. Достоевского «Идиот» на музыку Шестой симфонии П.И. Чайковского.
Предваряет фильм вступительное слово Иннокентия Смоктуновского, что само по себе является маленьким спектаклем внутри фильма.
В фильме участвуют артисты театра балета Бориса Эйфмана.</t>
        </is>
      </c>
      <c r="L1590" s="2" t="inlineStr">
        <is>
          <t>https://www.kino-teatr.ru/teatr/movie/93538/annot/</t>
        </is>
      </c>
      <c r="M1590" s="2">
        <f>HYPERLINK("https://ru.wikipedia.org/w/index.php?search=%D0%98%D0%B4%D0%B8%D0%BE%D1%82%20%28%D1%84%D0%B8%D0%BB%D1%8C%D0%BC-%D0%B1%D0%B0%D0%BB%D0%B5%D1%82%29%201987%20%D1%84%D0%B8%D0%BB%D1%8C%D0%BC","искать")</f>
        <v/>
      </c>
      <c r="N1590" s="3" t="n"/>
      <c r="O1590" s="2" t="n"/>
    </row>
    <row r="1591">
      <c r="A1591" s="2" t="n">
        <v>1590</v>
      </c>
      <c r="B1591" s="2" t="inlineStr">
        <is>
          <t>не сюжет</t>
        </is>
      </c>
      <c r="C1591" s="2" t="n">
        <v>11208</v>
      </c>
      <c r="D1591" s="3" t="inlineStr">
        <is>
          <t>Каса маре</t>
        </is>
      </c>
      <c r="E1591" s="2" t="n">
        <v>1988</v>
      </c>
      <c r="F1591" s="2" t="inlineStr">
        <is>
          <t>фильм-спектакль</t>
        </is>
      </c>
      <c r="G1591" s="2" t="inlineStr">
        <is>
          <t>Литовское телевидение</t>
        </is>
      </c>
      <c r="H1591" s="2" t="n">
        <v>262</v>
      </c>
      <c r="I1591" s="2" t="inlineStr"/>
      <c r="J1591" s="2" t="inlineStr">
        <is>
          <t>да</t>
        </is>
      </c>
      <c r="K1591" s="3" t="inlineStr">
        <is>
          <t>По пьесе молдавского писателя И.Друцэ.
Каса маре - в переводе с молдавского - красный угол дома, душа его, средоточие семейного счастья. Пьеса повествует о любви молодого и простодушного деревенского парня к мудрой и деликатной женщине забальзаковского возраста.</t>
        </is>
      </c>
      <c r="L1591" s="2" t="inlineStr">
        <is>
          <t>https://www.kino-teatr.ru/teatr/movie/107970/annot/</t>
        </is>
      </c>
      <c r="M1591" s="2">
        <f>HYPERLINK("https://ru.wikipedia.org/w/index.php?search=%D0%9A%D0%B0%D1%81%D0%B0%20%D0%BC%D0%B0%D1%80%D0%B5%201988%20%D1%84%D0%B8%D0%BB%D1%8C%D0%BC","искать")</f>
        <v/>
      </c>
      <c r="N1591" s="3" t="n"/>
      <c r="O1591" s="2" t="n"/>
    </row>
    <row r="1592">
      <c r="A1592" s="2" t="n">
        <v>1591</v>
      </c>
      <c r="B1592" s="2" t="inlineStr">
        <is>
          <t>не сюжет</t>
        </is>
      </c>
      <c r="C1592" s="2" t="n">
        <v>10803</v>
      </c>
      <c r="D1592" s="3" t="inlineStr">
        <is>
          <t>Идиот</t>
        </is>
      </c>
      <c r="E1592" s="2" t="n">
        <v>1979</v>
      </c>
      <c r="F1592" s="2" t="inlineStr">
        <is>
          <t>фильм-спектакль</t>
        </is>
      </c>
      <c r="G1592" s="2" t="inlineStr">
        <is>
          <t>Театр Вахтангова, ТО Экран</t>
        </is>
      </c>
      <c r="H1592" s="2" t="n">
        <v>263</v>
      </c>
      <c r="I1592" s="2" t="inlineStr"/>
      <c r="J1592" s="2" t="inlineStr">
        <is>
          <t>да</t>
        </is>
      </c>
      <c r="K1592" s="3" t="inlineStr">
        <is>
          <t>Инсценировка Ю.Олеши по роману Ф.Достоевского.
Легендарная постановка вахтанговского театра. Этот спектакль жил несколько десятилетий, его видели зрители разных стран. Это было серьезное, не поверхностное прочтение романа Достоевского — истории мрачной и тяжелой.</t>
        </is>
      </c>
      <c r="L1592" s="2" t="inlineStr">
        <is>
          <t>https://www.kino-teatr.ru/teatr/movie/80602/annot/</t>
        </is>
      </c>
      <c r="M1592" s="2">
        <f>HYPERLINK("https://ru.wikipedia.org/w/index.php?search=%D0%98%D0%B4%D0%B8%D0%BE%D1%82%201979%20%D1%84%D0%B8%D0%BB%D1%8C%D0%BC","искать")</f>
        <v/>
      </c>
      <c r="N1592" s="3" t="n"/>
      <c r="O1592" s="2" t="n"/>
    </row>
    <row r="1593">
      <c r="A1593" s="2" t="n">
        <v>1592</v>
      </c>
      <c r="B1593" s="2" t="inlineStr">
        <is>
          <t>не сюжет</t>
        </is>
      </c>
      <c r="C1593" s="2" t="n">
        <v>11378</v>
      </c>
      <c r="D1593" s="3" t="inlineStr">
        <is>
          <t>Маскарад (фильм-балет)</t>
        </is>
      </c>
      <c r="E1593" s="2" t="n">
        <v>1985</v>
      </c>
      <c r="F1593" s="2" t="inlineStr">
        <is>
          <t>фильм-опера/балет</t>
        </is>
      </c>
      <c r="G1593" s="2" t="inlineStr">
        <is>
          <t>ТО «Экран»</t>
        </is>
      </c>
      <c r="H1593" s="2" t="n">
        <v>263</v>
      </c>
      <c r="I1593" s="2" t="inlineStr"/>
      <c r="J1593" s="2" t="inlineStr">
        <is>
          <t>да</t>
        </is>
      </c>
      <c r="K1593" s="3" t="inlineStr">
        <is>
          <t>Фильм-балет Арама Хачатуряна по произведениям Михаила Лермонтова "Маскарад". Впервые этот балет был поставлен в 1982 году в Одессе. Хореографы – Наталия Рыженко и Виктор Смирнов-Голованов. В 1985 году была снята его киноверсия с Никитой Долгушиным в главной роли.</t>
        </is>
      </c>
      <c r="L1593" s="2" t="inlineStr">
        <is>
          <t>Кино_СССР телефильмы и пропуски включить в базу.xlsx</t>
        </is>
      </c>
      <c r="M1593" s="2">
        <f>HYPERLINK("https://ru.wikipedia.org/w/index.php?search=%D0%9C%D0%B0%D1%81%D0%BA%D0%B0%D1%80%D0%B0%D0%B4%20%28%D1%84%D0%B8%D0%BB%D1%8C%D0%BC-%D0%B1%D0%B0%D0%BB%D0%B5%D1%82%29%201985%20%D1%84%D0%B8%D0%BB%D1%8C%D0%BC","искать")</f>
        <v/>
      </c>
      <c r="N1593" s="3" t="n"/>
      <c r="O1593" s="2" t="n"/>
    </row>
    <row r="1594">
      <c r="A1594" s="2" t="n">
        <v>1593</v>
      </c>
      <c r="B1594" s="2" t="inlineStr">
        <is>
          <t>не сюжет</t>
        </is>
      </c>
      <c r="C1594" s="2" t="n">
        <v>8803</v>
      </c>
      <c r="D1594" s="3" t="inlineStr">
        <is>
          <t>Любовь - мелодия</t>
        </is>
      </c>
      <c r="E1594" s="2" t="n">
        <v>1974</v>
      </c>
      <c r="F1594" s="2" t="inlineStr">
        <is>
          <t>кинофильм</t>
        </is>
      </c>
      <c r="G1594" s="2" t="n"/>
      <c r="H1594" s="2" t="n">
        <v>264</v>
      </c>
      <c r="I1594" s="2" t="inlineStr"/>
      <c r="J1594" s="2" t="inlineStr">
        <is>
          <t>да</t>
        </is>
      </c>
      <c r="K1594" s="3" t="inlineStr">
        <is>
          <t>Музыкальный фильм о творчестве солиста Ленинградского государственного академического театра оперы и балета им. С.М.Кирова (ныне Мариинский театр) Константина Плужникова. Его красивый голос, умение проникнуть в образ героя, редкая музыкальность принесли ему успех.</t>
        </is>
      </c>
      <c r="L1594" s="2" t="inlineStr">
        <is>
          <t>Кино_СССР сводный каталог.xlsx: список фильмов (доп.)</t>
        </is>
      </c>
      <c r="M1594" s="2">
        <f>HYPERLINK("https://ru.wikipedia.org/w/index.php?search=%D0%9B%D1%8E%D0%B1%D0%BE%D0%B2%D1%8C%20-%20%D0%BC%D0%B5%D0%BB%D0%BE%D0%B4%D0%B8%D1%8F%201974%20%D1%84%D0%B8%D0%BB%D1%8C%D0%BC","искать")</f>
        <v/>
      </c>
      <c r="N1594" s="3" t="n"/>
      <c r="O1594" s="2" t="n"/>
    </row>
    <row r="1595">
      <c r="A1595" s="2" t="n">
        <v>1594</v>
      </c>
      <c r="B1595" s="2" t="inlineStr">
        <is>
          <t>не сюжет</t>
        </is>
      </c>
      <c r="C1595" s="2" t="n">
        <v>10830</v>
      </c>
      <c r="D1595" s="3" t="inlineStr">
        <is>
          <t>Альманах сатиры и юмора</t>
        </is>
      </c>
      <c r="E1595" s="2" t="n">
        <v>1980</v>
      </c>
      <c r="F1595" s="2" t="inlineStr">
        <is>
          <t>фильм-спектакль</t>
        </is>
      </c>
      <c r="G1595" s="2" t="inlineStr">
        <is>
          <t>Гл. ред. лит-драм программ</t>
        </is>
      </c>
      <c r="H1595" s="2" t="n">
        <v>264</v>
      </c>
      <c r="I1595" s="2" t="inlineStr"/>
      <c r="J1595" s="2" t="inlineStr">
        <is>
          <t>да</t>
        </is>
      </c>
      <c r="K1595" s="3" t="inlineStr">
        <is>
          <t>Комические истории, где «смех является единственным честным и благородным лицом» в интермедиях А.П.Чехова "Дорогая собака", В.Драгунского "Змея", В.Катаева "Шубка", отрывок оперетты И.Штрауса "Летучая мышь" (текст Н.Эрдмана), интермедия Г.Горина "Повязка на ноге".</t>
        </is>
      </c>
      <c r="L1595" s="2" t="inlineStr">
        <is>
          <t>https://www.kino-teatr.ru/teatr/movie/16368/annot/</t>
        </is>
      </c>
      <c r="M1595" s="2">
        <f>HYPERLINK("https://ru.wikipedia.org/w/index.php?search=%D0%90%D0%BB%D1%8C%D0%BC%D0%B0%D0%BD%D0%B0%D1%85%20%D1%81%D0%B0%D1%82%D0%B8%D1%80%D1%8B%20%D0%B8%20%D1%8E%D0%BC%D0%BE%D1%80%D0%B0%201980%20%D1%84%D0%B8%D0%BB%D1%8C%D0%BC","искать")</f>
        <v/>
      </c>
      <c r="N1595" s="3" t="n"/>
      <c r="O1595" s="2" t="n"/>
    </row>
    <row r="1596">
      <c r="A1596" s="2" t="n">
        <v>1595</v>
      </c>
      <c r="B1596" s="2" t="inlineStr">
        <is>
          <t>не сюжет</t>
        </is>
      </c>
      <c r="C1596" s="2" t="n">
        <v>7502</v>
      </c>
      <c r="D1596" s="3" t="inlineStr">
        <is>
          <t>День моих сыновей</t>
        </is>
      </c>
      <c r="E1596" s="2" t="n">
        <v>1972</v>
      </c>
      <c r="F1596" s="2" t="inlineStr">
        <is>
          <t>телефильм</t>
        </is>
      </c>
      <c r="G1596" s="2" t="inlineStr">
        <is>
          <t>Беларусьфильм</t>
        </is>
      </c>
      <c r="H1596" s="2" t="n">
        <v>265</v>
      </c>
      <c r="I1596" s="2" t="inlineStr"/>
      <c r="J1596" s="2" t="inlineStr">
        <is>
          <t>да</t>
        </is>
      </c>
      <c r="K1596" s="3" t="inlineStr">
        <is>
          <t>Телефильм об одном дне из жизни рабочего Петра Руднева и четырех его сыновей, которых Руднев воспитывал один после смерти жены. У каждого из членов семьи свои проблемы и заботы, но всех их объединяют трудолюбие, принципиальность, доброжелательное отношение к людям.</t>
        </is>
      </c>
      <c r="L1596" s="2" t="inlineStr">
        <is>
          <t>Кино_СССР сводный каталог.xlsx: список телефильмов</t>
        </is>
      </c>
      <c r="M1596" s="2">
        <f>HYPERLINK("https://ru.wikipedia.org/w/index.php?search=%D0%94%D0%B5%D0%BD%D1%8C%20%D0%BC%D0%BE%D0%B8%D1%85%20%D1%81%D1%8B%D0%BD%D0%BE%D0%B2%D0%B5%D0%B9%201972%20%D1%84%D0%B8%D0%BB%D1%8C%D0%BC","искать")</f>
        <v/>
      </c>
      <c r="N1596" s="3" t="n"/>
      <c r="O1596" s="2" t="n"/>
    </row>
    <row r="1597">
      <c r="A1597" s="2" t="n">
        <v>1596</v>
      </c>
      <c r="B1597" s="2" t="inlineStr">
        <is>
          <t>не сюжет</t>
        </is>
      </c>
      <c r="C1597" s="2" t="n">
        <v>9202</v>
      </c>
      <c r="D1597" s="3" t="inlineStr">
        <is>
          <t>Анекдот</t>
        </is>
      </c>
      <c r="E1597" s="2" t="n">
        <v>1989</v>
      </c>
      <c r="F1597" s="2" t="inlineStr">
        <is>
          <t>кинофильм</t>
        </is>
      </c>
      <c r="G1597" s="2" t="n"/>
      <c r="H1597" s="2" t="n">
        <v>265</v>
      </c>
      <c r="I1597" s="2" t="inlineStr"/>
      <c r="J1597" s="2" t="inlineStr">
        <is>
          <t>да</t>
        </is>
      </c>
      <c r="K1597" s="3" t="inlineStr">
        <is>
          <t>Фильм в жанре социального памфлета о деятельности партийных работников и государственных чиновников, поступки которых не сходятся с их словами. Показаны абсурд конца 1980-х, продажность чиновников и прокуроров, глупость и алчность партийных и комсомольских вожаков.</t>
        </is>
      </c>
      <c r="L1597" s="2" t="inlineStr">
        <is>
          <t>Кино_СССР сводный каталог.xlsx: список фильмов (доп.)</t>
        </is>
      </c>
      <c r="M1597" s="2">
        <f>HYPERLINK("https://ru.wikipedia.org/w/index.php?search=%D0%90%D0%BD%D0%B5%D0%BA%D0%B4%D0%BE%D1%82%201989%20%D1%84%D0%B8%D0%BB%D1%8C%D0%BC","искать")</f>
        <v/>
      </c>
      <c r="N1597" s="3" t="n"/>
      <c r="O1597" s="2" t="n"/>
    </row>
    <row r="1598">
      <c r="A1598" s="2" t="n">
        <v>1597</v>
      </c>
      <c r="B1598" s="2" t="inlineStr">
        <is>
          <t>не сюжет</t>
        </is>
      </c>
      <c r="C1598" s="2" t="n">
        <v>10793</v>
      </c>
      <c r="D1598" s="3" t="inlineStr">
        <is>
          <t>Василий Тёркин</t>
        </is>
      </c>
      <c r="E1598" s="2" t="n">
        <v>1979</v>
      </c>
      <c r="F1598" s="2" t="inlineStr">
        <is>
          <t>фильм-спектакль</t>
        </is>
      </c>
      <c r="G1598" s="2" t="n"/>
      <c r="H1598" s="2" t="n">
        <v>265</v>
      </c>
      <c r="I1598" s="2" t="inlineStr"/>
      <c r="J1598" s="2" t="inlineStr">
        <is>
          <t>да</t>
        </is>
      </c>
      <c r="K1598" s="3" t="inlineStr">
        <is>
          <t>Фильм-моноспектакль по одноименной поэме Александра Твардовского — «Василий Теркин».
Теркин - кто же он такой?
Скажем откровенно:
Просто парень сам собой
Он обыкновенный.
Впрочем, парень хоть куда.
Парень в этом роде
В каждой роте есть всегда,
Да и в каждом взводе.</t>
        </is>
      </c>
      <c r="L1598" s="2" t="inlineStr">
        <is>
          <t>https://www.kino-teatr.ru/teatr/movie/89964/annot/</t>
        </is>
      </c>
      <c r="M1598" s="2">
        <f>HYPERLINK("https://ru.wikipedia.org/w/index.php?search=%D0%92%D0%B0%D1%81%D0%B8%D0%BB%D0%B8%D0%B9%20%D0%A2%D1%91%D1%80%D0%BA%D0%B8%D0%BD%201979%20%D1%84%D0%B8%D0%BB%D1%8C%D0%BC","искать")</f>
        <v/>
      </c>
      <c r="N1598" s="3" t="n"/>
      <c r="O1598" s="2" t="n"/>
    </row>
    <row r="1599">
      <c r="A1599" s="2" t="n">
        <v>1598</v>
      </c>
      <c r="B1599" s="2" t="inlineStr">
        <is>
          <t>не сюжет</t>
        </is>
      </c>
      <c r="C1599" s="2" t="n">
        <v>11321</v>
      </c>
      <c r="D1599" s="3" t="inlineStr">
        <is>
          <t>Свалка</t>
        </is>
      </c>
      <c r="E1599" s="2" t="n">
        <v>1990</v>
      </c>
      <c r="F1599" s="2" t="inlineStr">
        <is>
          <t>фильм-спектакль</t>
        </is>
      </c>
      <c r="G1599" s="2" t="inlineStr">
        <is>
          <t>Главная редакция литературно-художественных программ ЦТ</t>
        </is>
      </c>
      <c r="H1599" s="2" t="n">
        <v>265</v>
      </c>
      <c r="I1599" s="2" t="inlineStr"/>
      <c r="J1599" s="2" t="inlineStr">
        <is>
          <t>да</t>
        </is>
      </c>
      <c r="K1599" s="3" t="inlineStr">
        <is>
          <t>По одноименной пьесе Алексея Дударева в постановке Московского областного театра драмы и комедии (г. Ногинск).
Герои пьесы - бродяги, живущие на городской свалке. Они влачат жалкое существование, но в каждом из них жива страдающая душа, стемящаяся обрести прощение.</t>
        </is>
      </c>
      <c r="L1599" s="2" t="inlineStr">
        <is>
          <t>https://www.kino-teatr.ru/teatr/movie/108059/annot/</t>
        </is>
      </c>
      <c r="M1599" s="2">
        <f>HYPERLINK("https://ru.wikipedia.org/w/index.php?search=%D0%A1%D0%B2%D0%B0%D0%BB%D0%BA%D0%B0%201990%20%D1%84%D0%B8%D0%BB%D1%8C%D0%BC","искать")</f>
        <v/>
      </c>
      <c r="N1599" s="3" t="n"/>
      <c r="O1599" s="2" t="n"/>
    </row>
    <row r="1600">
      <c r="A1600" s="2" t="n">
        <v>1599</v>
      </c>
      <c r="B1600" s="2" t="inlineStr">
        <is>
          <t>не сюжет</t>
        </is>
      </c>
      <c r="C1600" s="2" t="n">
        <v>9414</v>
      </c>
      <c r="D1600" s="3" t="inlineStr">
        <is>
          <t>Кемине</t>
        </is>
      </c>
      <c r="E1600" s="2" t="n">
        <v>1991</v>
      </c>
      <c r="F1600" s="2" t="inlineStr">
        <is>
          <t>кинофильм</t>
        </is>
      </c>
      <c r="G1600" s="2" t="n"/>
      <c r="H1600" s="2" t="n">
        <v>266</v>
      </c>
      <c r="I1600" s="2" t="inlineStr"/>
      <c r="J1600" s="2" t="inlineStr">
        <is>
          <t>да</t>
        </is>
      </c>
      <c r="K1600" s="3" t="inlineStr">
        <is>
          <t>Историко-биографический фильм. Кемине — классик туркменской литературы, вошедший в историю восточной культуры как выдающийся поэт-сатирик, философ, личность подлинно трагическая в своих поисках истины и справедливости. Авторы фильма предлагают свою версию его жизни.</t>
        </is>
      </c>
      <c r="L1600" s="2" t="inlineStr">
        <is>
          <t>Кино_СССР сводный каталог.xlsx: список фильмов (доп.)</t>
        </is>
      </c>
      <c r="M1600" s="2">
        <f>HYPERLINK("https://ru.wikipedia.org/w/index.php?search=%D0%9A%D0%B5%D0%BC%D0%B8%D0%BD%D0%B5%201991%20%D1%84%D0%B8%D0%BB%D1%8C%D0%BC","искать")</f>
        <v/>
      </c>
      <c r="N1600" s="3" t="n"/>
      <c r="O1600" s="2" t="n"/>
    </row>
    <row r="1601">
      <c r="A1601" s="2" t="n">
        <v>1600</v>
      </c>
      <c r="B1601" s="2" t="inlineStr">
        <is>
          <t>не сюжет</t>
        </is>
      </c>
      <c r="C1601" s="2" t="n">
        <v>9147</v>
      </c>
      <c r="D1601" s="3" t="inlineStr">
        <is>
          <t>Хочу жениться</t>
        </is>
      </c>
      <c r="E1601" s="2" t="n">
        <v>1983</v>
      </c>
      <c r="F1601" s="2" t="inlineStr">
        <is>
          <t>кинофильм</t>
        </is>
      </c>
      <c r="G1601" s="2" t="n"/>
      <c r="H1601" s="2" t="n">
        <v>267</v>
      </c>
      <c r="I1601" s="2" t="inlineStr"/>
      <c r="J1601" s="2" t="inlineStr">
        <is>
          <t>да</t>
        </is>
      </c>
      <c r="K1601" s="3" t="inlineStr">
        <is>
          <t>По мотивам рассказов Абдурагим бек Аквердива "Мирза Сафар", "Папаг" и "Бомба". Кинокомедия по мотивам произведений классика азербайджанской литературы Абдурагима Ахвердова, автора сатирических рассказов и новелл о жизни и нравах азербайджанского общества начала века.</t>
        </is>
      </c>
      <c r="L1601" s="2" t="inlineStr">
        <is>
          <t>Кино_СССР сводный каталог.xlsx: список фильмов (доп.)</t>
        </is>
      </c>
      <c r="M1601" s="2">
        <f>HYPERLINK("https://ru.wikipedia.org/w/index.php?search=%D0%A5%D0%BE%D1%87%D1%83%20%D0%B6%D0%B5%D0%BD%D0%B8%D1%82%D1%8C%D1%81%D1%8F%201983%20%D1%84%D0%B8%D0%BB%D1%8C%D0%BC","искать")</f>
        <v/>
      </c>
      <c r="N1601" s="3" t="n"/>
      <c r="O1601" s="2" t="n"/>
    </row>
    <row r="1602">
      <c r="A1602" s="2" t="n">
        <v>1601</v>
      </c>
      <c r="B1602" s="2" t="inlineStr">
        <is>
          <t>не сюжет</t>
        </is>
      </c>
      <c r="C1602" s="2" t="n">
        <v>11380</v>
      </c>
      <c r="D1602" s="3" t="inlineStr">
        <is>
          <t>Принц и нищий (фильм-балет)</t>
        </is>
      </c>
      <c r="E1602" s="2" t="n">
        <v>1985</v>
      </c>
      <c r="F1602" s="2" t="inlineStr">
        <is>
          <t>фильм-опера/балет</t>
        </is>
      </c>
      <c r="G1602" s="2" t="n"/>
      <c r="H1602" s="2" t="n">
        <v>268</v>
      </c>
      <c r="I1602" s="2" t="inlineStr"/>
      <c r="J1602" s="2" t="inlineStr">
        <is>
          <t>да</t>
        </is>
      </c>
      <c r="K1602" s="3" t="inlineStr">
        <is>
          <t>Фильм-балет по мотивам одноименной повести Марка Твена. При участии Ленинградской балетной группы «Хореографической миниатюры» и оркестра Киевского театра, под управлением дирижера Е. Колобова. Художественный руководитель Аскольд Макаров. Балетмейстер Наталья Волкова.</t>
        </is>
      </c>
      <c r="L1602" s="2" t="inlineStr">
        <is>
          <t>Кино_СССР телефильмы и пропуски включить в базу.xlsx</t>
        </is>
      </c>
      <c r="M1602" s="2">
        <f>HYPERLINK("https://ru.wikipedia.org/w/index.php?search=%D0%9F%D1%80%D0%B8%D0%BD%D1%86%20%D0%B8%20%D0%BD%D0%B8%D1%89%D0%B8%D0%B9%20%28%D1%84%D0%B8%D0%BB%D1%8C%D0%BC-%D0%B1%D0%B0%D0%BB%D0%B5%D1%82%29%201985%20%D1%84%D0%B8%D0%BB%D1%8C%D0%BC","искать")</f>
        <v/>
      </c>
      <c r="N1602" s="3" t="n"/>
      <c r="O1602" s="2" t="n"/>
    </row>
    <row r="1603">
      <c r="A1603" s="2" t="n">
        <v>1602</v>
      </c>
      <c r="B1603" s="2" t="inlineStr">
        <is>
          <t>не сюжет</t>
        </is>
      </c>
      <c r="C1603" s="2" t="n">
        <v>8143</v>
      </c>
      <c r="D1603" s="3" t="inlineStr">
        <is>
          <t>Поединок</t>
        </is>
      </c>
      <c r="E1603" s="2" t="n">
        <v>1984</v>
      </c>
      <c r="F1603" s="2" t="inlineStr">
        <is>
          <t>телефильм</t>
        </is>
      </c>
      <c r="G1603" s="2" t="n"/>
      <c r="H1603" s="2" t="n">
        <v>271</v>
      </c>
      <c r="I1603" s="2" t="inlineStr"/>
      <c r="J1603" s="2" t="inlineStr">
        <is>
          <t>да</t>
        </is>
      </c>
      <c r="K1603" s="3" t="inlineStr">
        <is>
          <t>Телефильм по одноименной пьесе Н.Матуковского в постановке Белорусского государственнного драматического театра имени Якуба Коласа. О руководителе партизанского движения в годы Великой Отечественной войны в Белоруссии Константине Сергеевиче Заслонове. Постановка Б.Эрина.</t>
        </is>
      </c>
      <c r="L1603" s="2" t="inlineStr">
        <is>
          <t>Кино_СССР сводный каталог.xlsx: список телефильмов</t>
        </is>
      </c>
      <c r="M1603" s="2">
        <f>HYPERLINK("https://ru.wikipedia.org/w/index.php?search=%D0%9F%D0%BE%D0%B5%D0%B4%D0%B8%D0%BD%D0%BE%D0%BA%201984%20%D1%84%D0%B8%D0%BB%D1%8C%D0%BC","искать")</f>
        <v/>
      </c>
      <c r="N1603" s="3" t="n"/>
      <c r="O1603" s="2" t="n"/>
    </row>
    <row r="1604">
      <c r="A1604" s="2" t="n">
        <v>1603</v>
      </c>
      <c r="B1604" s="2" t="inlineStr">
        <is>
          <t>не сюжет</t>
        </is>
      </c>
      <c r="C1604" s="2" t="n">
        <v>9492</v>
      </c>
      <c r="D1604" s="3" t="inlineStr">
        <is>
          <t>Начало неведомого века (киноальманах)</t>
        </is>
      </c>
      <c r="E1604" s="2" t="n">
        <v>1967</v>
      </c>
      <c r="F1604" s="2" t="inlineStr">
        <is>
          <t>кинофильм</t>
        </is>
      </c>
      <c r="G1604" s="2" t="n"/>
      <c r="H1604" s="2" t="n">
        <v>271</v>
      </c>
      <c r="I1604" s="2" t="inlineStr"/>
      <c r="J1604" s="2" t="inlineStr">
        <is>
          <t>да</t>
        </is>
      </c>
      <c r="K1604" s="3" t="inlineStr">
        <is>
          <t>Киноальманах «Начало неведомого века» начинал сниматься как фильм, состоящий из трех новелл: * «Ангел» (1967) (реж. А.Смирнов); * «Мотря» (1969)(реж. Г.Габай); * «Родина электричества» (1967) (реж. Л.Шепитько). Новелла "Мотря" вышла на экраны отдельно, в сентябре 1969 г.</t>
        </is>
      </c>
      <c r="L1604" s="2" t="inlineStr">
        <is>
          <t>Кино_СССР сводный каталог.xlsx: список фильмов (доп.)</t>
        </is>
      </c>
      <c r="M1604" s="2">
        <f>HYPERLINK("https://ru.wikipedia.org/w/index.php?search=%D0%9D%D0%B0%D1%87%D0%B0%D0%BB%D0%BE%20%D0%BD%D0%B5%D0%B2%D0%B5%D0%B4%D0%BE%D0%BC%D0%BE%D0%B3%D0%BE%20%D0%B2%D0%B5%D0%BA%D0%B0%20%28%D0%BA%D0%B8%D0%BD%D0%BE%D0%B0%D0%BB%D1%8C%D0%BC%D0%B0%D0%BD%D0%B0%D1%85%29%201967%20%D1%84%D0%B8%D0%BB%D1%8C%D0%BC","искать")</f>
        <v/>
      </c>
      <c r="N1604" s="3" t="n"/>
      <c r="O1604" s="2" t="n"/>
    </row>
    <row r="1605">
      <c r="A1605" s="2" t="n">
        <v>1604</v>
      </c>
      <c r="B1605" s="2" t="inlineStr">
        <is>
          <t>не сюжет</t>
        </is>
      </c>
      <c r="C1605" s="2" t="n">
        <v>7229</v>
      </c>
      <c r="D1605" s="3" t="inlineStr">
        <is>
          <t>Бабур</t>
        </is>
      </c>
      <c r="E1605" s="2" t="n">
        <v>1990</v>
      </c>
      <c r="F1605" s="2" t="inlineStr">
        <is>
          <t>телефильм</t>
        </is>
      </c>
      <c r="G1605" s="2" t="n"/>
      <c r="H1605" s="2" t="n">
        <v>272</v>
      </c>
      <c r="I1605" s="2" t="inlineStr"/>
      <c r="J1605" s="2" t="inlineStr">
        <is>
          <t>да</t>
        </is>
      </c>
      <c r="K1605" s="3" t="inlineStr">
        <is>
          <t>Сериал снят по мотивам произведения известного узбекского советского писателя Пиримкула Кадырова «Звездные ночи» и рассказывает о жизни Захириддина Мухаммада Бабура, царя и военачальника, о печальной, но в то же время знаменитой и поучительной его жизни и творческом пути.</t>
        </is>
      </c>
      <c r="L1605" s="2" t="inlineStr">
        <is>
          <t>Кино_СССР сводный каталог.xlsx: список телефильмов</t>
        </is>
      </c>
      <c r="M1605" s="2">
        <f>HYPERLINK("https://ru.wikipedia.org/w/index.php?search=%D0%91%D0%B0%D0%B1%D1%83%D1%80%201990%20%D1%84%D0%B8%D0%BB%D1%8C%D0%BC","искать")</f>
        <v/>
      </c>
      <c r="N1605" s="3" t="n"/>
      <c r="O1605" s="2" t="n"/>
    </row>
    <row r="1606">
      <c r="A1606" s="2" t="n">
        <v>1605</v>
      </c>
      <c r="B1606" s="2" t="inlineStr">
        <is>
          <t>не сюжет</t>
        </is>
      </c>
      <c r="C1606" s="2" t="n">
        <v>9343</v>
      </c>
      <c r="D1606" s="3" t="inlineStr">
        <is>
          <t>До свидания, мальчики</t>
        </is>
      </c>
      <c r="E1606" s="2" t="n">
        <v>1964</v>
      </c>
      <c r="F1606" s="2" t="inlineStr">
        <is>
          <t>кинофильм</t>
        </is>
      </c>
      <c r="G1606" s="2" t="n"/>
      <c r="H1606" s="2" t="n">
        <v>275</v>
      </c>
      <c r="I1606" s="2" t="inlineStr"/>
      <c r="J1606" s="2" t="inlineStr">
        <is>
          <t>да</t>
        </is>
      </c>
      <c r="K1606" s="3" t="inlineStr">
        <is>
          <t>Экранизация одноименной повести Бориса Балтера. О дружбе мальчишек, первой любви и смысле жизни, в которой завтра будет война... У фильма была трудная судьба. Многие фрагменты были вырезаны по цензурным соображениям, и авторский вариант пришел к зрителям только в конце 80-х.</t>
        </is>
      </c>
      <c r="L1606" s="2" t="inlineStr">
        <is>
          <t>Кино_СССР сводный каталог.xlsx: список фильмов (доп.)</t>
        </is>
      </c>
      <c r="M1606" s="2">
        <f>HYPERLINK("https://ru.wikipedia.org/w/index.php?search=%D0%94%D0%BE%20%D1%81%D0%B2%D0%B8%D0%B4%D0%B0%D0%BD%D0%B8%D1%8F%2C%20%D0%BC%D0%B0%D0%BB%D1%8C%D1%87%D0%B8%D0%BA%D0%B8%201964%20%D1%84%D0%B8%D0%BB%D1%8C%D0%BC","искать")</f>
        <v/>
      </c>
      <c r="N1606" s="3" t="n"/>
      <c r="O1606" s="2" t="n"/>
    </row>
    <row r="1607">
      <c r="A1607" s="2" t="n">
        <v>1606</v>
      </c>
      <c r="B1607" s="2" t="inlineStr">
        <is>
          <t>не сюжет</t>
        </is>
      </c>
      <c r="C1607" s="2" t="n">
        <v>8120</v>
      </c>
      <c r="D1607" s="3" t="inlineStr">
        <is>
          <t>По коням!</t>
        </is>
      </c>
      <c r="E1607" s="2" t="n">
        <v>1984</v>
      </c>
      <c r="F1607" s="2" t="inlineStr">
        <is>
          <t>телефильм</t>
        </is>
      </c>
      <c r="G1607" s="2" t="n"/>
      <c r="H1607" s="2" t="n">
        <v>276</v>
      </c>
      <c r="I1607" s="2" t="inlineStr"/>
      <c r="J1607" s="2" t="inlineStr">
        <is>
          <t>да</t>
        </is>
      </c>
      <c r="K1607" s="3" t="inlineStr">
        <is>
          <t>По мотивам рассказа Бориса Васильева "Великолепная шестёрка". Закончились летние каникулы. Уезжает из пионерского лагеря последняя смена. Торжественные проводы, на которых директор лагеря дает интервью группе с телевидения - все прошло замечательно, никаких серьезных проблем.</t>
        </is>
      </c>
      <c r="L1607" s="2" t="inlineStr">
        <is>
          <t>Кино_СССР сводный каталог.xlsx: список телефильмов</t>
        </is>
      </c>
      <c r="M1607" s="2">
        <f>HYPERLINK("https://ru.wikipedia.org/w/index.php?search=%D0%9F%D0%BE%20%D0%BA%D0%BE%D0%BD%D1%8F%D0%BC%21%201984%20%D1%84%D0%B8%D0%BB%D1%8C%D0%BC","искать")</f>
        <v/>
      </c>
      <c r="N1607" s="3" t="n"/>
      <c r="O1607" s="2" t="n"/>
    </row>
    <row r="1608">
      <c r="A1608" s="2" t="n">
        <v>1607</v>
      </c>
      <c r="B1608" s="2" t="inlineStr">
        <is>
          <t>не сюжет</t>
        </is>
      </c>
      <c r="C1608" s="2" t="n">
        <v>7877</v>
      </c>
      <c r="D1608" s="3" t="inlineStr">
        <is>
          <t>Мир хижинам, война дворцам</t>
        </is>
      </c>
      <c r="E1608" s="2" t="n">
        <v>1970</v>
      </c>
      <c r="F1608" s="2" t="inlineStr">
        <is>
          <t>телефильм</t>
        </is>
      </c>
      <c r="G1608" s="2" t="n"/>
      <c r="H1608" s="2" t="n">
        <v>277</v>
      </c>
      <c r="I1608" s="2" t="inlineStr"/>
      <c r="J1608" s="2" t="inlineStr">
        <is>
          <t>да</t>
        </is>
      </c>
      <c r="K1608" s="3" t="inlineStr">
        <is>
          <t>Телефильм. Экранизация дилогии Юрия Смолича "Мир хижинам, война дворцам" и "Ревёт и стонет Днепр широкий". Об установлении советской власти на Украине в 1917-18 годах. Наряду с показом судеб вымышленных персонажей в фильме воссозданы образы исторических деятелей этого периода.</t>
        </is>
      </c>
      <c r="L1608" s="2" t="inlineStr">
        <is>
          <t>Кино_СССР сводный каталог.xlsx: список телефильмов</t>
        </is>
      </c>
      <c r="M1608" s="2">
        <f>HYPERLINK("https://ru.wikipedia.org/w/index.php?search=%D0%9C%D0%B8%D1%80%20%D1%85%D0%B8%D0%B6%D0%B8%D0%BD%D0%B0%D0%BC%2C%20%D0%B2%D0%BE%D0%B9%D0%BD%D0%B0%20%D0%B4%D0%B2%D0%BE%D1%80%D1%86%D0%B0%D0%BC%201970%20%D1%84%D0%B8%D0%BB%D1%8C%D0%BC","искать")</f>
        <v/>
      </c>
      <c r="N1608" s="3" t="n"/>
      <c r="O1608" s="2" t="n"/>
    </row>
    <row r="1609">
      <c r="A1609" s="2" t="n">
        <v>1608</v>
      </c>
      <c r="B1609" s="2" t="inlineStr">
        <is>
          <t>не сюжет</t>
        </is>
      </c>
      <c r="C1609" s="2" t="n">
        <v>7199</v>
      </c>
      <c r="D1609" s="3" t="inlineStr">
        <is>
          <t>Аккорды долгой жизни</t>
        </is>
      </c>
      <c r="E1609" s="2" t="n">
        <v>1981</v>
      </c>
      <c r="F1609" s="2" t="inlineStr">
        <is>
          <t>телефильм</t>
        </is>
      </c>
      <c r="G1609" s="2" t="n"/>
      <c r="H1609" s="2" t="n">
        <v>279</v>
      </c>
      <c r="I1609" s="2" t="inlineStr"/>
      <c r="J1609" s="2" t="inlineStr">
        <is>
          <t>да</t>
        </is>
      </c>
      <c r="K1609" s="3" t="inlineStr">
        <is>
          <t>Биографический телефильм, посвящённый жизни и творчеству выдающегося азербайджанского композитора Узеира Гаджибекова. В фильме использованы отрывки из музыкальных произведений Гаджибекова («Аршин мал алан», «Кёроглы», «Лейли и Меджнун», «Не та, так эта») и материалы кинохроники.</t>
        </is>
      </c>
      <c r="L1609" s="2" t="inlineStr">
        <is>
          <t>Кино_СССР сводный каталог.xlsx: список телефильмов</t>
        </is>
      </c>
      <c r="M1609" s="2">
        <f>HYPERLINK("https://ru.wikipedia.org/w/index.php?search=%D0%90%D0%BA%D0%BA%D0%BE%D1%80%D0%B4%D1%8B%20%D0%B4%D0%BE%D0%BB%D0%B3%D0%BE%D0%B9%20%D0%B6%D0%B8%D0%B7%D0%BD%D0%B8%201981%20%D1%84%D0%B8%D0%BB%D1%8C%D0%BC","искать")</f>
        <v/>
      </c>
      <c r="N1609" s="3" t="n"/>
      <c r="O1609" s="2" t="n"/>
    </row>
    <row r="1610">
      <c r="A1610" s="2" t="n">
        <v>1609</v>
      </c>
      <c r="B1610" s="2" t="inlineStr">
        <is>
          <t>не сюжет</t>
        </is>
      </c>
      <c r="C1610" s="2" t="n">
        <v>9474</v>
      </c>
      <c r="D1610" s="3" t="inlineStr">
        <is>
          <t>Милый Эп</t>
        </is>
      </c>
      <c r="E1610" s="2" t="n">
        <v>1991</v>
      </c>
      <c r="F1610" s="2" t="inlineStr">
        <is>
          <t>кинофильм</t>
        </is>
      </c>
      <c r="G1610" s="2" t="n"/>
      <c r="H1610" s="2" t="n">
        <v>279</v>
      </c>
      <c r="I1610" s="2" t="inlineStr"/>
      <c r="J1610" s="2" t="inlineStr">
        <is>
          <t>да</t>
        </is>
      </c>
      <c r="K1610" s="3" t="inlineStr">
        <is>
          <t>По одноименной повести Геннадия Михасенко. Взяв за основу повесть о жизни старшеклассников, опубликованную в журнале "Юность" в середине 70-х, режиссер перенес действие в современность, оставив при этом нетронутыми тексты диалогов. Этот контраст произвел неожиданное впечатление.</t>
        </is>
      </c>
      <c r="L1610" s="2" t="inlineStr">
        <is>
          <t>Кино_СССР сводный каталог.xlsx: список фильмов (доп.)</t>
        </is>
      </c>
      <c r="M1610" s="2">
        <f>HYPERLINK("https://ru.wikipedia.org/w/index.php?search=%D0%9C%D0%B8%D0%BB%D1%8B%D0%B9%20%D0%AD%D0%BF%201991%20%D1%84%D0%B8%D0%BB%D1%8C%D0%BC","искать")</f>
        <v/>
      </c>
      <c r="N1610" s="3" t="n"/>
      <c r="O1610" s="2" t="n"/>
    </row>
    <row r="1611">
      <c r="A1611" s="2" t="n">
        <v>1610</v>
      </c>
      <c r="B1611" s="2" t="inlineStr">
        <is>
          <t>не сюжет</t>
        </is>
      </c>
      <c r="C1611" s="2" t="n">
        <v>10459</v>
      </c>
      <c r="D1611" s="3" t="inlineStr">
        <is>
          <t>Платон Кречет</t>
        </is>
      </c>
      <c r="E1611" s="2" t="n">
        <v>1972</v>
      </c>
      <c r="F1611" s="2" t="inlineStr">
        <is>
          <t>фильм-спектакль</t>
        </is>
      </c>
      <c r="G1611" s="2" t="inlineStr">
        <is>
          <t>Главная редакция лит-драм. программ</t>
        </is>
      </c>
      <c r="H1611" s="2" t="n">
        <v>279</v>
      </c>
      <c r="I1611" s="2" t="inlineStr"/>
      <c r="J1611" s="2" t="inlineStr">
        <is>
          <t>да</t>
        </is>
      </c>
      <c r="K1611" s="3" t="inlineStr">
        <is>
          <t>По одноименной пьесе А. Корнейчука в постановке Московского драматического театра на Малой Бронной.
О жизни советской интеллигенции 1930-х годов. В центре спектакля — талантливый хирург Платон Кречет, человек, все мысли и труд которого направлены на продление человеческой жизни.</t>
        </is>
      </c>
      <c r="L1611" s="2" t="inlineStr">
        <is>
          <t>https://www.kino-teatr.ru/teatr/movie/81469/annot/</t>
        </is>
      </c>
      <c r="M1611" s="2">
        <f>HYPERLINK("https://ru.wikipedia.org/w/index.php?search=%D0%9F%D0%BB%D0%B0%D1%82%D0%BE%D0%BD%20%D0%9A%D1%80%D0%B5%D1%87%D0%B5%D1%82%201972%20%D1%84%D0%B8%D0%BB%D1%8C%D0%BC","искать")</f>
        <v/>
      </c>
      <c r="N1611" s="3" t="n"/>
      <c r="O1611" s="2" t="n"/>
    </row>
    <row r="1612">
      <c r="A1612" s="2" t="n">
        <v>1611</v>
      </c>
      <c r="B1612" s="2" t="inlineStr">
        <is>
          <t>не сюжет</t>
        </is>
      </c>
      <c r="C1612" s="2" t="n">
        <v>8705</v>
      </c>
      <c r="D1612" s="3" t="inlineStr">
        <is>
          <t>Долина предков</t>
        </is>
      </c>
      <c r="E1612" s="2" t="n">
        <v>1989</v>
      </c>
      <c r="F1612" s="2" t="inlineStr">
        <is>
          <t>кинофильм</t>
        </is>
      </c>
      <c r="G1612" s="2" t="n"/>
      <c r="H1612" s="2" t="n">
        <v>280</v>
      </c>
      <c r="I1612" s="2" t="inlineStr"/>
      <c r="J1612" s="2" t="inlineStr">
        <is>
          <t>да</t>
        </is>
      </c>
      <c r="K1612" s="3" t="inlineStr">
        <is>
          <t>Почти обезлюдел большой аул высоко в горах Кыргызстана. Болит за него душа не только у трех стариков, оберегающих пустые дома, но и у молодого парня, демобилизованного солдата. И почему бы не вернуться людям в такие замечательные места, где жизнь чище и здоровее, чем в городах?..</t>
        </is>
      </c>
      <c r="L1612" s="2" t="inlineStr">
        <is>
          <t>Кино_СССР сводный каталог.xlsx: список фильмов (доп.)</t>
        </is>
      </c>
      <c r="M1612" s="2">
        <f>HYPERLINK("https://ru.wikipedia.org/w/index.php?search=%D0%94%D0%BE%D0%BB%D0%B8%D0%BD%D0%B0%20%D0%BF%D1%80%D0%B5%D0%B4%D0%BA%D0%BE%D0%B2%201989%20%D1%84%D0%B8%D0%BB%D1%8C%D0%BC","искать")</f>
        <v/>
      </c>
      <c r="N1612" s="3" t="n"/>
      <c r="O1612" s="2" t="n"/>
    </row>
    <row r="1613">
      <c r="A1613" s="2" t="n">
        <v>1612</v>
      </c>
      <c r="B1613" s="2" t="inlineStr">
        <is>
          <t>не сюжет</t>
        </is>
      </c>
      <c r="C1613" s="2" t="n">
        <v>7205</v>
      </c>
      <c r="D1613" s="3" t="inlineStr">
        <is>
          <t>Алтунин принимает решение</t>
        </is>
      </c>
      <c r="E1613" s="2" t="n">
        <v>1978</v>
      </c>
      <c r="F1613" s="2" t="inlineStr">
        <is>
          <t>телефильм</t>
        </is>
      </c>
      <c r="G1613" s="2" t="n"/>
      <c r="H1613" s="2" t="n">
        <v>283</v>
      </c>
      <c r="I1613" s="2" t="inlineStr"/>
      <c r="J1613" s="2" t="inlineStr">
        <is>
          <t>да</t>
        </is>
      </c>
      <c r="K1613" s="3" t="inlineStr">
        <is>
          <t>Телесериал по мотивам романов Михаила Колесникова "Изотопы для Алтунина" и "Алтунин принимает решение". Кинороман о руководителе производства, в прошлом - рабочем кузницы машиностроительного завода. Фильм состоит из трех серий: "Кузнецы", "Изотопы для Алтунина", "Прерванный отпуск".</t>
        </is>
      </c>
      <c r="L1613" s="2" t="inlineStr">
        <is>
          <t>Кино_СССР сводный каталог.xlsx: список телефильмов</t>
        </is>
      </c>
      <c r="M1613" s="2">
        <f>HYPERLINK("https://ru.wikipedia.org/w/index.php?search=%D0%90%D0%BB%D1%82%D1%83%D0%BD%D0%B8%D0%BD%20%D0%BF%D1%80%D0%B8%D0%BD%D0%B8%D0%BC%D0%B0%D0%B5%D1%82%20%D1%80%D0%B5%D1%88%D0%B5%D0%BD%D0%B8%D0%B5%201978%20%D1%84%D0%B8%D0%BB%D1%8C%D0%BC","искать")</f>
        <v/>
      </c>
      <c r="N1613" s="3" t="n"/>
      <c r="O1613" s="2" t="n"/>
    </row>
    <row r="1614">
      <c r="A1614" s="2" t="n">
        <v>1613</v>
      </c>
      <c r="B1614" s="2" t="inlineStr">
        <is>
          <t>не сюжет</t>
        </is>
      </c>
      <c r="C1614" s="2" t="n">
        <v>7206</v>
      </c>
      <c r="D1614" s="3" t="inlineStr">
        <is>
          <t>Алые погоны</t>
        </is>
      </c>
      <c r="E1614" s="2" t="n">
        <v>1980</v>
      </c>
      <c r="F1614" s="2" t="inlineStr">
        <is>
          <t>телефильм</t>
        </is>
      </c>
      <c r="G1614" s="2" t="inlineStr">
        <is>
          <t>к/с им. Довженко</t>
        </is>
      </c>
      <c r="H1614" s="2" t="n">
        <v>283</v>
      </c>
      <c r="I1614" s="2" t="inlineStr"/>
      <c r="J1614" s="2" t="inlineStr">
        <is>
          <t>да</t>
        </is>
      </c>
      <c r="K1614" s="3" t="inlineStr">
        <is>
          <t>Телесериал по мотивам одноименного романа Б. Изюмского. О судьбах воспитанников суворовского училища, достойно принявших эстафету от своих командиров в годы Великой Отечественной войны, и о сегодняшнем дне Советской Армии, формировании характеров, воспитании мужества молодых воинов.</t>
        </is>
      </c>
      <c r="L1614" s="2" t="inlineStr">
        <is>
          <t>Кино_СССР сводный каталог.xlsx: список телефильмов</t>
        </is>
      </c>
      <c r="M1614" s="2">
        <f>HYPERLINK("https://ru.wikipedia.org/w/index.php?search=%D0%90%D0%BB%D1%8B%D0%B5%20%D0%BF%D0%BE%D0%B3%D0%BE%D0%BD%D1%8B%201980%20%D1%84%D0%B8%D0%BB%D1%8C%D0%BC","искать")</f>
        <v/>
      </c>
      <c r="N1614" s="3" t="n"/>
      <c r="O1614" s="2" t="n"/>
    </row>
    <row r="1615">
      <c r="A1615" s="2" t="n">
        <v>1614</v>
      </c>
      <c r="B1615" s="2" t="inlineStr">
        <is>
          <t>не сюжет</t>
        </is>
      </c>
      <c r="C1615" s="2" t="n">
        <v>8082</v>
      </c>
      <c r="D1615" s="3" t="inlineStr">
        <is>
          <t>Паруса</t>
        </is>
      </c>
      <c r="E1615" s="2" t="n">
        <v>1977</v>
      </c>
      <c r="F1615" s="2" t="inlineStr">
        <is>
          <t>телефильм</t>
        </is>
      </c>
      <c r="G1615" s="2" t="n"/>
      <c r="H1615" s="2" t="n">
        <v>283</v>
      </c>
      <c r="I1615" s="2" t="inlineStr"/>
      <c r="J1615" s="2" t="inlineStr">
        <is>
          <t>да</t>
        </is>
      </c>
      <c r="K1615" s="3" t="inlineStr">
        <is>
          <t>Киноповесть о шестнадцатилетних подростках, стоящих на пороге большой жизни и решающих вопросы выбора жизненного пути. В мореходное училище пришли ребят разных судеб, характеров, темпераментов, но объединенные любовью к морю и мечтой навсегда связать свою судьбу с профессией моряка.</t>
        </is>
      </c>
      <c r="L1615" s="2" t="inlineStr">
        <is>
          <t>Кино_СССР сводный каталог.xlsx: список телефильмов</t>
        </is>
      </c>
      <c r="M1615" s="2">
        <f>HYPERLINK("https://ru.wikipedia.org/w/index.php?search=%D0%9F%D0%B0%D1%80%D1%83%D1%81%D0%B0%201977%20%D1%84%D0%B8%D0%BB%D1%8C%D0%BC","искать")</f>
        <v/>
      </c>
      <c r="N1615" s="3" t="n"/>
      <c r="O1615" s="2" t="n"/>
    </row>
    <row r="1616">
      <c r="A1616" s="2" t="n">
        <v>1615</v>
      </c>
      <c r="B1616" s="2" t="inlineStr">
        <is>
          <t>не сюжет</t>
        </is>
      </c>
      <c r="C1616" s="2" t="n">
        <v>8320</v>
      </c>
      <c r="D1616" s="3" t="inlineStr">
        <is>
          <t>Сегодня и завтра</t>
        </is>
      </c>
      <c r="E1616" s="2" t="n">
        <v>1979</v>
      </c>
      <c r="F1616" s="2" t="inlineStr">
        <is>
          <t>телефильм</t>
        </is>
      </c>
      <c r="G1616" s="2" t="n"/>
      <c r="H1616" s="2" t="n">
        <v>284</v>
      </c>
      <c r="I1616" s="2" t="inlineStr"/>
      <c r="J1616" s="2" t="inlineStr">
        <is>
          <t>да</t>
        </is>
      </c>
      <c r="K1616" s="3" t="inlineStr">
        <is>
          <t>Производственная телевизионная драма по мотивам романа В.Попова «И это называется будни». В центре фильма - образ директора металлургического завода Кадышева. Фильм поднимает проблемы охраны окружающей среды, рассматривает вопрос о характере взаимоотношений руководителя и коллектива.</t>
        </is>
      </c>
      <c r="L1616" s="2" t="inlineStr">
        <is>
          <t>Кино_СССР сводный каталог.xlsx: список телефильмов</t>
        </is>
      </c>
      <c r="M1616" s="2">
        <f>HYPERLINK("https://ru.wikipedia.org/w/index.php?search=%D0%A1%D0%B5%D0%B3%D0%BE%D0%B4%D0%BD%D1%8F%20%D0%B8%20%D0%B7%D0%B0%D0%B2%D1%82%D1%80%D0%B0%201979%20%D1%84%D0%B8%D0%BB%D1%8C%D0%BC","искать")</f>
        <v/>
      </c>
      <c r="N1616" s="3" t="n"/>
      <c r="O1616" s="2" t="n"/>
    </row>
    <row r="1617">
      <c r="A1617" s="2" t="n">
        <v>1616</v>
      </c>
      <c r="B1617" s="2" t="inlineStr">
        <is>
          <t>не сюжет</t>
        </is>
      </c>
      <c r="C1617" s="2" t="n">
        <v>11033</v>
      </c>
      <c r="D1617" s="3" t="inlineStr">
        <is>
          <t>Осиное гнездо</t>
        </is>
      </c>
      <c r="E1617" s="2" t="n">
        <v>1984</v>
      </c>
      <c r="F1617" s="2" t="inlineStr">
        <is>
          <t>фильм-спектакль</t>
        </is>
      </c>
      <c r="G1617" s="2" t="inlineStr">
        <is>
          <t>Творческое объединение "Экран"</t>
        </is>
      </c>
      <c r="H1617" s="2" t="n">
        <v>284</v>
      </c>
      <c r="I1617" s="2" t="inlineStr"/>
      <c r="J1617" s="2" t="inlineStr">
        <is>
          <t>да</t>
        </is>
      </c>
      <c r="K1617" s="3" t="inlineStr">
        <is>
          <t>По одноименной комедии Александру Кирицеску в постановке Московского драматического театра имени К.С. Станиславского.
Действие происходит в Румынии 20-х годов. "Осиное гнездо" - это дом помещицы Анеты Дудуляну, в котором царят бездуховность, стяжательство и равнодушие к друг к другу.</t>
        </is>
      </c>
      <c r="L1617" s="2" t="inlineStr">
        <is>
          <t>https://www.kino-teatr.ru/teatr/movie/106843/annot/</t>
        </is>
      </c>
      <c r="M1617" s="2">
        <f>HYPERLINK("https://ru.wikipedia.org/w/index.php?search=%D0%9E%D1%81%D0%B8%D0%BD%D0%BE%D0%B5%20%D0%B3%D0%BD%D0%B5%D0%B7%D0%B4%D0%BE%201984%20%D1%84%D0%B8%D0%BB%D1%8C%D0%BC","искать")</f>
        <v/>
      </c>
      <c r="N1617" s="3" t="n"/>
      <c r="O1617" s="2" t="n"/>
    </row>
    <row r="1618">
      <c r="A1618" s="2" t="n">
        <v>1617</v>
      </c>
      <c r="B1618" s="2" t="inlineStr">
        <is>
          <t>не сюжет</t>
        </is>
      </c>
      <c r="C1618" s="2" t="n">
        <v>8561</v>
      </c>
      <c r="D1618" s="3" t="inlineStr">
        <is>
          <t>Чехарда</t>
        </is>
      </c>
      <c r="E1618" s="2" t="n">
        <v>1987</v>
      </c>
      <c r="F1618" s="2" t="inlineStr">
        <is>
          <t>телефильм</t>
        </is>
      </c>
      <c r="G1618" s="2" t="n"/>
      <c r="H1618" s="2" t="n">
        <v>285</v>
      </c>
      <c r="I1618" s="2" t="inlineStr"/>
      <c r="J1618" s="2" t="inlineStr">
        <is>
          <t>да</t>
        </is>
      </c>
      <c r="K1618" s="3" t="inlineStr">
        <is>
          <t>По мотивам повести Анатолия Алексина "Позавчера и послезавтра". Старому учителю пения, Виктору Макаровичу, очень дорога работа, которой он отдал лучшие годы своей жизни. Виктор Макарович одинок, у него нет семьи, ее заменили ученики-дети. Но он болен, руководить хором больше не может.</t>
        </is>
      </c>
      <c r="L1618" s="2" t="inlineStr">
        <is>
          <t>Кино_СССР сводный каталог.xlsx: список телефильмов</t>
        </is>
      </c>
      <c r="M1618" s="2">
        <f>HYPERLINK("https://ru.wikipedia.org/w/index.php?search=%D0%A7%D0%B5%D1%85%D0%B0%D1%80%D0%B4%D0%B0%201987%20%D1%84%D0%B8%D0%BB%D1%8C%D0%BC","искать")</f>
        <v/>
      </c>
      <c r="N1618" s="3" t="n"/>
      <c r="O1618" s="2" t="n"/>
    </row>
    <row r="1619">
      <c r="A1619" s="2" t="n">
        <v>1618</v>
      </c>
      <c r="B1619" s="2" t="inlineStr">
        <is>
          <t>не сюжет</t>
        </is>
      </c>
      <c r="C1619" s="2" t="n">
        <v>10804</v>
      </c>
      <c r="D1619" s="3" t="inlineStr">
        <is>
          <t>Интервью в Буэнос-Айресе</t>
        </is>
      </c>
      <c r="E1619" s="2" t="n">
        <v>1979</v>
      </c>
      <c r="F1619" s="2" t="inlineStr">
        <is>
          <t>фильм-спектакль</t>
        </is>
      </c>
      <c r="G1619" s="2" t="inlineStr">
        <is>
          <t>ГЛАВНАЯ РЕДАКЦИЯ ЛИТЕРАТУРНО-ДРАМАТИЧЕСКИХ ПРОГРАММ ЦТ</t>
        </is>
      </c>
      <c r="H1619" s="2" t="n">
        <v>287</v>
      </c>
      <c r="I1619" s="2" t="inlineStr"/>
      <c r="J1619" s="2" t="inlineStr">
        <is>
          <t>да</t>
        </is>
      </c>
      <c r="K1619" s="3" t="inlineStr">
        <is>
          <t>По одноименной пьесе Г.Боровика в постановке Московского академического театра имени Вл.Маяковского.
О трагических днях чилийской революции, ее непокоренных борцах и о тех, кто веря в абстрактное добро, невольно служил целям фашизма. В центре спектакля - образ журналиста Карлоса Бланко.</t>
        </is>
      </c>
      <c r="L1619" s="2" t="inlineStr">
        <is>
          <t>https://www.kino-teatr.ru/teatr/movie/81587/annot/</t>
        </is>
      </c>
      <c r="M1619" s="2">
        <f>HYPERLINK("https://ru.wikipedia.org/w/index.php?search=%D0%98%D0%BD%D1%82%D0%B5%D1%80%D0%B2%D1%8C%D1%8E%20%D0%B2%20%D0%91%D1%83%D1%8D%D0%BD%D0%BE%D1%81-%D0%90%D0%B9%D1%80%D0%B5%D1%81%D0%B5%201979%20%D1%84%D0%B8%D0%BB%D1%8C%D0%BC","искать")</f>
        <v/>
      </c>
      <c r="N1619" s="3" t="n"/>
      <c r="O1619" s="2" t="n"/>
    </row>
    <row r="1620">
      <c r="A1620" s="2" t="n">
        <v>1619</v>
      </c>
      <c r="B1620" s="2" t="inlineStr">
        <is>
          <t>не сюжет</t>
        </is>
      </c>
      <c r="C1620" s="2" t="n">
        <v>7248</v>
      </c>
      <c r="D1620" s="3" t="inlineStr">
        <is>
          <t>Беньяминас Кордушас</t>
        </is>
      </c>
      <c r="E1620" s="2" t="n">
        <v>1986</v>
      </c>
      <c r="F1620" s="2" t="inlineStr">
        <is>
          <t>телефильм</t>
        </is>
      </c>
      <c r="G1620" s="2" t="n"/>
      <c r="H1620" s="2" t="n">
        <v>288</v>
      </c>
      <c r="I1620" s="2" t="inlineStr"/>
      <c r="J1620" s="2" t="inlineStr">
        <is>
          <t>да</t>
        </is>
      </c>
      <c r="K1620" s="3" t="inlineStr">
        <is>
          <t>Фильм поставлен по одноимённому роману Йонаса Марцинкявичюса. Картина рассказывает о жизни литовского поместного дворянства в период между двумя войнами, о желании жить прежней жизнью. Но новые времена диктуют новые условия, появляются новые ценности, и верность прежним идеалам обречена.</t>
        </is>
      </c>
      <c r="L1620" s="2" t="inlineStr">
        <is>
          <t>Кино_СССР сводный каталог.xlsx: список телефильмов</t>
        </is>
      </c>
      <c r="M1620" s="2">
        <f>HYPERLINK("https://ru.wikipedia.org/w/index.php?search=%D0%91%D0%B5%D0%BD%D1%8C%D1%8F%D0%BC%D0%B8%D0%BD%D0%B0%D1%81%20%D0%9A%D0%BE%D1%80%D0%B4%D1%83%D1%88%D0%B0%D1%81%201986%20%D1%84%D0%B8%D0%BB%D1%8C%D0%BC","искать")</f>
        <v/>
      </c>
      <c r="N1620" s="3" t="n"/>
      <c r="O1620" s="2" t="n"/>
    </row>
    <row r="1621">
      <c r="A1621" s="2" t="n">
        <v>1620</v>
      </c>
      <c r="B1621" s="2" t="inlineStr">
        <is>
          <t>не сюжет</t>
        </is>
      </c>
      <c r="C1621" s="2" t="n">
        <v>7752</v>
      </c>
      <c r="D1621" s="3" t="inlineStr">
        <is>
          <t>Кончина</t>
        </is>
      </c>
      <c r="E1621" s="2" t="n">
        <v>1989</v>
      </c>
      <c r="F1621" s="2" t="inlineStr">
        <is>
          <t>телефильм</t>
        </is>
      </c>
      <c r="G1621" s="2" t="n"/>
      <c r="H1621" s="2" t="n">
        <v>288</v>
      </c>
      <c r="I1621" s="2" t="inlineStr"/>
      <c r="J1621" s="2" t="inlineStr">
        <is>
          <t>да</t>
        </is>
      </c>
      <c r="K1621" s="3" t="inlineStr">
        <is>
          <t>Телефильм по мотивам одноименной повести Владимира Тендрякова. История жизни двух односельчан в период 1920-50-х годов. Кризисное состояние колхозного строя показано на примере не разваливающегося, а весьма крепкого хозяйства. Фильм вскрывает массу моральных и экономических противоречий.</t>
        </is>
      </c>
      <c r="L1621" s="2" t="inlineStr">
        <is>
          <t>Кино_СССР сводный каталог.xlsx: список телефильмов</t>
        </is>
      </c>
      <c r="M1621" s="2">
        <f>HYPERLINK("https://ru.wikipedia.org/w/index.php?search=%D0%9A%D0%BE%D0%BD%D1%87%D0%B8%D0%BD%D0%B0%201989%20%D1%84%D0%B8%D0%BB%D1%8C%D0%BC","искать")</f>
        <v/>
      </c>
      <c r="N1621" s="3" t="n"/>
      <c r="O1621" s="2" t="n"/>
    </row>
    <row r="1622">
      <c r="A1622" s="2" t="n">
        <v>1621</v>
      </c>
      <c r="B1622" s="2" t="inlineStr">
        <is>
          <t>не сюжет</t>
        </is>
      </c>
      <c r="C1622" s="2" t="n">
        <v>8605</v>
      </c>
      <c r="D1622" s="3" t="inlineStr">
        <is>
          <t>Юности первое утро</t>
        </is>
      </c>
      <c r="E1622" s="2" t="n">
        <v>1979</v>
      </c>
      <c r="F1622" s="2" t="inlineStr">
        <is>
          <t>телефильм</t>
        </is>
      </c>
      <c r="G1622" s="2" t="n"/>
      <c r="H1622" s="2" t="n">
        <v>288</v>
      </c>
      <c r="I1622" s="2" t="inlineStr"/>
      <c r="J1622" s="2" t="inlineStr">
        <is>
          <t>да</t>
        </is>
      </c>
      <c r="K1622" s="3" t="inlineStr">
        <is>
          <t>Фильм поставлен по произведению Павла Лукницкого "Ниссо", известного геолога и исследователя Памира начала двадцатого века. Памир. 1919 год. Революция эхом прокатилась и по Памиру. Однако, в труднодоступных кишлаках, куда не могли добраться первые вестники, жизнь продолжалась по-старому.</t>
        </is>
      </c>
      <c r="L1622" s="2" t="inlineStr">
        <is>
          <t>Кино_СССР сводный каталог.xlsx: список телефильмов</t>
        </is>
      </c>
      <c r="M1622" s="2">
        <f>HYPERLINK("https://ru.wikipedia.org/w/index.php?search=%D0%AE%D0%BD%D0%BE%D1%81%D1%82%D0%B8%20%D0%BF%D0%B5%D1%80%D0%B2%D0%BE%D0%B5%20%D1%83%D1%82%D1%80%D0%BE%201979%20%D1%84%D0%B8%D0%BB%D1%8C%D0%BC","искать")</f>
        <v/>
      </c>
      <c r="N1622" s="3" t="n"/>
      <c r="O1622" s="2" t="n"/>
    </row>
    <row r="1623">
      <c r="A1623" s="2" t="n">
        <v>1622</v>
      </c>
      <c r="B1623" s="2" t="inlineStr">
        <is>
          <t>не сюжет</t>
        </is>
      </c>
      <c r="C1623" s="2" t="n">
        <v>8139</v>
      </c>
      <c r="D1623" s="3" t="inlineStr">
        <is>
          <t>Подпольный обком действует</t>
        </is>
      </c>
      <c r="E1623" s="2" t="n">
        <v>1978</v>
      </c>
      <c r="F1623" s="2" t="inlineStr">
        <is>
          <t>телефильм</t>
        </is>
      </c>
      <c r="G1623" s="2" t="inlineStr">
        <is>
          <t>к/с им. Довженко</t>
        </is>
      </c>
      <c r="H1623" s="2" t="n">
        <v>289</v>
      </c>
      <c r="I1623" s="2" t="inlineStr"/>
      <c r="J1623" s="2" t="inlineStr">
        <is>
          <t>да</t>
        </is>
      </c>
      <c r="K1623" s="3" t="inlineStr">
        <is>
          <t>Сериал по мотивам одноимённой документальной книги А.Ф. Фёдорова (1901-1989). В фильме использованы архивные материалы, кинохроника, а также фотодокументы военного корреспондента Я. Давидзона. О партизанском движении на Черниговщине в годы Великой Отечественной войны. 1-я серия — «Война».</t>
        </is>
      </c>
      <c r="L1623" s="2" t="inlineStr">
        <is>
          <t>Кино_СССР сводный каталог.xlsx: список телефильмов</t>
        </is>
      </c>
      <c r="M1623" s="2">
        <f>HYPERLINK("https://ru.wikipedia.org/w/index.php?search=%D0%9F%D0%BE%D0%B4%D0%BF%D0%BE%D0%BB%D1%8C%D0%BD%D1%8B%D0%B9%20%D0%BE%D0%B1%D0%BA%D0%BE%D0%BC%20%D0%B4%D0%B5%D0%B9%D1%81%D1%82%D0%B2%D1%83%D0%B5%D1%82%201978%20%D1%84%D0%B8%D0%BB%D1%8C%D0%BC","искать")</f>
        <v/>
      </c>
      <c r="N1623" s="3" t="n"/>
      <c r="O1623" s="2" t="n"/>
    </row>
    <row r="1624">
      <c r="A1624" s="2" t="n">
        <v>1623</v>
      </c>
      <c r="B1624" s="2" t="inlineStr">
        <is>
          <t>не сюжет</t>
        </is>
      </c>
      <c r="C1624" s="2" t="n">
        <v>11255</v>
      </c>
      <c r="D1624" s="3" t="inlineStr">
        <is>
          <t>Долгий день уходит в ночь</t>
        </is>
      </c>
      <c r="E1624" s="2" t="n">
        <v>1989</v>
      </c>
      <c r="F1624" s="2" t="inlineStr">
        <is>
          <t>фильм-спектакль</t>
        </is>
      </c>
      <c r="G1624" s="2" t="inlineStr">
        <is>
          <t>Главная редакция литературно-драматических программ</t>
        </is>
      </c>
      <c r="H1624" s="2" t="n">
        <v>290</v>
      </c>
      <c r="I1624" s="2" t="inlineStr"/>
      <c r="J1624" s="2" t="inlineStr">
        <is>
          <t>да</t>
        </is>
      </c>
      <c r="K1624" s="3" t="inlineStr">
        <is>
          <t>По одноименной пьесе Юджина О'Нила (перевод и литературная редакция Виталия Вульфа) в постановке Государственного академического Малого театра Союза ССР.
О трагедии семьи, члены которой подвережены таким страшным порокам, как наркомания и алкоголизм. Прототипы драмы - родственники писателя</t>
        </is>
      </c>
      <c r="L1624" s="2" t="inlineStr">
        <is>
          <t>https://www.kino-teatr.ru/teatr/movie/81727/annot/</t>
        </is>
      </c>
      <c r="M1624" s="2">
        <f>HYPERLINK("https://ru.wikipedia.org/w/index.php?search=%D0%94%D0%BE%D0%BB%D0%B3%D0%B8%D0%B9%20%D0%B4%D0%B5%D0%BD%D1%8C%20%D1%83%D1%85%D0%BE%D0%B4%D0%B8%D1%82%20%D0%B2%20%D0%BD%D0%BE%D1%87%D1%8C%201989%20%D1%84%D0%B8%D0%BB%D1%8C%D0%BC","искать")</f>
        <v/>
      </c>
      <c r="N1624" s="3" t="n"/>
      <c r="O1624" s="2" t="n"/>
    </row>
    <row r="1625">
      <c r="A1625" s="2" t="n">
        <v>1624</v>
      </c>
      <c r="B1625" s="2" t="inlineStr">
        <is>
          <t>не сюжет</t>
        </is>
      </c>
      <c r="C1625" s="2" t="n">
        <v>7686</v>
      </c>
      <c r="D1625" s="3" t="inlineStr">
        <is>
          <t>Ираклий Андроников рассказывает</t>
        </is>
      </c>
      <c r="E1625" s="2" t="n">
        <v>1964</v>
      </c>
      <c r="F1625" s="2" t="inlineStr">
        <is>
          <t>телефильм</t>
        </is>
      </c>
      <c r="G1625" s="2" t="n"/>
      <c r="H1625" s="2" t="n">
        <v>291</v>
      </c>
      <c r="I1625" s="2" t="inlineStr"/>
      <c r="J1625" s="2" t="inlineStr">
        <is>
          <t>да</t>
        </is>
      </c>
      <c r="K1625" s="3" t="inlineStr">
        <is>
          <t>Телефильм. Ираклий Андроников рассказывает о своей молодости, когда проявился его талант имитатора, о работе лектором Ленинградской филармонии, делится воспоминаниями о музыковеде и литературоведе И.И.Соллертинском, об артистах В.И.Качалове, А.А.Остужеве, о писателях М.Горьком и А.Н.Толстом</t>
        </is>
      </c>
      <c r="L1625" s="2" t="inlineStr">
        <is>
          <t>Кино_СССР сводный каталог.xlsx: список телефильмов</t>
        </is>
      </c>
      <c r="M1625" s="2">
        <f>HYPERLINK("https://ru.wikipedia.org/w/index.php?search=%D0%98%D1%80%D0%B0%D0%BA%D0%BB%D0%B8%D0%B9%20%D0%90%D0%BD%D0%B4%D1%80%D0%BE%D0%BD%D0%B8%D0%BA%D0%BE%D0%B2%20%D1%80%D0%B0%D1%81%D1%81%D0%BA%D0%B0%D0%B7%D1%8B%D0%B2%D0%B0%D0%B5%D1%82%201964%20%D1%84%D0%B8%D0%BB%D1%8C%D0%BC","искать")</f>
        <v/>
      </c>
      <c r="N1625" s="3" t="n"/>
      <c r="O1625" s="2" t="n"/>
    </row>
    <row r="1626">
      <c r="A1626" s="2" t="n">
        <v>1625</v>
      </c>
      <c r="B1626" s="2" t="inlineStr">
        <is>
          <t>не сюжет</t>
        </is>
      </c>
      <c r="C1626" s="2" t="n">
        <v>9034</v>
      </c>
      <c r="D1626" s="3" t="inlineStr">
        <is>
          <t>Свинопасу повезло</t>
        </is>
      </c>
      <c r="E1626" s="2" t="n">
        <v>1931</v>
      </c>
      <c r="F1626" s="2" t="inlineStr">
        <is>
          <t>кинофильм</t>
        </is>
      </c>
      <c r="G1626" s="2" t="n"/>
      <c r="H1626" s="2" t="n">
        <v>291</v>
      </c>
      <c r="I1626" s="2" t="inlineStr"/>
      <c r="J1626" s="2" t="inlineStr">
        <is>
          <t>да</t>
        </is>
      </c>
      <c r="K1626" s="3" t="inlineStr">
        <is>
          <t>Агитационно-пропагандистский фильм, призывающий рабочих и крестьян Грузии к подписке на Третий государственный заем индустриализации. Единственная режиссерская работа ведущего художника грузинского кино В. Сидамон-Эристова. Фильм не был выпущен на экран из-за слабого художественного уровня.</t>
        </is>
      </c>
      <c r="L1626" s="2" t="inlineStr">
        <is>
          <t>Кино_СССР сводный каталог.xlsx: список фильмов (доп.)</t>
        </is>
      </c>
      <c r="M1626" s="2">
        <f>HYPERLINK("https://ru.wikipedia.org/w/index.php?search=%D0%A1%D0%B2%D0%B8%D0%BD%D0%BE%D0%BF%D0%B0%D1%81%D1%83%20%D0%BF%D0%BE%D0%B2%D0%B5%D0%B7%D0%BB%D0%BE%201931%20%D1%84%D0%B8%D0%BB%D1%8C%D0%BC","искать")</f>
        <v/>
      </c>
      <c r="N1626" s="3" t="n"/>
      <c r="O1626" s="2" t="n"/>
    </row>
    <row r="1627">
      <c r="A1627" s="2" t="n">
        <v>1626</v>
      </c>
      <c r="B1627" s="2" t="inlineStr">
        <is>
          <t>не сюжет</t>
        </is>
      </c>
      <c r="C1627" s="2" t="n">
        <v>9395</v>
      </c>
      <c r="D1627" s="3" t="inlineStr">
        <is>
          <t>Интердевочка</t>
        </is>
      </c>
      <c r="E1627" s="2" t="n">
        <v>1989</v>
      </c>
      <c r="F1627" s="2" t="inlineStr">
        <is>
          <t>кинофильм</t>
        </is>
      </c>
      <c r="G1627" s="2" t="n"/>
      <c r="H1627" s="2" t="n">
        <v>291</v>
      </c>
      <c r="I1627" s="2" t="inlineStr"/>
      <c r="J1627" s="2" t="inlineStr">
        <is>
          <t>да</t>
        </is>
      </c>
      <c r="K1627" s="3" t="inlineStr">
        <is>
          <t>Экранизация романа Владимира Кунина. Этот фильм - первая отечественная лента о представительницах древнейшей профессии. Жизнь "интердевочек" полна историй драматических, а зачастую и трагических... В Швеции фильм не был выпущен в прокат из-за финансового краха кинокомпании "Филмсталлет АБ".</t>
        </is>
      </c>
      <c r="L1627" s="2" t="inlineStr">
        <is>
          <t>Кино_СССР сводный каталог.xlsx: список фильмов (доп.)</t>
        </is>
      </c>
      <c r="M1627" s="2">
        <f>HYPERLINK("https://ru.wikipedia.org/w/index.php?search=%D0%98%D0%BD%D1%82%D0%B5%D1%80%D0%B4%D0%B5%D0%B2%D0%BE%D1%87%D0%BA%D0%B0%201989%20%D1%84%D0%B8%D0%BB%D1%8C%D0%BC","искать")</f>
        <v/>
      </c>
      <c r="N1627" s="3" t="n"/>
      <c r="O1627" s="2" t="n"/>
    </row>
    <row r="1628">
      <c r="A1628" s="2" t="n">
        <v>1627</v>
      </c>
      <c r="B1628" s="2" t="inlineStr">
        <is>
          <t>не сюжет</t>
        </is>
      </c>
      <c r="C1628" s="2" t="n">
        <v>9545</v>
      </c>
      <c r="D1628" s="3" t="inlineStr">
        <is>
          <t>Первая Конная</t>
        </is>
      </c>
      <c r="E1628" s="2" t="n">
        <v>1941</v>
      </c>
      <c r="F1628" s="2" t="inlineStr">
        <is>
          <t>кинофильм</t>
        </is>
      </c>
      <c r="G1628" s="2" t="n"/>
      <c r="H1628" s="2" t="n">
        <v>293</v>
      </c>
      <c r="I1628" s="2" t="inlineStr"/>
      <c r="J1628" s="2" t="inlineStr">
        <is>
          <t>да</t>
        </is>
      </c>
      <c r="K1628" s="3" t="inlineStr">
        <is>
          <t>По одноименной пьесе Всеволода Вишневского (1929 г.). По одноименной пьесе Всеволода Вишневского (1929 г.), долгое время не сходившей со сценических подмостков. Картина посвящена легендарному воинскому соединению, созданному в 1919 году и прошедшему по дорогам гражданской славный боевой путь.</t>
        </is>
      </c>
      <c r="L1628" s="2" t="inlineStr">
        <is>
          <t>Кино_СССР сводный каталог.xlsx: список фильмов (доп.)</t>
        </is>
      </c>
      <c r="M1628" s="2">
        <f>HYPERLINK("https://ru.wikipedia.org/w/index.php?search=%D0%9F%D0%B5%D1%80%D0%B2%D0%B0%D1%8F%20%D0%9A%D0%BE%D0%BD%D0%BD%D0%B0%D1%8F%201941%20%D1%84%D0%B8%D0%BB%D1%8C%D0%BC","искать")</f>
        <v/>
      </c>
      <c r="N1628" s="3" t="n"/>
      <c r="O1628" s="2" t="n"/>
    </row>
    <row r="1629">
      <c r="A1629" s="2" t="n">
        <v>1628</v>
      </c>
      <c r="B1629" s="2" t="inlineStr">
        <is>
          <t>не сюжет</t>
        </is>
      </c>
      <c r="C1629" s="2" t="n">
        <v>9705</v>
      </c>
      <c r="D1629" s="3" t="inlineStr">
        <is>
          <t>Убийцы выходят на дорогу</t>
        </is>
      </c>
      <c r="E1629" s="2" t="n">
        <v>1942</v>
      </c>
      <c r="F1629" s="2" t="inlineStr">
        <is>
          <t>кинофильм</t>
        </is>
      </c>
      <c r="G1629" s="2" t="n"/>
      <c r="H1629" s="2" t="n">
        <v>293</v>
      </c>
      <c r="I1629" s="2" t="inlineStr"/>
      <c r="J1629" s="2" t="inlineStr">
        <is>
          <t>да</t>
        </is>
      </c>
      <c r="K1629" s="3" t="inlineStr">
        <is>
          <t>По сценам пьесы-обозрения Б.Брехта «Страх и отчаяние в Третьей империи». «Документов, запрещающих фильм, разыскать не удалось. По всей видимости, это связано с утратой большей части архива ЦОКС, а также — с пожаром в квартире Пудовкина, происшедшим после его возвращения из эвакуации в Москву.</t>
        </is>
      </c>
      <c r="L1629" s="2" t="inlineStr">
        <is>
          <t>Кино_СССР сводный каталог.xlsx: список фильмов (доп.)</t>
        </is>
      </c>
      <c r="M1629" s="2">
        <f>HYPERLINK("https://ru.wikipedia.org/w/index.php?search=%D0%A3%D0%B1%D0%B8%D0%B9%D1%86%D1%8B%20%D0%B2%D1%8B%D1%85%D0%BE%D0%B4%D1%8F%D1%82%20%D0%BD%D0%B0%20%D0%B4%D0%BE%D1%80%D0%BE%D0%B3%D1%83%201942%20%D1%84%D0%B8%D0%BB%D1%8C%D0%BC","искать")</f>
        <v/>
      </c>
      <c r="N1629" s="3" t="n"/>
      <c r="O1629" s="2" t="n"/>
    </row>
    <row r="1630">
      <c r="A1630" s="2" t="n">
        <v>1629</v>
      </c>
      <c r="B1630" s="2" t="inlineStr">
        <is>
          <t>не сюжет</t>
        </is>
      </c>
      <c r="C1630" s="2" t="n">
        <v>11271</v>
      </c>
      <c r="D1630" s="3" t="inlineStr">
        <is>
          <t>Невыдуманные рассказы о прошлом</t>
        </is>
      </c>
      <c r="E1630" s="2" t="n">
        <v>1989</v>
      </c>
      <c r="F1630" s="2" t="inlineStr">
        <is>
          <t>фильм-спектакль</t>
        </is>
      </c>
      <c r="G1630" s="2" t="inlineStr">
        <is>
          <t>Ленинградское Телевидение</t>
        </is>
      </c>
      <c r="H1630" s="2" t="n">
        <v>293</v>
      </c>
      <c r="I1630" s="2" t="inlineStr"/>
      <c r="J1630" s="2" t="inlineStr">
        <is>
          <t>да</t>
        </is>
      </c>
      <c r="K1630" s="3" t="inlineStr">
        <is>
          <t>По рассказам и микрорассказам В.В.Вересаева. Это забавные ситуации, тонко,с юмором подмеченные в нашей жизни. Они о детях, о женщинах и о многом другом... Одни названия мизансцен спектакля говорят сами за себя: "На базаре", "Букеты", "Сон", "Конфетка", "Шкаф", "Пушкин" и разнообразные другие.</t>
        </is>
      </c>
      <c r="L1630" s="2" t="inlineStr">
        <is>
          <t>https://www.kino-teatr.ru/teatr/movie/17366/annot/</t>
        </is>
      </c>
      <c r="M1630" s="2">
        <f>HYPERLINK("https://ru.wikipedia.org/w/index.php?search=%D0%9D%D0%B5%D0%B2%D1%8B%D0%B4%D1%83%D0%BC%D0%B0%D0%BD%D0%BD%D1%8B%D0%B5%20%D1%80%D0%B0%D1%81%D1%81%D0%BA%D0%B0%D0%B7%D1%8B%20%D0%BE%20%D0%BF%D1%80%D0%BE%D1%88%D0%BB%D0%BE%D0%BC%201989%20%D1%84%D0%B8%D0%BB%D1%8C%D0%BC","искать")</f>
        <v/>
      </c>
      <c r="N1630" s="3" t="n"/>
      <c r="O1630" s="2" t="n"/>
    </row>
    <row r="1631">
      <c r="A1631" s="2" t="n">
        <v>1630</v>
      </c>
      <c r="B1631" s="2" t="inlineStr">
        <is>
          <t>не сюжет</t>
        </is>
      </c>
      <c r="C1631" s="2" t="n">
        <v>7593</v>
      </c>
      <c r="D1631" s="3" t="inlineStr">
        <is>
          <t>Женщины, которым повезло</t>
        </is>
      </c>
      <c r="E1631" s="2" t="n">
        <v>1989</v>
      </c>
      <c r="F1631" s="2" t="inlineStr">
        <is>
          <t>телефильм</t>
        </is>
      </c>
      <c r="G1631" s="2" t="n"/>
      <c r="H1631" s="2" t="n">
        <v>294</v>
      </c>
      <c r="I1631" s="2" t="inlineStr"/>
      <c r="J1631" s="2" t="inlineStr">
        <is>
          <t>да</t>
        </is>
      </c>
      <c r="K1631" s="3" t="inlineStr">
        <is>
          <t>Действие фильма разворачивается в послевоенные десятилетия и рассказывает о судьбах бывших участниц Великой Отечественной войны - Веры Боглюк, Нины Верховской, Дуси Королевой, Зины Скворцовой и Наташи Дружининой. Их пятеро - молодых, красивых женщин, выживших в аду войны и дошедших до Берлина.</t>
        </is>
      </c>
      <c r="L1631" s="2" t="inlineStr">
        <is>
          <t>Кино_СССР сводный каталог.xlsx: список телефильмов</t>
        </is>
      </c>
      <c r="M1631" s="2">
        <f>HYPERLINK("https://ru.wikipedia.org/w/index.php?search=%D0%96%D0%B5%D0%BD%D1%89%D0%B8%D0%BD%D1%8B%2C%20%D0%BA%D0%BE%D1%82%D0%BE%D1%80%D1%8B%D0%BC%20%D0%BF%D0%BE%D0%B2%D0%B5%D0%B7%D0%BB%D0%BE%201989%20%D1%84%D0%B8%D0%BB%D1%8C%D0%BC","искать")</f>
        <v/>
      </c>
      <c r="N1631" s="3" t="n"/>
      <c r="O1631" s="2" t="n"/>
    </row>
    <row r="1632">
      <c r="A1632" s="2" t="n">
        <v>1631</v>
      </c>
      <c r="B1632" s="2" t="inlineStr">
        <is>
          <t>не сюжет</t>
        </is>
      </c>
      <c r="C1632" s="2" t="n">
        <v>8278</v>
      </c>
      <c r="D1632" s="3" t="inlineStr">
        <is>
          <t>Родники Минг-Булака</t>
        </is>
      </c>
      <c r="E1632" s="2" t="n">
        <v>1983</v>
      </c>
      <c r="F1632" s="2" t="inlineStr">
        <is>
          <t>телефильм</t>
        </is>
      </c>
      <c r="G1632" s="2" t="n"/>
      <c r="H1632" s="2" t="n">
        <v>294</v>
      </c>
      <c r="I1632" s="2" t="inlineStr"/>
      <c r="J1632" s="2" t="inlineStr">
        <is>
          <t>да</t>
        </is>
      </c>
      <c r="K1632" s="3" t="inlineStr">
        <is>
          <t>По мотивам романа Адыла Якубова "Совесть". Председатель колхоза-миллионера Умаров снискал себе всеобщее уважение, добился заслуженного авторитета. Однако неизменные производственные успехи, привычка властвовать притупили способность Умарова к критической оценке собственных поступков и решений.</t>
        </is>
      </c>
      <c r="L1632" s="2" t="inlineStr">
        <is>
          <t>Кино_СССР сводный каталог.xlsx: список телефильмов</t>
        </is>
      </c>
      <c r="M1632" s="2">
        <f>HYPERLINK("https://ru.wikipedia.org/w/index.php?search=%D0%A0%D0%BE%D0%B4%D0%BD%D0%B8%D0%BA%D0%B8%20%D0%9C%D0%B8%D0%BD%D0%B3-%D0%91%D1%83%D0%BB%D0%B0%D0%BA%D0%B0%201983%20%D1%84%D0%B8%D0%BB%D1%8C%D0%BC","искать")</f>
        <v/>
      </c>
      <c r="N1632" s="3" t="n"/>
      <c r="O1632" s="2" t="n"/>
    </row>
    <row r="1633">
      <c r="A1633" s="2" t="n">
        <v>1632</v>
      </c>
      <c r="B1633" s="2" t="inlineStr">
        <is>
          <t>не сюжет</t>
        </is>
      </c>
      <c r="C1633" s="2" t="n">
        <v>8764</v>
      </c>
      <c r="D1633" s="3" t="inlineStr">
        <is>
          <t>Киевские фрески</t>
        </is>
      </c>
      <c r="E1633" s="2" t="n">
        <v>1966</v>
      </c>
      <c r="F1633" s="2" t="inlineStr">
        <is>
          <t>кинофильм</t>
        </is>
      </c>
      <c r="G1633" s="2" t="n"/>
      <c r="H1633" s="2" t="n">
        <v>294</v>
      </c>
      <c r="I1633" s="2" t="inlineStr"/>
      <c r="J1633" s="2" t="inlineStr">
        <is>
          <t>да</t>
        </is>
      </c>
      <c r="K1633" s="3" t="inlineStr">
        <is>
          <t>Незаконченный фильм Сергея Параджанова, в котором режиссер задумывал рассказать о трагедии войны особым кинематографическим языком метафор и образов. После отснятия кинопроб дирекция киностудии приняла решение прекратить съёмки "в целом импрессионистского фильма, пронизанного идеей пацифизма".</t>
        </is>
      </c>
      <c r="L1633" s="2" t="inlineStr">
        <is>
          <t>Кино_СССР сводный каталог.xlsx: список фильмов (доп.)</t>
        </is>
      </c>
      <c r="M1633" s="2">
        <f>HYPERLINK("https://ru.wikipedia.org/w/index.php?search=%D0%9A%D0%B8%D0%B5%D0%B2%D1%81%D0%BA%D0%B8%D0%B5%20%D1%84%D1%80%D0%B5%D1%81%D0%BA%D0%B8%201966%20%D1%84%D0%B8%D0%BB%D1%8C%D0%BC","искать")</f>
        <v/>
      </c>
      <c r="N1633" s="3" t="n"/>
      <c r="O1633" s="2" t="n"/>
    </row>
    <row r="1634">
      <c r="A1634" s="2" t="n">
        <v>1633</v>
      </c>
      <c r="B1634" s="2" t="inlineStr">
        <is>
          <t>не сюжет</t>
        </is>
      </c>
      <c r="C1634" s="2" t="n">
        <v>8911</v>
      </c>
      <c r="D1634" s="3" t="inlineStr">
        <is>
          <t>Охота на Единорога</t>
        </is>
      </c>
      <c r="E1634" s="2" t="n">
        <v>1989</v>
      </c>
      <c r="F1634" s="2" t="inlineStr">
        <is>
          <t>кинофильм</t>
        </is>
      </c>
      <c r="G1634" s="2" t="n"/>
      <c r="H1634" s="2" t="n">
        <v>294</v>
      </c>
      <c r="I1634" s="2" t="inlineStr"/>
      <c r="J1634" s="2" t="inlineStr">
        <is>
          <t>да</t>
        </is>
      </c>
      <c r="K1634" s="3" t="inlineStr">
        <is>
          <t>Долг, бесстрашие, мужество - это не простые слова, это поступки, подчиненные высшему смыслу справедливости и чести. И человеческая жизнь, похожая на падающую комету, на тот самый "ястребок", который расстреливали в воздухе на учебном полигоне фашистские асы. Начало Великой Отечественной войны.</t>
        </is>
      </c>
      <c r="L1634" s="2" t="inlineStr">
        <is>
          <t>Кино_СССР сводный каталог.xlsx: список фильмов (доп.)</t>
        </is>
      </c>
      <c r="M1634" s="2">
        <f>HYPERLINK("https://ru.wikipedia.org/w/index.php?search=%D0%9E%D1%85%D0%BE%D1%82%D0%B0%20%D0%BD%D0%B0%20%D0%95%D0%B4%D0%B8%D0%BD%D0%BE%D1%80%D0%BE%D0%B3%D0%B0%201989%20%D1%84%D0%B8%D0%BB%D1%8C%D0%BC","искать")</f>
        <v/>
      </c>
      <c r="N1634" s="3" t="n"/>
      <c r="O1634" s="2" t="n"/>
    </row>
    <row r="1635">
      <c r="A1635" s="2" t="n">
        <v>1634</v>
      </c>
      <c r="B1635" s="2" t="inlineStr">
        <is>
          <t>не сюжет</t>
        </is>
      </c>
      <c r="C1635" s="2" t="n">
        <v>9114</v>
      </c>
      <c r="D1635" s="3" t="inlineStr">
        <is>
          <t>Трудные годы (Борьба продолжается)</t>
        </is>
      </c>
      <c r="E1635" s="2" t="n">
        <v>1973</v>
      </c>
      <c r="F1635" s="2" t="inlineStr">
        <is>
          <t>кинофильм</t>
        </is>
      </c>
      <c r="G1635" s="2" t="n"/>
      <c r="H1635" s="2" t="n">
        <v>294</v>
      </c>
      <c r="I1635" s="2" t="inlineStr"/>
      <c r="J1635" s="2" t="inlineStr">
        <is>
          <t>да</t>
        </is>
      </c>
      <c r="K1635" s="3" t="inlineStr">
        <is>
          <t>Это укороченный вариант четырехсерийного фильма "Свободны, как птицы". Историко-революционный фильм поставлен по неоконченному роману эстонского революционера и писателя Яана Анвельта "Вне закона", который, несмотря на незавершённость, считается высшим достижением пролетарской прозы в Эстонии.</t>
        </is>
      </c>
      <c r="L1635" s="2" t="inlineStr">
        <is>
          <t>Кино_СССР сводный каталог.xlsx: список фильмов (доп.)</t>
        </is>
      </c>
      <c r="M1635" s="2">
        <f>HYPERLINK("https://ru.wikipedia.org/w/index.php?search=%D0%A2%D1%80%D1%83%D0%B4%D0%BD%D1%8B%D0%B5%20%D0%B3%D0%BE%D0%B4%D1%8B%20%28%D0%91%D0%BE%D1%80%D1%8C%D0%B1%D0%B0%20%D0%BF%D1%80%D0%BE%D0%B4%D0%BE%D0%BB%D0%B6%D0%B0%D0%B5%D1%82%D1%81%D1%8F%29%201973%20%D1%84%D0%B8%D0%BB%D1%8C%D0%BC","искать")</f>
        <v/>
      </c>
      <c r="N1635" s="3" t="n"/>
      <c r="O1635" s="2" t="n"/>
    </row>
    <row r="1636">
      <c r="A1636" s="2" t="n">
        <v>1635</v>
      </c>
      <c r="B1636" s="2" t="inlineStr">
        <is>
          <t>не сюжет</t>
        </is>
      </c>
      <c r="C1636" s="2" t="n">
        <v>9231</v>
      </c>
      <c r="D1636" s="3" t="inlineStr">
        <is>
          <t>Белые ночи</t>
        </is>
      </c>
      <c r="E1636" s="2" t="n">
        <v>1991</v>
      </c>
      <c r="F1636" s="2" t="inlineStr">
        <is>
          <t>кинофильм</t>
        </is>
      </c>
      <c r="G1636" s="2" t="n"/>
      <c r="H1636" s="2" t="n">
        <v>294</v>
      </c>
      <c r="I1636" s="2" t="inlineStr"/>
      <c r="J1636" s="2" t="inlineStr">
        <is>
          <t>да</t>
        </is>
      </c>
      <c r="K1636" s="3" t="inlineStr">
        <is>
          <t>Сюжет кинокартины во многом повторяет развитие действия литературного первоисточника. События перенесены из Петербурга XIX века в современный Ленинград . "Жилец" здесь - "новый русский", поселившийся в квартире у Настиной тетки. Вокруг этого человека постоянно суетятся какие-то угодливые люди.</t>
        </is>
      </c>
      <c r="L1636" s="2" t="inlineStr">
        <is>
          <t>Кино_СССР сводный каталог.xlsx: список фильмов (доп.)</t>
        </is>
      </c>
      <c r="M1636" s="2">
        <f>HYPERLINK("https://ru.wikipedia.org/w/index.php?search=%D0%91%D0%B5%D0%BB%D1%8B%D0%B5%20%D0%BD%D0%BE%D1%87%D0%B8%201991%20%D1%84%D0%B8%D0%BB%D1%8C%D0%BC","искать")</f>
        <v/>
      </c>
      <c r="N1636" s="3" t="n"/>
      <c r="O1636" s="2" t="n"/>
    </row>
    <row r="1637">
      <c r="A1637" s="2" t="n">
        <v>1636</v>
      </c>
      <c r="B1637" s="2" t="inlineStr">
        <is>
          <t>не сюжет</t>
        </is>
      </c>
      <c r="C1637" s="2" t="n">
        <v>7816</v>
      </c>
      <c r="D1637" s="3" t="inlineStr">
        <is>
          <t>Личный интерес</t>
        </is>
      </c>
      <c r="E1637" s="2" t="n">
        <v>1986</v>
      </c>
      <c r="F1637" s="2" t="inlineStr">
        <is>
          <t>телефильм</t>
        </is>
      </c>
      <c r="G1637" s="2" t="n"/>
      <c r="H1637" s="2" t="n">
        <v>295</v>
      </c>
      <c r="I1637" s="2" t="inlineStr"/>
      <c r="J1637" s="2" t="inlineStr">
        <is>
          <t>да</t>
        </is>
      </c>
      <c r="K1637" s="3" t="inlineStr">
        <is>
          <t>Деревенская дилогия. По мотивам повести Валентина Блакита "Чти имя свое". Александр Сурмила и Алексей Кунцевич - председатели соседних колхозов. Сурмила мечтает об объединении двух колхозов и создании агрофирмы. Кунцевич не верит в эту идею, считая, что Сурмила больше заботится о своей карьере.</t>
        </is>
      </c>
      <c r="L1637" s="2" t="inlineStr">
        <is>
          <t>Кино_СССР сводный каталог.xlsx: список телефильмов</t>
        </is>
      </c>
      <c r="M1637" s="2">
        <f>HYPERLINK("https://ru.wikipedia.org/w/index.php?search=%D0%9B%D0%B8%D1%87%D0%BD%D1%8B%D0%B9%20%D0%B8%D0%BD%D1%82%D0%B5%D1%80%D0%B5%D1%81%201986%20%D1%84%D0%B8%D0%BB%D1%8C%D0%BC","искать")</f>
        <v/>
      </c>
      <c r="N1637" s="3" t="n"/>
      <c r="O1637" s="2" t="n"/>
    </row>
    <row r="1638">
      <c r="A1638" s="2" t="n">
        <v>1637</v>
      </c>
      <c r="B1638" s="2" t="inlineStr">
        <is>
          <t>не сюжет</t>
        </is>
      </c>
      <c r="C1638" s="2" t="n">
        <v>8551</v>
      </c>
      <c r="D1638" s="3" t="inlineStr">
        <is>
          <t>Человек-олень...</t>
        </is>
      </c>
      <c r="E1638" s="2" t="n">
        <v>1985</v>
      </c>
      <c r="F1638" s="2" t="inlineStr">
        <is>
          <t>телефильм</t>
        </is>
      </c>
      <c r="G1638" s="2" t="n"/>
      <c r="H1638" s="2" t="n">
        <v>295</v>
      </c>
      <c r="I1638" s="2" t="inlineStr"/>
      <c r="J1638" s="2" t="inlineStr">
        <is>
          <t>да</t>
        </is>
      </c>
      <c r="K1638" s="3" t="inlineStr">
        <is>
          <t>О соотношении прошлого и настоящего, всеобщего и индивидуального, о сохранении гуманного высокого начала в человеке. Высоко в горах уединенно живет лесник Актан со своей немой тётей в покинутом людьми ауле. Неправильной и суетной кажется ему жизнь людей. Но и своя жизнь нравится ему все меньше.</t>
        </is>
      </c>
      <c r="L1638" s="2" t="inlineStr">
        <is>
          <t>Кино_СССР сводный каталог.xlsx: список телефильмов</t>
        </is>
      </c>
      <c r="M1638" s="2">
        <f>HYPERLINK("https://ru.wikipedia.org/w/index.php?search=%D0%A7%D0%B5%D0%BB%D0%BE%D0%B2%D0%B5%D0%BA-%D0%BE%D0%BB%D0%B5%D0%BD%D1%8C...%201985%20%D1%84%D0%B8%D0%BB%D1%8C%D0%BC","искать")</f>
        <v/>
      </c>
      <c r="N1638" s="3" t="n"/>
      <c r="O1638" s="2" t="n"/>
    </row>
    <row r="1639">
      <c r="A1639" s="2" t="n">
        <v>1638</v>
      </c>
      <c r="B1639" s="2" t="inlineStr">
        <is>
          <t>не сюжет</t>
        </is>
      </c>
      <c r="C1639" s="2" t="n">
        <v>10898</v>
      </c>
      <c r="D1639" s="3" t="inlineStr">
        <is>
          <t>Паланга</t>
        </is>
      </c>
      <c r="E1639" s="2" t="n">
        <v>1981</v>
      </c>
      <c r="F1639" s="2" t="inlineStr">
        <is>
          <t>фильм-спектакль</t>
        </is>
      </c>
      <c r="G1639" s="2" t="inlineStr">
        <is>
          <t>Литовское телевидение</t>
        </is>
      </c>
      <c r="H1639" s="2" t="n">
        <v>295</v>
      </c>
      <c r="I1639" s="2" t="inlineStr"/>
      <c r="J1639" s="2" t="inlineStr">
        <is>
          <t>да</t>
        </is>
      </c>
      <c r="K1639" s="3" t="inlineStr">
        <is>
          <t>Спектакль снят по одноименной комедии Аугустинаса Грицюса и рассказывает о быте и нравах довоенных литовских буржуа на морском курорте Паланга. С лёгкой иронией показаны те, кто считает себя элитой общества, а на самом деле многие из них - это малообразованные, живущие интригами и флиртом люди.</t>
        </is>
      </c>
      <c r="L1639" s="2" t="inlineStr">
        <is>
          <t>https://www.kino-teatr.ru/teatr/movie/95702/annot/</t>
        </is>
      </c>
      <c r="M1639" s="2">
        <f>HYPERLINK("https://ru.wikipedia.org/w/index.php?search=%D0%9F%D0%B0%D0%BB%D0%B0%D0%BD%D0%B3%D0%B0%201981%20%D1%84%D0%B8%D0%BB%D1%8C%D0%BC","искать")</f>
        <v/>
      </c>
      <c r="N1639" s="3" t="n"/>
      <c r="O1639" s="2" t="n"/>
    </row>
    <row r="1640">
      <c r="A1640" s="2" t="n">
        <v>1639</v>
      </c>
      <c r="B1640" s="2" t="inlineStr">
        <is>
          <t>не сюжет</t>
        </is>
      </c>
      <c r="C1640" s="2" t="n">
        <v>7473</v>
      </c>
      <c r="D1640" s="3" t="inlineStr">
        <is>
          <t>Два голоса</t>
        </is>
      </c>
      <c r="E1640" s="2" t="n">
        <v>1981</v>
      </c>
      <c r="F1640" s="2" t="inlineStr">
        <is>
          <t>телефильм</t>
        </is>
      </c>
      <c r="G1640" s="2" t="inlineStr">
        <is>
          <t>Лентелефильм</t>
        </is>
      </c>
      <c r="H1640" s="2" t="n">
        <v>296</v>
      </c>
      <c r="I1640" s="2" t="inlineStr"/>
      <c r="J1640" s="2" t="inlineStr">
        <is>
          <t>да</t>
        </is>
      </c>
      <c r="K1640" s="3" t="inlineStr">
        <is>
          <t>Фильм состоит из трех новелл, посвященных любви: "Темные аллеи" (Ивана Бунина), "Четвертая Мещанская"(Евгения Евтушенко) и "Идеалистка" (Александра Володина). Фрагменты всех трех новелл ретроспективно проходят у нас перед глазами. Самое сложное - не утратить человека, который вошел в твою жизнь.</t>
        </is>
      </c>
      <c r="L1640" s="2" t="inlineStr">
        <is>
          <t>Кино_СССР сводный каталог.xlsx: список телефильмов</t>
        </is>
      </c>
      <c r="M1640" s="2">
        <f>HYPERLINK("https://ru.wikipedia.org/w/index.php?search=%D0%94%D0%B2%D0%B0%20%D0%B3%D0%BE%D0%BB%D0%BE%D1%81%D0%B0%201981%20%D1%84%D0%B8%D0%BB%D1%8C%D0%BC","искать")</f>
        <v/>
      </c>
      <c r="N1640" s="3" t="n"/>
      <c r="O1640" s="2" t="n"/>
    </row>
    <row r="1641">
      <c r="A1641" s="2" t="n">
        <v>1640</v>
      </c>
      <c r="B1641" s="2" t="inlineStr">
        <is>
          <t>не сюжет</t>
        </is>
      </c>
      <c r="C1641" s="2" t="n">
        <v>7520</v>
      </c>
      <c r="D1641" s="3" t="inlineStr">
        <is>
          <t>Дни Турбиных</t>
        </is>
      </c>
      <c r="E1641" s="2" t="n">
        <v>1976</v>
      </c>
      <c r="F1641" s="2" t="inlineStr">
        <is>
          <t>телефильм</t>
        </is>
      </c>
      <c r="G1641" s="2" t="n"/>
      <c r="H1641" s="2" t="n">
        <v>296</v>
      </c>
      <c r="I1641" s="2" t="inlineStr"/>
      <c r="J1641" s="2" t="inlineStr">
        <is>
          <t>да</t>
        </is>
      </c>
      <c r="K1641" s="3" t="inlineStr">
        <is>
          <t>Телевизионный минисериал по пьесе "Дни Турбиных" Михаила Булгакова. История жизни обычной офицерской семьи на переломе двух эпох истории. 1918-1919г., в разгаре гражданская война. На Украине еще немцы и гетман, а вокруг Киева - петлюровцы. Но уже приближаются к украинской столице войска красных.</t>
        </is>
      </c>
      <c r="L1641" s="2" t="inlineStr">
        <is>
          <t>Кино_СССР сводный каталог.xlsx: список телефильмов</t>
        </is>
      </c>
      <c r="M1641" s="2">
        <f>HYPERLINK("https://ru.wikipedia.org/w/index.php?search=%D0%94%D0%BD%D0%B8%20%D0%A2%D1%83%D1%80%D0%B1%D0%B8%D0%BD%D1%8B%D1%85%201976%20%D1%84%D0%B8%D0%BB%D1%8C%D0%BC","искать")</f>
        <v/>
      </c>
      <c r="N1641" s="3" t="n"/>
      <c r="O1641" s="2" t="n"/>
    </row>
    <row r="1642">
      <c r="A1642" s="2" t="n">
        <v>1641</v>
      </c>
      <c r="B1642" s="2" t="inlineStr">
        <is>
          <t>не сюжет</t>
        </is>
      </c>
      <c r="C1642" s="2" t="n">
        <v>9213</v>
      </c>
      <c r="D1642" s="3" t="inlineStr">
        <is>
          <t>Аэлита, не приставай к мужчинам</t>
        </is>
      </c>
      <c r="E1642" s="2" t="n">
        <v>1988</v>
      </c>
      <c r="F1642" s="2" t="inlineStr">
        <is>
          <t>кинофильм</t>
        </is>
      </c>
      <c r="G1642" s="2" t="n"/>
      <c r="H1642" s="2" t="n">
        <v>296</v>
      </c>
      <c r="I1642" s="2" t="inlineStr"/>
      <c r="J1642" s="2" t="inlineStr">
        <is>
          <t>да</t>
        </is>
      </c>
      <c r="K1642" s="3" t="inlineStr">
        <is>
          <t>По мотивам пьесы-фарса Эдварда Радзинского "Приятная женщина с цветком и окнами на север...". У нее только имя необычное - вся она слегка "не от мира сего". И лет-то ей уже немало, но остается героиня фильма по-детски наивной и простодушной, привязчивой и доверчивой. Обмануть ее ничего не стоит.</t>
        </is>
      </c>
      <c r="L1642" s="2" t="inlineStr">
        <is>
          <t>Кино_СССР сводный каталог.xlsx: список фильмов (доп.)</t>
        </is>
      </c>
      <c r="M1642" s="2">
        <f>HYPERLINK("https://ru.wikipedia.org/w/index.php?search=%D0%90%D1%8D%D0%BB%D0%B8%D1%82%D0%B0%2C%20%D0%BD%D0%B5%20%D0%BF%D1%80%D0%B8%D1%81%D1%82%D0%B0%D0%B2%D0%B0%D0%B9%20%D0%BA%20%D0%BC%D1%83%D0%B6%D1%87%D0%B8%D0%BD%D0%B0%D0%BC%201988%20%D1%84%D0%B8%D0%BB%D1%8C%D0%BC","искать")</f>
        <v/>
      </c>
      <c r="N1642" s="3" t="n"/>
      <c r="O1642" s="2" t="n"/>
    </row>
    <row r="1643">
      <c r="A1643" s="2" t="n">
        <v>1642</v>
      </c>
      <c r="B1643" s="2" t="inlineStr">
        <is>
          <t>не сюжет</t>
        </is>
      </c>
      <c r="C1643" s="2" t="n">
        <v>7633</v>
      </c>
      <c r="D1643" s="3" t="inlineStr">
        <is>
          <t>Зверобой</t>
        </is>
      </c>
      <c r="E1643" s="2" t="n">
        <v>1990</v>
      </c>
      <c r="F1643" s="2" t="inlineStr">
        <is>
          <t>телефильм</t>
        </is>
      </c>
      <c r="G1643" s="2" t="inlineStr">
        <is>
          <t>Союзтелефильм</t>
        </is>
      </c>
      <c r="H1643" s="2" t="n">
        <v>297</v>
      </c>
      <c r="I1643" s="2" t="inlineStr"/>
      <c r="J1643" s="2" t="inlineStr">
        <is>
          <t>да</t>
        </is>
      </c>
      <c r="K1643" s="3" t="inlineStr">
        <is>
          <t>По мотивам одноименного романа Дж. Фенимора Купера. Дебют Андрея Ростоцкого в качестве режиссёра. Середина XVIII века. Колониальный раздел Северной Америки продолжается. Борьба Англии и Франции за территориальное господство разделила и сделала врагами индейские племена и европейских переселенцев.</t>
        </is>
      </c>
      <c r="L1643" s="2" t="inlineStr">
        <is>
          <t>Кино_СССР сводный каталог.xlsx: список телефильмов</t>
        </is>
      </c>
      <c r="M1643" s="2">
        <f>HYPERLINK("https://ru.wikipedia.org/w/index.php?search=%D0%97%D0%B2%D0%B5%D1%80%D0%BE%D0%B1%D0%BE%D0%B9%201990%20%D1%84%D0%B8%D0%BB%D1%8C%D0%BC","искать")</f>
        <v/>
      </c>
      <c r="N1643" s="3" t="n"/>
      <c r="O1643" s="2" t="n"/>
    </row>
    <row r="1644">
      <c r="A1644" s="2" t="n">
        <v>1643</v>
      </c>
      <c r="B1644" s="2" t="inlineStr">
        <is>
          <t>не сюжет</t>
        </is>
      </c>
      <c r="C1644" s="2" t="n">
        <v>7645</v>
      </c>
      <c r="D1644" s="3" t="inlineStr">
        <is>
          <t>Земляки</t>
        </is>
      </c>
      <c r="E1644" s="2" t="n">
        <v>1988</v>
      </c>
      <c r="F1644" s="2" t="inlineStr">
        <is>
          <t>телефильм</t>
        </is>
      </c>
      <c r="G1644" s="2" t="n"/>
      <c r="H1644" s="2" t="n">
        <v>297</v>
      </c>
      <c r="I1644" s="2" t="inlineStr"/>
      <c r="J1644" s="2" t="inlineStr">
        <is>
          <t>да</t>
        </is>
      </c>
      <c r="K1644" s="3" t="inlineStr">
        <is>
          <t>Киноповесть по мотивам одноименного произведения писателя-публициста Ивана Васильева. В центре фильма - образ секретаря райкома партии Федора Пастухова, чья судьба драматически переплелась с судьбами его земляков: первого секретаря райкома Быкова, председателя колхоза Лаптева, журналиста Рожкова.</t>
        </is>
      </c>
      <c r="L1644" s="2" t="inlineStr">
        <is>
          <t>Кино_СССР сводный каталог.xlsx: список телефильмов</t>
        </is>
      </c>
      <c r="M1644" s="2">
        <f>HYPERLINK("https://ru.wikipedia.org/w/index.php?search=%D0%97%D0%B5%D0%BC%D0%BB%D1%8F%D0%BA%D0%B8%201988%20%D1%84%D0%B8%D0%BB%D1%8C%D0%BC","искать")</f>
        <v/>
      </c>
      <c r="N1644" s="3" t="n"/>
      <c r="O1644" s="2" t="n"/>
    </row>
    <row r="1645">
      <c r="A1645" s="2" t="n">
        <v>1644</v>
      </c>
      <c r="B1645" s="2" t="inlineStr">
        <is>
          <t>не сюжет</t>
        </is>
      </c>
      <c r="C1645" s="2" t="n">
        <v>7648</v>
      </c>
      <c r="D1645" s="3" t="inlineStr">
        <is>
          <t>Зимовье на Студёной</t>
        </is>
      </c>
      <c r="E1645" s="2" t="n">
        <v>1986</v>
      </c>
      <c r="F1645" s="2" t="inlineStr">
        <is>
          <t>телефильм</t>
        </is>
      </c>
      <c r="G1645" s="2" t="n"/>
      <c r="H1645" s="2" t="n">
        <v>299</v>
      </c>
      <c r="I1645" s="2" t="inlineStr"/>
      <c r="J1645" s="2" t="inlineStr">
        <is>
          <t>да</t>
        </is>
      </c>
      <c r="K1645" s="3" t="inlineStr">
        <is>
          <t>По мотивам рассказов Дмитрия Мамина-Сибиряка. Действие фильма происходит на Северном Урале в конце ХIХ века. Старик-охотник Елеска Шишмарёв одиноко живет в избушке, затерянной среди тайги и болот. Единственный его друг — пёс Музгарка. В центре фильма — судьба Елески, его доброта и любовь к природе.</t>
        </is>
      </c>
      <c r="L1645" s="2" t="inlineStr">
        <is>
          <t>Кино_СССР сводный каталог.xlsx: список телефильмов</t>
        </is>
      </c>
      <c r="M1645" s="2">
        <f>HYPERLINK("https://ru.wikipedia.org/w/index.php?search=%D0%97%D0%B8%D0%BC%D0%BE%D0%B2%D1%8C%D0%B5%20%D0%BD%D0%B0%20%D0%A1%D1%82%D1%83%D0%B4%D1%91%D0%BD%D0%BE%D0%B9%201986%20%D1%84%D0%B8%D0%BB%D1%8C%D0%BC","искать")</f>
        <v/>
      </c>
      <c r="N1645" s="3" t="n"/>
      <c r="O1645" s="2" t="n"/>
    </row>
    <row r="1646">
      <c r="A1646" s="2" t="n">
        <v>1645</v>
      </c>
      <c r="B1646" s="2" t="inlineStr">
        <is>
          <t>не сюжет</t>
        </is>
      </c>
      <c r="C1646" s="2" t="n">
        <v>7866</v>
      </c>
      <c r="D1646" s="3" t="inlineStr">
        <is>
          <t>Меньший среди братьев</t>
        </is>
      </c>
      <c r="E1646" s="2" t="n">
        <v>1984</v>
      </c>
      <c r="F1646" s="2" t="inlineStr">
        <is>
          <t>телефильм</t>
        </is>
      </c>
      <c r="G1646" s="2" t="n"/>
      <c r="H1646" s="2" t="n">
        <v>299</v>
      </c>
      <c r="I1646" s="2" t="inlineStr"/>
      <c r="J1646" s="2" t="inlineStr">
        <is>
          <t>да</t>
        </is>
      </c>
      <c r="K1646" s="3" t="inlineStr">
        <is>
          <t>По мотивам романа Григория Бакланова. Илья Константинович, бывший фронтовик, профессор истории, одарен живым умом, трезво оценивает жизнь и события, в споре со своей совестью не лукавит, в своих неудачах винит только самого себя. Но, смелый в мыслях, Илья Константинович не всегда мужествен в жизни.</t>
        </is>
      </c>
      <c r="L1646" s="2" t="inlineStr">
        <is>
          <t>Кино_СССР сводный каталог.xlsx: список телефильмов</t>
        </is>
      </c>
      <c r="M1646" s="2">
        <f>HYPERLINK("https://ru.wikipedia.org/w/index.php?search=%D0%9C%D0%B5%D0%BD%D1%8C%D1%88%D0%B8%D0%B9%20%D1%81%D1%80%D0%B5%D0%B4%D0%B8%20%D0%B1%D1%80%D0%B0%D1%82%D1%8C%D0%B5%D0%B2%201984%20%D1%84%D0%B8%D0%BB%D1%8C%D0%BC","искать")</f>
        <v/>
      </c>
      <c r="N1646" s="3" t="n"/>
      <c r="O1646" s="2" t="n"/>
    </row>
    <row r="1647">
      <c r="A1647" s="2" t="n">
        <v>1646</v>
      </c>
      <c r="B1647" s="2" t="inlineStr">
        <is>
          <t>не сюжет</t>
        </is>
      </c>
      <c r="C1647" s="2" t="n">
        <v>8964</v>
      </c>
      <c r="D1647" s="3" t="inlineStr">
        <is>
          <t>Последняя молитва Назарэ</t>
        </is>
      </c>
      <c r="E1647" s="2" t="n">
        <v>1988</v>
      </c>
      <c r="F1647" s="2" t="inlineStr">
        <is>
          <t>кинофильм</t>
        </is>
      </c>
      <c r="G1647" s="2" t="n"/>
      <c r="H1647" s="2" t="n">
        <v>299</v>
      </c>
      <c r="I1647" s="2" t="inlineStr"/>
      <c r="J1647" s="2" t="inlineStr">
        <is>
          <t>да</t>
        </is>
      </c>
      <c r="K1647" s="3" t="inlineStr">
        <is>
          <t>По мотивам одноименного рассказа Акакий Гацерилия. Сталкиваются два взгляда на жизнь, на смысл человеческого существования. Митрополит Назарэ проповедует идею смирения и всепрощения. «Религия» его оппонента — красного комиссара — в том, что человек — ничтожество и его жизнь не стоит ломаного гроша.</t>
        </is>
      </c>
      <c r="L1647" s="2" t="inlineStr">
        <is>
          <t>Кино_СССР сводный каталог.xlsx: список фильмов (доп.)</t>
        </is>
      </c>
      <c r="M1647" s="2">
        <f>HYPERLINK("https://ru.wikipedia.org/w/index.php?search=%D0%9F%D0%BE%D1%81%D0%BB%D0%B5%D0%B4%D0%BD%D1%8F%D1%8F%20%D0%BC%D0%BE%D0%BB%D0%B8%D1%82%D0%B2%D0%B0%20%D0%9D%D0%B0%D0%B7%D0%B0%D1%80%D1%8D%201988%20%D1%84%D0%B8%D0%BB%D1%8C%D0%BC","искать")</f>
        <v/>
      </c>
      <c r="N1647" s="3" t="n"/>
      <c r="O1647" s="2" t="n"/>
    </row>
    <row r="1648">
      <c r="A1648" s="2" t="n">
        <v>1647</v>
      </c>
      <c r="B1648" s="2" t="inlineStr">
        <is>
          <t>не сюжет</t>
        </is>
      </c>
      <c r="C1648" s="2" t="n">
        <v>8275</v>
      </c>
      <c r="D1648" s="3" t="inlineStr">
        <is>
          <t>Ритмы регаты</t>
        </is>
      </c>
      <c r="E1648" s="2" t="n">
        <v>1980</v>
      </c>
      <c r="F1648" s="2" t="inlineStr">
        <is>
          <t>телефильм</t>
        </is>
      </c>
      <c r="G1648" s="2" t="n"/>
      <c r="H1648" s="2" t="n">
        <v>300</v>
      </c>
      <c r="I1648" s="2" t="inlineStr"/>
      <c r="J1648" s="2" t="inlineStr">
        <is>
          <t>да</t>
        </is>
      </c>
      <c r="K1648" s="3" t="inlineStr">
        <is>
          <t>Таллинн - город проведения парусной регаты 22 Олимпийских игр. В эти дни Таллинн стал не только городом спорта, но и музыки. В передаче участвуют Тынис Мяги, Айя Кукуле, Иво Линна, Евгений Мартынов, солисты из ансамбля "Виру" Элонна Сприит и Александр Булдаков, ансамбль 46 средней школы "Щелкунчик".</t>
        </is>
      </c>
      <c r="L1648" s="2" t="inlineStr">
        <is>
          <t>Кино_СССР сводный каталог.xlsx: список телефильмов</t>
        </is>
      </c>
      <c r="M1648" s="2">
        <f>HYPERLINK("https://ru.wikipedia.org/w/index.php?search=%D0%A0%D0%B8%D1%82%D0%BC%D1%8B%20%D1%80%D0%B5%D0%B3%D0%B0%D1%82%D1%8B%201980%20%D1%84%D0%B8%D0%BB%D1%8C%D0%BC","искать")</f>
        <v/>
      </c>
      <c r="N1648" s="3" t="n"/>
      <c r="O1648" s="2" t="n"/>
    </row>
    <row r="1649">
      <c r="A1649" s="2" t="n">
        <v>1648</v>
      </c>
      <c r="B1649" s="2" t="inlineStr">
        <is>
          <t>не сюжет</t>
        </is>
      </c>
      <c r="C1649" s="2" t="n">
        <v>9225</v>
      </c>
      <c r="D1649" s="3" t="inlineStr">
        <is>
          <t>Безумная Лори</t>
        </is>
      </c>
      <c r="E1649" s="2" t="n">
        <v>1991</v>
      </c>
      <c r="F1649" s="2" t="inlineStr">
        <is>
          <t>кинофильм</t>
        </is>
      </c>
      <c r="G1649" s="2" t="n"/>
      <c r="H1649" s="2" t="n">
        <v>300</v>
      </c>
      <c r="I1649" s="2" t="inlineStr"/>
      <c r="J1649" s="2" t="inlineStr">
        <is>
          <t>да</t>
        </is>
      </c>
      <c r="K1649" s="3" t="inlineStr">
        <is>
          <t>Снят по мотивам повести Пола Гэллико "Томасина". Сказка. На самом севере Англии, в крохотном городке жили мрачный ветеринар Макдьюи, его семилетняя дочь Мэри Руа и рыжая кошка Томасина. А в соседнем лесу обитала затворница Лори, которая умела разговаривать с ангелами и гномами, лечить зверей и птиц.</t>
        </is>
      </c>
      <c r="L1649" s="2" t="inlineStr">
        <is>
          <t>Кино_СССР сводный каталог.xlsx: список фильмов (доп.)</t>
        </is>
      </c>
      <c r="M1649" s="2">
        <f>HYPERLINK("https://ru.wikipedia.org/w/index.php?search=%D0%91%D0%B5%D0%B7%D1%83%D0%BC%D0%BD%D0%B0%D1%8F%20%D0%9B%D0%BE%D1%80%D0%B8%201991%20%D1%84%D0%B8%D0%BB%D1%8C%D0%BC","искать")</f>
        <v/>
      </c>
      <c r="N1649" s="3" t="n"/>
      <c r="O1649" s="2" t="n"/>
    </row>
    <row r="1650">
      <c r="A1650" s="2" t="n">
        <v>1649</v>
      </c>
      <c r="B1650" s="2" t="inlineStr">
        <is>
          <t>не сюжет</t>
        </is>
      </c>
      <c r="C1650" s="2" t="n">
        <v>7342</v>
      </c>
      <c r="D1650" s="3" t="inlineStr">
        <is>
          <t>Визит к Минотавру</t>
        </is>
      </c>
      <c r="E1650" s="2" t="n">
        <v>1987</v>
      </c>
      <c r="F1650" s="2" t="inlineStr">
        <is>
          <t>телефильм</t>
        </is>
      </c>
      <c r="G1650" s="2" t="inlineStr">
        <is>
          <t>Центральная киностудия детских и юношеских фильмов имени М. Горького; Первое творческое объединение</t>
        </is>
      </c>
      <c r="H1650" s="2" t="n">
        <v>301</v>
      </c>
      <c r="I1650" s="2" t="inlineStr"/>
      <c r="J1650" s="2" t="inlineStr">
        <is>
          <t>да</t>
        </is>
      </c>
      <c r="K1650" s="3" t="inlineStr">
        <is>
          <t>По роману братьев Вайнеров. Когда-то Иконников имел шанс стать первой скрипкой. Но этого не произошло - конкурс выиграл его друг Поляков. Друг перестал быть другом, а прекрасный исполнитель, не желая быть вторым или третьим, нашел себе хобби и посвятил оставшиеся года изучению змей. Прошло много лет.</t>
        </is>
      </c>
      <c r="L1650" s="2" t="inlineStr">
        <is>
          <t>Кино_СССР сводный каталог.xlsx: список телефильмов</t>
        </is>
      </c>
      <c r="M1650" s="2">
        <f>HYPERLINK("https://ru.wikipedia.org/w/index.php?search=%D0%92%D0%B8%D0%B7%D0%B8%D1%82%20%D0%BA%20%D0%9C%D0%B8%D0%BD%D0%BE%D1%82%D0%B0%D0%B2%D1%80%D1%83%201987%20%D1%84%D0%B8%D0%BB%D1%8C%D0%BC","искать")</f>
        <v/>
      </c>
      <c r="N1650" s="3" t="n"/>
      <c r="O1650" s="2" t="n"/>
    </row>
    <row r="1651">
      <c r="A1651" s="2" t="n">
        <v>1650</v>
      </c>
      <c r="B1651" s="2" t="inlineStr">
        <is>
          <t>не сюжет</t>
        </is>
      </c>
      <c r="C1651" s="2" t="n">
        <v>7387</v>
      </c>
      <c r="D1651" s="3" t="inlineStr">
        <is>
          <t>Времена года (киноальманах)</t>
        </is>
      </c>
      <c r="E1651" s="2" t="n">
        <v>1968</v>
      </c>
      <c r="F1651" s="2" t="inlineStr">
        <is>
          <t>телефильм</t>
        </is>
      </c>
      <c r="G1651" s="2" t="n"/>
      <c r="H1651" s="2" t="n">
        <v>301</v>
      </c>
      <c r="I1651" s="2" t="inlineStr"/>
      <c r="J1651" s="2" t="inlineStr">
        <is>
          <t>да</t>
        </is>
      </c>
      <c r="K1651" s="3" t="inlineStr">
        <is>
          <t>Телефильм по рассказам Юрия Нагибина. Состоит из четырех новелл: "В апрельском лесу","Четвертый папа", "При дороге", "Дети лепят из снега". "Четвертый папа". Маленький Саша (Антоша Табаков) растет без отца. Его мама работает в больнице, большую часть времени мальчик проводит с домработницей Феничкой.</t>
        </is>
      </c>
      <c r="L1651" s="2" t="inlineStr">
        <is>
          <t>Кино_СССР сводный каталог.xlsx: список телефильмов</t>
        </is>
      </c>
      <c r="M1651" s="2">
        <f>HYPERLINK("https://ru.wikipedia.org/w/index.php?search=%D0%92%D1%80%D0%B5%D0%BC%D0%B5%D0%BD%D0%B0%20%D0%B3%D0%BE%D0%B4%D0%B0%20%28%D0%BA%D0%B8%D0%BD%D0%BE%D0%B0%D0%BB%D1%8C%D0%BC%D0%B0%D0%BD%D0%B0%D1%85%29%201968%20%D1%84%D0%B8%D0%BB%D1%8C%D0%BC","искать")</f>
        <v/>
      </c>
      <c r="N1651" s="3" t="n"/>
      <c r="O1651" s="2" t="n"/>
    </row>
    <row r="1652">
      <c r="A1652" s="2" t="n">
        <v>1651</v>
      </c>
      <c r="B1652" s="2" t="inlineStr">
        <is>
          <t>не сюжет</t>
        </is>
      </c>
      <c r="C1652" s="2" t="n">
        <v>10568</v>
      </c>
      <c r="D1652" s="3" t="inlineStr">
        <is>
          <t>Маленький принц</t>
        </is>
      </c>
      <c r="E1652" s="2" t="n">
        <v>1974</v>
      </c>
      <c r="F1652" s="2" t="inlineStr">
        <is>
          <t>фильм-спектакль</t>
        </is>
      </c>
      <c r="G1652" s="2" t="inlineStr">
        <is>
          <t>Центральное телевидение</t>
        </is>
      </c>
      <c r="H1652" s="2" t="n">
        <v>301</v>
      </c>
      <c r="I1652" s="2" t="inlineStr"/>
      <c r="J1652" s="2" t="inlineStr">
        <is>
          <t>да</t>
        </is>
      </c>
      <c r="K1652" s="3" t="inlineStr">
        <is>
          <t>По одноименной аллегорической сказке Антуана де Сент-Экзюпери в постановке Московского драматического театра имени К.С. Станиславского.
Мудрая и "человечная" сказка-притча, в которой просто и проникновенно говорится о самом важном: о дружбе и любви, о долге и верности, о красоте и нетерпимости к злу.</t>
        </is>
      </c>
      <c r="L1652" s="2" t="inlineStr">
        <is>
          <t>https://www.kino-teatr.ru/teatr/movie/92369/annot/</t>
        </is>
      </c>
      <c r="M1652" s="2">
        <f>HYPERLINK("https://ru.wikipedia.org/w/index.php?search=%D0%9C%D0%B0%D0%BB%D0%B5%D0%BD%D1%8C%D0%BA%D0%B8%D0%B9%20%D0%BF%D1%80%D0%B8%D0%BD%D1%86%201974%20%D1%84%D0%B8%D0%BB%D1%8C%D0%BC","искать")</f>
        <v/>
      </c>
      <c r="N1652" s="3" t="n"/>
      <c r="O1652" s="2" t="n"/>
    </row>
    <row r="1653">
      <c r="A1653" s="2" t="n">
        <v>1652</v>
      </c>
      <c r="B1653" s="2" t="inlineStr">
        <is>
          <t>не сюжет</t>
        </is>
      </c>
      <c r="C1653" s="2" t="n">
        <v>8103</v>
      </c>
      <c r="D1653" s="3" t="inlineStr">
        <is>
          <t>Песни для внучат</t>
        </is>
      </c>
      <c r="E1653" s="2" t="n">
        <v>1977</v>
      </c>
      <c r="F1653" s="2" t="inlineStr">
        <is>
          <t>телефильм</t>
        </is>
      </c>
      <c r="G1653" s="2" t="n"/>
      <c r="H1653" s="2" t="n">
        <v>302</v>
      </c>
      <c r="I1653" s="2" t="inlineStr"/>
      <c r="J1653" s="2" t="inlineStr">
        <is>
          <t>да</t>
        </is>
      </c>
      <c r="K1653" s="3" t="inlineStr">
        <is>
          <t>Есть в Грузии небольшой городок Саркинети. Главное достоинство этого славного городка — здесь поют все без исключения. У саркинетцев даже дети рождаются с многоголосной песней на устах. Более того, у саркинетцев дети поют всё: в их репертуаре — песни всех уголков земного шара и, говорят, даже Америки.</t>
        </is>
      </c>
      <c r="L1653" s="2" t="inlineStr">
        <is>
          <t>Кино_СССР сводный каталог.xlsx: список телефильмов</t>
        </is>
      </c>
      <c r="M1653" s="2">
        <f>HYPERLINK("https://ru.wikipedia.org/w/index.php?search=%D0%9F%D0%B5%D1%81%D0%BD%D0%B8%20%D0%B4%D0%BB%D1%8F%20%D0%B2%D0%BD%D1%83%D1%87%D0%B0%D1%82%201977%20%D1%84%D0%B8%D0%BB%D1%8C%D0%BC","искать")</f>
        <v/>
      </c>
      <c r="N1653" s="3" t="n"/>
      <c r="O1653" s="2" t="n"/>
    </row>
    <row r="1654">
      <c r="A1654" s="2" t="n">
        <v>1653</v>
      </c>
      <c r="B1654" s="2" t="inlineStr">
        <is>
          <t>не сюжет</t>
        </is>
      </c>
      <c r="C1654" s="2" t="n">
        <v>8775</v>
      </c>
      <c r="D1654" s="3" t="inlineStr">
        <is>
          <t>Корона ужа</t>
        </is>
      </c>
      <c r="E1654" s="2" t="n">
        <v>1986</v>
      </c>
      <c r="F1654" s="2" t="inlineStr">
        <is>
          <t>кинофильм</t>
        </is>
      </c>
      <c r="G1654" s="2" t="n"/>
      <c r="H1654" s="2" t="n">
        <v>302</v>
      </c>
      <c r="I1654" s="2" t="inlineStr"/>
      <c r="J1654" s="2" t="inlineStr">
        <is>
          <t>да</t>
        </is>
      </c>
      <c r="K1654" s="3" t="inlineStr">
        <is>
          <t>Фильм посвящён жизни и творчеству известного литовского художника и композитора М.К.Чюрлёниса. В нём не воспроизводится исторически точно его жизнь, это словно остановившиеся мгновения биографии, основные переломы и творческие тайны. Фильм - словно вариация на тему гениальность и творчество художника.</t>
        </is>
      </c>
      <c r="L1654" s="2" t="inlineStr">
        <is>
          <t>Кино_СССР сводный каталог.xlsx: список фильмов (доп.)</t>
        </is>
      </c>
      <c r="M1654" s="2">
        <f>HYPERLINK("https://ru.wikipedia.org/w/index.php?search=%D0%9A%D0%BE%D1%80%D0%BE%D0%BD%D0%B0%20%D1%83%D0%B6%D0%B0%201986%20%D1%84%D0%B8%D0%BB%D1%8C%D0%BC","искать")</f>
        <v/>
      </c>
      <c r="N1654" s="3" t="n"/>
      <c r="O1654" s="2" t="n"/>
    </row>
    <row r="1655">
      <c r="A1655" s="2" t="n">
        <v>1654</v>
      </c>
      <c r="B1655" s="2" t="inlineStr">
        <is>
          <t>не сюжет</t>
        </is>
      </c>
      <c r="C1655" s="2" t="n">
        <v>9467</v>
      </c>
      <c r="D1655" s="3" t="inlineStr">
        <is>
          <t>Мёд осы</t>
        </is>
      </c>
      <c r="E1655" s="2" t="n">
        <v>1991</v>
      </c>
      <c r="F1655" s="2" t="inlineStr">
        <is>
          <t>кинофильм</t>
        </is>
      </c>
      <c r="G1655" s="2" t="n"/>
      <c r="H1655" s="2" t="n">
        <v>303</v>
      </c>
      <c r="I1655" s="2" t="inlineStr"/>
      <c r="J1655" s="2" t="inlineStr">
        <is>
          <t>да</t>
        </is>
      </c>
      <c r="K1655" s="3" t="inlineStr">
        <is>
          <t>Фильм рассказывает о судьбе братьев-близнецов Бориса и Глеба, детство которых совпало с первыми послевоенными годами. Через религию приходят Борис и Глеб к вечным общечеловеческим ценностям, в то же время понимая, что в реальной жизни много страданий и люди не всегда придерживаются христианской морали.</t>
        </is>
      </c>
      <c r="L1655" s="2" t="inlineStr">
        <is>
          <t>Кино_СССР сводный каталог.xlsx: список фильмов (доп.)</t>
        </is>
      </c>
      <c r="M1655" s="2">
        <f>HYPERLINK("https://ru.wikipedia.org/w/index.php?search=%D0%9C%D1%91%D0%B4%20%D0%BE%D1%81%D1%8B%201991%20%D1%84%D0%B8%D0%BB%D1%8C%D0%BC","искать")</f>
        <v/>
      </c>
      <c r="N1655" s="3" t="n"/>
      <c r="O1655" s="2" t="n"/>
    </row>
    <row r="1656">
      <c r="A1656" s="2" t="n">
        <v>1655</v>
      </c>
      <c r="B1656" s="2" t="inlineStr">
        <is>
          <t>не сюжет</t>
        </is>
      </c>
      <c r="C1656" s="2" t="n">
        <v>9667</v>
      </c>
      <c r="D1656" s="3" t="inlineStr">
        <is>
          <t>Спаси и сохрани</t>
        </is>
      </c>
      <c r="E1656" s="2" t="n">
        <v>1989</v>
      </c>
      <c r="F1656" s="2" t="inlineStr">
        <is>
          <t>кинофильм</t>
        </is>
      </c>
      <c r="G1656" s="2" t="n"/>
      <c r="H1656" s="2" t="n">
        <v>303</v>
      </c>
      <c r="I1656" s="2" t="inlineStr"/>
      <c r="J1656" s="2" t="inlineStr">
        <is>
          <t>да</t>
        </is>
      </c>
      <c r="K1656" s="3" t="inlineStr">
        <is>
          <t>Экзистенциальный сюжет Сокуров нашел во французском романе Гюстава Флобера «Мадам Бовари», по которому снят фильм «Спаси и сохрани», названный фразой из православной молитвы. Обращение к роману — из давних замыслов режиссера. Исходным условием было то, что Эмму не могла играть профессиональная актриса.</t>
        </is>
      </c>
      <c r="L1656" s="2" t="inlineStr">
        <is>
          <t>Кино_СССР сводный каталог.xlsx: список фильмов (доп.)</t>
        </is>
      </c>
      <c r="M1656" s="2">
        <f>HYPERLINK("https://ru.wikipedia.org/w/index.php?search=%D0%A1%D0%BF%D0%B0%D1%81%D0%B8%20%D0%B8%20%D1%81%D0%BE%D1%85%D1%80%D0%B0%D0%BD%D0%B8%201989%20%D1%84%D0%B8%D0%BB%D1%8C%D0%BC","искать")</f>
        <v/>
      </c>
      <c r="N1656" s="3" t="n"/>
      <c r="O1656" s="2" t="n"/>
    </row>
    <row r="1657">
      <c r="A1657" s="2" t="n">
        <v>1656</v>
      </c>
      <c r="B1657" s="2" t="inlineStr">
        <is>
          <t>не сюжет</t>
        </is>
      </c>
      <c r="C1657" s="2" t="n">
        <v>7629</v>
      </c>
      <c r="D1657" s="3" t="inlineStr">
        <is>
          <t>Затемнённые окна</t>
        </is>
      </c>
      <c r="E1657" s="2" t="n">
        <v>1968</v>
      </c>
      <c r="F1657" s="2" t="inlineStr">
        <is>
          <t>телефильм</t>
        </is>
      </c>
      <c r="G1657" s="2" t="n"/>
      <c r="H1657" s="2" t="n">
        <v>304</v>
      </c>
      <c r="I1657" s="2" t="inlineStr"/>
      <c r="J1657" s="2" t="inlineStr">
        <is>
          <t>да</t>
        </is>
      </c>
      <c r="K1657" s="3" t="inlineStr">
        <is>
          <t>Телевизионный фильм снят по мотивам повести "Время тёмных окон" эстонской советской писательницы Лилли Промет (1922-2007). Это фильм о войне, о любви во время войны. В нем рассказывается история двух эстонских женщин - Марии и Леэды и двух мужчин - Герта и Мати. Действие происходит в сентябре 1944 года.</t>
        </is>
      </c>
      <c r="L1657" s="2" t="inlineStr">
        <is>
          <t>Кино_СССР сводный каталог.xlsx: список телефильмов</t>
        </is>
      </c>
      <c r="M1657" s="2">
        <f>HYPERLINK("https://ru.wikipedia.org/w/index.php?search=%D0%97%D0%B0%D1%82%D0%B5%D0%BC%D0%BD%D1%91%D0%BD%D0%BD%D1%8B%D0%B5%20%D0%BE%D0%BA%D0%BD%D0%B0%201968%20%D1%84%D0%B8%D0%BB%D1%8C%D0%BC","искать")</f>
        <v/>
      </c>
      <c r="N1657" s="3" t="n"/>
      <c r="O1657" s="2" t="n"/>
    </row>
    <row r="1658">
      <c r="A1658" s="2" t="n">
        <v>1657</v>
      </c>
      <c r="B1658" s="2" t="inlineStr">
        <is>
          <t>не сюжет</t>
        </is>
      </c>
      <c r="C1658" s="2" t="n">
        <v>9574</v>
      </c>
      <c r="D1658" s="3" t="inlineStr">
        <is>
          <t>После войны - мир</t>
        </is>
      </c>
      <c r="E1658" s="2" t="n">
        <v>1988</v>
      </c>
      <c r="F1658" s="2" t="inlineStr">
        <is>
          <t>кинофильм</t>
        </is>
      </c>
      <c r="G1658" s="2" t="n"/>
      <c r="H1658" s="2" t="n">
        <v>304</v>
      </c>
      <c r="I1658" s="2" t="inlineStr"/>
      <c r="J1658" s="2" t="inlineStr">
        <is>
          <t>да</t>
        </is>
      </c>
      <c r="K1658" s="3" t="inlineStr">
        <is>
          <t>В первые послевоенные годы в небольшом шахтерском поселке под Тулой живут в основном женщины и подростки. Матери наравне с мужчинами работают в шахте. Дети живут своей жизнью и зависимы от семнадцатилетнего уголовника по прозвищу Зверь. Он всем недоволен, его все боятся и стараются с ним не связываться.</t>
        </is>
      </c>
      <c r="L1658" s="2" t="inlineStr">
        <is>
          <t>Кино_СССР сводный каталог.xlsx: список фильмов (доп.)</t>
        </is>
      </c>
      <c r="M1658" s="2">
        <f>HYPERLINK("https://ru.wikipedia.org/w/index.php?search=%D0%9F%D0%BE%D1%81%D0%BB%D0%B5%20%D0%B2%D0%BE%D0%B9%D0%BD%D1%8B%20-%20%D0%BC%D0%B8%D1%80%201988%20%D1%84%D0%B8%D0%BB%D1%8C%D0%BC","искать")</f>
        <v/>
      </c>
      <c r="N1658" s="3" t="n"/>
      <c r="O1658" s="2" t="n"/>
    </row>
    <row r="1659">
      <c r="A1659" s="2" t="n">
        <v>1658</v>
      </c>
      <c r="B1659" s="2" t="inlineStr">
        <is>
          <t>не сюжет</t>
        </is>
      </c>
      <c r="C1659" s="2" t="n">
        <v>10161</v>
      </c>
      <c r="D1659" s="3" t="inlineStr">
        <is>
          <t>Бесталанная</t>
        </is>
      </c>
      <c r="E1659" s="2" t="n">
        <v>1966</v>
      </c>
      <c r="F1659" s="2" t="inlineStr">
        <is>
          <t>фильм-спектакль</t>
        </is>
      </c>
      <c r="G1659" s="2" t="inlineStr">
        <is>
          <t>Укртелефильм</t>
        </is>
      </c>
      <c r="H1659" s="2" t="n">
        <v>305</v>
      </c>
      <c r="I1659" s="2" t="inlineStr"/>
      <c r="J1659" s="2" t="inlineStr">
        <is>
          <t>да</t>
        </is>
      </c>
      <c r="K1659" s="3" t="inlineStr">
        <is>
          <t>Фильм-спектакль театра им. И.Франко по пьесе И.Карпенко-Карого. Это история из жизни украинской деревни. Характеры, нравы, любовь, страсти, рок - все завязывается в драматический узел, распутать который оказывается нелегко. Кто в пресловутом любовном треугольнике - Варька, Гнат и София - окажется лишним?</t>
        </is>
      </c>
      <c r="L1659" s="2" t="inlineStr">
        <is>
          <t>https://www.kino-teatr.ru/teatr/movie/16130/annot/</t>
        </is>
      </c>
      <c r="M1659" s="2">
        <f>HYPERLINK("https://ru.wikipedia.org/w/index.php?search=%D0%91%D0%B5%D1%81%D1%82%D0%B0%D0%BB%D0%B0%D0%BD%D0%BD%D0%B0%D1%8F%201966%20%D1%84%D0%B8%D0%BB%D1%8C%D0%BC","искать")</f>
        <v/>
      </c>
      <c r="N1659" s="3" t="n"/>
      <c r="O1659" s="2" t="n"/>
    </row>
    <row r="1660">
      <c r="A1660" s="2" t="n">
        <v>1659</v>
      </c>
      <c r="B1660" s="2" t="inlineStr">
        <is>
          <t>не сюжет</t>
        </is>
      </c>
      <c r="C1660" s="2" t="n">
        <v>7417</v>
      </c>
      <c r="D1660" s="3" t="inlineStr">
        <is>
          <t>Вчера, сегодня и всегда</t>
        </is>
      </c>
      <c r="E1660" s="2" t="n">
        <v>1969</v>
      </c>
      <c r="F1660" s="2" t="inlineStr">
        <is>
          <t>телефильм</t>
        </is>
      </c>
      <c r="G1660" s="2" t="inlineStr">
        <is>
          <t>Мосфильм, ТО «Телефильм»</t>
        </is>
      </c>
      <c r="H1660" s="2" t="n">
        <v>306</v>
      </c>
      <c r="I1660" s="2" t="inlineStr"/>
      <c r="J1660" s="2" t="inlineStr">
        <is>
          <t>да</t>
        </is>
      </c>
      <c r="K1660" s="3" t="inlineStr">
        <is>
          <t>По новеллам Е.Аграновича,С.Градзеньской, М.Гиндина, Э.Капчинского, М.Павловой, К.Рыжова, Г.Рябкина, Л.Фелеки. Фильм состоящий из двенадцати музыкальных, лирических, комедийных и танцевальных новелл. Помимо артистов, в картине участвуют также: балет Большого театра, группа манекенщиц, музыкальные ансамбли.</t>
        </is>
      </c>
      <c r="L1660" s="2" t="inlineStr">
        <is>
          <t>Кино_СССР сводный каталог.xlsx: список телефильмов</t>
        </is>
      </c>
      <c r="M1660" s="2">
        <f>HYPERLINK("https://ru.wikipedia.org/w/index.php?search=%D0%92%D1%87%D0%B5%D1%80%D0%B0%2C%20%D1%81%D0%B5%D0%B3%D0%BE%D0%B4%D0%BD%D1%8F%20%D0%B8%20%D0%B2%D1%81%D0%B5%D0%B3%D0%B4%D0%B0%201969%20%D1%84%D0%B8%D0%BB%D1%8C%D0%BC","искать")</f>
        <v/>
      </c>
      <c r="N1660" s="3" t="n"/>
      <c r="O1660" s="2" t="n"/>
    </row>
    <row r="1661">
      <c r="A1661" s="2" t="n">
        <v>1660</v>
      </c>
      <c r="B1661" s="2" t="inlineStr">
        <is>
          <t>не сюжет</t>
        </is>
      </c>
      <c r="C1661" s="2" t="n">
        <v>7456</v>
      </c>
      <c r="D1661" s="3" t="inlineStr">
        <is>
          <t>Горькая судьба</t>
        </is>
      </c>
      <c r="E1661" s="2" t="n">
        <v>1970</v>
      </c>
      <c r="F1661" s="2" t="inlineStr">
        <is>
          <t>телефильм</t>
        </is>
      </c>
      <c r="G1661" s="2" t="n"/>
      <c r="H1661" s="2" t="n">
        <v>306</v>
      </c>
      <c r="I1661" s="2" t="inlineStr"/>
      <c r="J1661" s="2" t="inlineStr">
        <is>
          <t>да</t>
        </is>
      </c>
      <c r="K1661" s="3" t="inlineStr">
        <is>
          <t>Телефильм. Сюжет, основанный на событиях печальной легенды, повествует о жизни туркменского бахши. Песни, звучавшие от имени главного героя, исполнил популярный певец Аннаберды Атданов. Мелодии и песни Нуры Халмамедова, написанные к фильму "Кечпелек", завоевали огромную популярность и любовь телезрителей.</t>
        </is>
      </c>
      <c r="L1661" s="2" t="inlineStr">
        <is>
          <t>Кино_СССР сводный каталог.xlsx: список телефильмов</t>
        </is>
      </c>
      <c r="M1661" s="2">
        <f>HYPERLINK("https://ru.wikipedia.org/w/index.php?search=%D0%93%D0%BE%D1%80%D1%8C%D0%BA%D0%B0%D1%8F%20%D1%81%D1%83%D0%B4%D1%8C%D0%B1%D0%B0%201970%20%D1%84%D0%B8%D0%BB%D1%8C%D0%BC","искать")</f>
        <v/>
      </c>
      <c r="N1661" s="3" t="n"/>
      <c r="O1661" s="2" t="n"/>
    </row>
    <row r="1662">
      <c r="A1662" s="2" t="n">
        <v>1661</v>
      </c>
      <c r="B1662" s="2" t="inlineStr">
        <is>
          <t>не сюжет</t>
        </is>
      </c>
      <c r="C1662" s="2" t="n">
        <v>7743</v>
      </c>
      <c r="D1662" s="3" t="inlineStr">
        <is>
          <t>Кольцо старого шейха</t>
        </is>
      </c>
      <c r="E1662" s="2" t="n">
        <v>1980</v>
      </c>
      <c r="F1662" s="2" t="inlineStr">
        <is>
          <t>телефильм</t>
        </is>
      </c>
      <c r="G1662" s="2" t="n"/>
      <c r="H1662" s="2" t="n">
        <v>307</v>
      </c>
      <c r="I1662" s="2" t="inlineStr"/>
      <c r="J1662" s="2" t="inlineStr">
        <is>
          <t>да</t>
        </is>
      </c>
      <c r="K1662" s="3" t="inlineStr">
        <is>
          <t>По мотивам одноименного романа Р.Кешокова. Продолжение телефильма "По следам Карабаира". Успешное строительство социализма в нашей стране вызывало дикую злобу у её врагов. Этот фильм - о самоотверженной борьбе сотрудников милиции с попытками подорвать советский строй на Северном Кавказе в предвоенные годы.</t>
        </is>
      </c>
      <c r="L1662" s="2" t="inlineStr">
        <is>
          <t>Кино_СССР сводный каталог.xlsx: список телефильмов</t>
        </is>
      </c>
      <c r="M1662" s="2">
        <f>HYPERLINK("https://ru.wikipedia.org/w/index.php?search=%D0%9A%D0%BE%D0%BB%D1%8C%D1%86%D0%BE%20%D1%81%D1%82%D0%B0%D1%80%D0%BE%D0%B3%D0%BE%20%D1%88%D0%B5%D0%B9%D1%85%D0%B0%201980%20%D1%84%D0%B8%D0%BB%D1%8C%D0%BC","искать")</f>
        <v/>
      </c>
      <c r="N1662" s="3" t="n"/>
      <c r="O1662" s="2" t="n"/>
    </row>
    <row r="1663">
      <c r="A1663" s="2" t="n">
        <v>1662</v>
      </c>
      <c r="B1663" s="2" t="inlineStr">
        <is>
          <t>не сюжет</t>
        </is>
      </c>
      <c r="C1663" s="2" t="n">
        <v>8304</v>
      </c>
      <c r="D1663" s="3" t="inlineStr">
        <is>
          <t>Свадьба Кречинского</t>
        </is>
      </c>
      <c r="E1663" s="2" t="n">
        <v>1974</v>
      </c>
      <c r="F1663" s="2" t="inlineStr">
        <is>
          <t>телефильм</t>
        </is>
      </c>
      <c r="G1663" s="2" t="n"/>
      <c r="H1663" s="2" t="n">
        <v>307</v>
      </c>
      <c r="I1663" s="2" t="inlineStr"/>
      <c r="J1663" s="2" t="inlineStr">
        <is>
          <t>да</t>
        </is>
      </c>
      <c r="K1663" s="3" t="inlineStr">
        <is>
          <t>Музыкальный телефильм по мотивам пьесы А.В.Сухово-Кобылина. Комедия "Свадьба Кречинского" Александра Васильевича Сухово-Кобылина, написанная в середине XIX века, является одним из лучших произведений русской драматургии. Действие пьесы напоминает карточную игру, где ставками является Счастье, Жизнь, Честь.</t>
        </is>
      </c>
      <c r="L1663" s="2" t="inlineStr">
        <is>
          <t>Кино_СССР сводный каталог.xlsx: список телефильмов</t>
        </is>
      </c>
      <c r="M1663" s="2">
        <f>HYPERLINK("https://ru.wikipedia.org/w/index.php?search=%D0%A1%D0%B2%D0%B0%D0%B4%D1%8C%D0%B1%D0%B0%20%D0%9A%D1%80%D0%B5%D1%87%D0%B8%D0%BD%D1%81%D0%BA%D0%BE%D0%B3%D0%BE%201974%20%D1%84%D0%B8%D0%BB%D1%8C%D0%BC","искать")</f>
        <v/>
      </c>
      <c r="N1663" s="3" t="n"/>
      <c r="O1663" s="2" t="n"/>
    </row>
    <row r="1664">
      <c r="A1664" s="2" t="n">
        <v>1663</v>
      </c>
      <c r="B1664" s="2" t="inlineStr">
        <is>
          <t>не сюжет</t>
        </is>
      </c>
      <c r="C1664" s="2" t="n">
        <v>8900</v>
      </c>
      <c r="D1664" s="3" t="inlineStr">
        <is>
          <t>Осада</t>
        </is>
      </c>
      <c r="E1664" s="2" t="n">
        <v>1989</v>
      </c>
      <c r="F1664" s="2" t="inlineStr">
        <is>
          <t>кинофильм</t>
        </is>
      </c>
      <c r="G1664" s="2" t="n"/>
      <c r="H1664" s="2" t="n">
        <v>307</v>
      </c>
      <c r="I1664" s="2" t="inlineStr"/>
      <c r="J1664" s="2" t="inlineStr">
        <is>
          <t>да</t>
        </is>
      </c>
      <c r="K1664" s="3" t="inlineStr">
        <is>
          <t>ალყა Тонкая и вместе с тем неожиданная лента — последняя работа в кино Омари Гвасалия, погибшего в автомобильной катастрофе. Здесь нет ни дат, ни названий вполне конкретных мест Грузии. Потому как на каждой горе — развалины древней стены, за каждой скалой — вереница сражений, каждый храм — памятник победы.</t>
        </is>
      </c>
      <c r="L1664" s="2" t="inlineStr">
        <is>
          <t>Кино_СССР сводный каталог.xlsx: список фильмов (доп.)</t>
        </is>
      </c>
      <c r="M1664" s="2">
        <f>HYPERLINK("https://ru.wikipedia.org/w/index.php?search=%D0%9E%D1%81%D0%B0%D0%B4%D0%B0%201989%20%D1%84%D0%B8%D0%BB%D1%8C%D0%BC","искать")</f>
        <v/>
      </c>
      <c r="N1664" s="3" t="n"/>
      <c r="O1664" s="2" t="n"/>
    </row>
    <row r="1665">
      <c r="A1665" s="2" t="n">
        <v>1664</v>
      </c>
      <c r="B1665" s="2" t="inlineStr">
        <is>
          <t>не сюжет</t>
        </is>
      </c>
      <c r="C1665" s="2" t="n">
        <v>9065</v>
      </c>
      <c r="D1665" s="3" t="inlineStr">
        <is>
          <t>Срок - семь дней</t>
        </is>
      </c>
      <c r="E1665" s="2" t="n">
        <v>1991</v>
      </c>
      <c r="F1665" s="2" t="inlineStr">
        <is>
          <t>кинофильм</t>
        </is>
      </c>
      <c r="G1665" s="2" t="n"/>
      <c r="H1665" s="2" t="n">
        <v>307</v>
      </c>
      <c r="I1665" s="2" t="inlineStr"/>
      <c r="J1665" s="2" t="inlineStr">
        <is>
          <t>да</t>
        </is>
      </c>
      <c r="K1665" s="3" t="inlineStr">
        <is>
          <t>Банальная история несостоявшейся любви Мужчины и Женщины происходит на фоне саморазрушающегося города. Города, куда идут солдаты и куда уже пришли лжепророки. Здесь уже никого не удивляют ни апостолы, сами торгующие в Храме, ни Лже-Спаситель, раздающий 30 сребреников Ученикам, расписывающимся в ведомостях.</t>
        </is>
      </c>
      <c r="L1665" s="2" t="inlineStr">
        <is>
          <t>Кино_СССР сводный каталог.xlsx: список фильмов (доп.)</t>
        </is>
      </c>
      <c r="M1665" s="2">
        <f>HYPERLINK("https://ru.wikipedia.org/w/index.php?search=%D0%A1%D1%80%D0%BE%D0%BA%20-%20%D1%81%D0%B5%D0%BC%D1%8C%20%D0%B4%D0%BD%D0%B5%D0%B9%201991%20%D1%84%D0%B8%D0%BB%D1%8C%D0%BC","искать")</f>
        <v/>
      </c>
      <c r="N1665" s="3" t="n"/>
      <c r="O1665" s="2" t="n"/>
    </row>
    <row r="1666">
      <c r="A1666" s="2" t="n">
        <v>1665</v>
      </c>
      <c r="B1666" s="2" t="inlineStr">
        <is>
          <t>не сюжет</t>
        </is>
      </c>
      <c r="C1666" s="2" t="n">
        <v>9660</v>
      </c>
      <c r="D1666" s="3" t="inlineStr">
        <is>
          <t>Солдатская сказка</t>
        </is>
      </c>
      <c r="E1666" s="2" t="n">
        <v>1990</v>
      </c>
      <c r="F1666" s="2" t="inlineStr">
        <is>
          <t>кинофильм</t>
        </is>
      </c>
      <c r="G1666" s="2" t="n"/>
      <c r="H1666" s="2" t="n">
        <v>307</v>
      </c>
      <c r="I1666" s="2" t="inlineStr"/>
      <c r="J1666" s="2" t="inlineStr">
        <is>
          <t>да</t>
        </is>
      </c>
      <c r="K1666" s="3" t="inlineStr">
        <is>
          <t>Неискаженное отражение армейской специфики национального вопроса. Душевная простая история из армейской жизни, в которой проявляется любовь, бессмысленная жестокость - все, что есть в человеке и в экстремальной ситуации вырывается наружу. Действие фильма происходит в течение одной южной ночи в &lt;самоволке&gt;.</t>
        </is>
      </c>
      <c r="L1666" s="2" t="inlineStr">
        <is>
          <t>Кино_СССР сводный каталог.xlsx: список фильмов (доп.)</t>
        </is>
      </c>
      <c r="M1666" s="2">
        <f>HYPERLINK("https://ru.wikipedia.org/w/index.php?search=%D0%A1%D0%BE%D0%BB%D0%B4%D0%B0%D1%82%D1%81%D0%BA%D0%B0%D1%8F%20%D1%81%D0%BA%D0%B0%D0%B7%D0%BA%D0%B0%201990%20%D1%84%D0%B8%D0%BB%D1%8C%D0%BC","искать")</f>
        <v/>
      </c>
      <c r="N1666" s="3" t="n"/>
      <c r="O1666" s="2" t="n"/>
    </row>
    <row r="1667">
      <c r="A1667" s="2" t="n">
        <v>1666</v>
      </c>
      <c r="B1667" s="2" t="inlineStr">
        <is>
          <t>не сюжет</t>
        </is>
      </c>
      <c r="C1667" s="2" t="n">
        <v>7289</v>
      </c>
      <c r="D1667" s="3" t="inlineStr">
        <is>
          <t>В горах мое сердце</t>
        </is>
      </c>
      <c r="E1667" s="2" t="n">
        <v>1975</v>
      </c>
      <c r="F1667" s="2" t="inlineStr">
        <is>
          <t>телефильм</t>
        </is>
      </c>
      <c r="G1667" s="2" t="inlineStr">
        <is>
          <t>Арменфильм</t>
        </is>
      </c>
      <c r="H1667" s="2" t="n">
        <v>308</v>
      </c>
      <c r="I1667" s="2" t="inlineStr"/>
      <c r="J1667" s="2" t="inlineStr">
        <is>
          <t>да</t>
        </is>
      </c>
      <c r="K1667" s="3" t="inlineStr">
        <is>
          <t>По мотивам одноименной пьесы Уильяма Сарояна. Драма о семье армянских эмигрантов в США, живущих бедно, но честно, и хранящих память о древней родине. Действие происходит в годы Первой мировой войны. Левон Григорян: «Я должен сразу предупредить зрителей, что в фильме наблюдается некоторая скованность камеры.</t>
        </is>
      </c>
      <c r="L1667" s="2" t="inlineStr">
        <is>
          <t>Кино_СССР сводный каталог.xlsx: список телефильмов</t>
        </is>
      </c>
      <c r="M1667" s="2">
        <f>HYPERLINK("https://ru.wikipedia.org/w/index.php?search=%D0%92%20%D0%B3%D0%BE%D1%80%D0%B0%D1%85%20%D0%BC%D0%BE%D0%B5%20%D1%81%D0%B5%D1%80%D0%B4%D1%86%D0%B5%201975%20%D1%84%D0%B8%D0%BB%D1%8C%D0%BC","искать")</f>
        <v/>
      </c>
      <c r="N1667" s="3" t="n"/>
      <c r="O1667" s="2" t="n"/>
    </row>
    <row r="1668">
      <c r="A1668" s="2" t="n">
        <v>1667</v>
      </c>
      <c r="B1668" s="2" t="inlineStr">
        <is>
          <t>не сюжет</t>
        </is>
      </c>
      <c r="C1668" s="2" t="n">
        <v>9073</v>
      </c>
      <c r="D1668" s="3" t="inlineStr">
        <is>
          <t>Строгий юноша</t>
        </is>
      </c>
      <c r="E1668" s="2" t="n">
        <v>1935</v>
      </c>
      <c r="F1668" s="2" t="inlineStr">
        <is>
          <t>кинофильм</t>
        </is>
      </c>
      <c r="G1668" s="2" t="n"/>
      <c r="H1668" s="2" t="n">
        <v>308</v>
      </c>
      <c r="I1668" s="2" t="inlineStr"/>
      <c r="J1668" s="2" t="inlineStr">
        <is>
          <t>да</t>
        </is>
      </c>
      <c r="K1668" s="3" t="inlineStr">
        <is>
          <t>Философско-романтическая драма о любви и ревности в наступающем идеальном бесклассовом обществе по одноименной кинопьесе Ю. К. Олеши. В кинопьесе «Строгий юноша» Олеша попытался создать тип нового молодого героя, человека, наделенного лучшими физическими и духовными свойствами нескольких поколений молодежи.</t>
        </is>
      </c>
      <c r="L1668" s="2" t="inlineStr">
        <is>
          <t>Кино_СССР сводный каталог.xlsx: список фильмов (доп.)</t>
        </is>
      </c>
      <c r="M1668" s="2">
        <f>HYPERLINK("https://ru.wikipedia.org/w/index.php?search=%D0%A1%D1%82%D1%80%D0%BE%D0%B3%D0%B8%D0%B9%20%D1%8E%D0%BD%D0%BE%D1%88%D0%B0%201935%20%D1%84%D0%B8%D0%BB%D1%8C%D0%BC","искать")</f>
        <v/>
      </c>
      <c r="N1668" s="3" t="n"/>
      <c r="O1668" s="2" t="n"/>
    </row>
    <row r="1669">
      <c r="A1669" s="2" t="n">
        <v>1668</v>
      </c>
      <c r="B1669" s="2" t="inlineStr">
        <is>
          <t>не сюжет</t>
        </is>
      </c>
      <c r="C1669" s="2" t="n">
        <v>9740</v>
      </c>
      <c r="D1669" s="3" t="inlineStr">
        <is>
          <t>Царь Иван Грозный</t>
        </is>
      </c>
      <c r="E1669" s="2" t="n">
        <v>1991</v>
      </c>
      <c r="F1669" s="2" t="inlineStr">
        <is>
          <t>кинофильм</t>
        </is>
      </c>
      <c r="G1669" s="2" t="n"/>
      <c r="H1669" s="2" t="n">
        <v>308</v>
      </c>
      <c r="I1669" s="2" t="inlineStr"/>
      <c r="J1669" s="2" t="inlineStr">
        <is>
          <t>да</t>
        </is>
      </c>
      <c r="K1669" s="3" t="inlineStr">
        <is>
          <t>Исторический фильм по мотивам повести А. Толстого "Князь Серебряный". Царствование Ивана Грозного - это время славы, роскоши и жестокости, время, когда все понятия извращались, низость называлась добродетелью, а предательство входило в закон. Но даже тогда были люди, подобные князю Серебряному или Морозову.</t>
        </is>
      </c>
      <c r="L1669" s="2" t="inlineStr">
        <is>
          <t>Кино_СССР сводный каталог.xlsx: список фильмов (доп.)</t>
        </is>
      </c>
      <c r="M1669" s="2">
        <f>HYPERLINK("https://ru.wikipedia.org/w/index.php?search=%D0%A6%D0%B0%D1%80%D1%8C%20%D0%98%D0%B2%D0%B0%D0%BD%20%D0%93%D1%80%D0%BE%D0%B7%D0%BD%D1%8B%D0%B9%201991%20%D1%84%D0%B8%D0%BB%D1%8C%D0%BC","искать")</f>
        <v/>
      </c>
      <c r="N1669" s="3" t="n"/>
      <c r="O1669" s="2" t="n"/>
    </row>
    <row r="1670">
      <c r="A1670" s="2" t="n">
        <v>1669</v>
      </c>
      <c r="B1670" s="2" t="inlineStr">
        <is>
          <t>не сюжет</t>
        </is>
      </c>
      <c r="C1670" s="2" t="n">
        <v>10869</v>
      </c>
      <c r="D1670" s="3" t="inlineStr">
        <is>
          <t>У времени в плену</t>
        </is>
      </c>
      <c r="E1670" s="2" t="n">
        <v>1980</v>
      </c>
      <c r="F1670" s="2" t="inlineStr">
        <is>
          <t>фильм-спектакль</t>
        </is>
      </c>
      <c r="G1670" s="2" t="inlineStr">
        <is>
          <t>Центральное телевидение</t>
        </is>
      </c>
      <c r="H1670" s="2" t="n">
        <v>309</v>
      </c>
      <c r="I1670" s="2" t="inlineStr"/>
      <c r="J1670" s="2" t="inlineStr">
        <is>
          <t>да</t>
        </is>
      </c>
      <c r="K1670" s="3" t="inlineStr">
        <is>
          <t>По одноименной пьесе Александра Штейна в постановке Московского академического театра сатиры.
В основе пьесы - произведения Всеволода Вишневского: "Первая конная", "Оптимистическая трагедия", "Мы из Кронштадта".
Это историко-революционные фантазии, где впервые на советской сцене герой просил вернуть прошлое.</t>
        </is>
      </c>
      <c r="L1670" s="2" t="inlineStr">
        <is>
          <t>https://www.kino-teatr.ru/teatr/movie/79311/annot/</t>
        </is>
      </c>
      <c r="M1670" s="2">
        <f>HYPERLINK("https://ru.wikipedia.org/w/index.php?search=%D0%A3%20%D0%B2%D1%80%D0%B5%D0%BC%D0%B5%D0%BD%D0%B8%20%D0%B2%20%D0%BF%D0%BB%D0%B5%D0%BD%D1%83%201980%20%D1%84%D0%B8%D0%BB%D1%8C%D0%BC","искать")</f>
        <v/>
      </c>
      <c r="N1670" s="3" t="n"/>
      <c r="O1670" s="2" t="n"/>
    </row>
    <row r="1671">
      <c r="A1671" s="2" t="n">
        <v>1670</v>
      </c>
      <c r="B1671" s="2" t="inlineStr">
        <is>
          <t>не сюжет</t>
        </is>
      </c>
      <c r="C1671" s="2" t="n">
        <v>7423</v>
      </c>
      <c r="D1671" s="3" t="inlineStr">
        <is>
          <t>Выставка</t>
        </is>
      </c>
      <c r="E1671" s="2" t="n">
        <v>1987</v>
      </c>
      <c r="F1671" s="2" t="inlineStr">
        <is>
          <t>телефильм</t>
        </is>
      </c>
      <c r="G1671" s="2" t="inlineStr">
        <is>
          <t>Литовская киностудия</t>
        </is>
      </c>
      <c r="H1671" s="2" t="n">
        <v>310</v>
      </c>
      <c r="I1671" s="2" t="inlineStr"/>
      <c r="J1671" s="2" t="inlineStr">
        <is>
          <t>да</t>
        </is>
      </c>
      <c r="K1671" s="3" t="inlineStr">
        <is>
          <t>Телефильм по мотивам романа В.Бубниса "Приглашение". У директора краеведческого музея Адамониса есть всё, что, по его мнению, должен иметь служащий такого ранга: с виду благополучная семья, как будто уважающие его сотрудники, и даже любовница. Кроме того, ему покровительствует первый секретарь райкома партии.</t>
        </is>
      </c>
      <c r="L1671" s="2" t="inlineStr">
        <is>
          <t>Кино_СССР сводный каталог.xlsx: список телефильмов</t>
        </is>
      </c>
      <c r="M1671" s="2">
        <f>HYPERLINK("https://ru.wikipedia.org/w/index.php?search=%D0%92%D1%8B%D1%81%D1%82%D0%B0%D0%B2%D0%BA%D0%B0%201987%20%D1%84%D0%B8%D0%BB%D1%8C%D0%BC","искать")</f>
        <v/>
      </c>
      <c r="N1671" s="3" t="n"/>
      <c r="O1671" s="2" t="n"/>
    </row>
    <row r="1672">
      <c r="A1672" s="2" t="n">
        <v>1671</v>
      </c>
      <c r="B1672" s="2" t="inlineStr">
        <is>
          <t>не сюжет</t>
        </is>
      </c>
      <c r="C1672" s="2" t="n">
        <v>11197</v>
      </c>
      <c r="D1672" s="3" t="inlineStr">
        <is>
          <t>Дорогие мои, хорошие</t>
        </is>
      </c>
      <c r="E1672" s="2" t="n">
        <v>1988</v>
      </c>
      <c r="F1672" s="2" t="inlineStr">
        <is>
          <t>фильм-спектакль</t>
        </is>
      </c>
      <c r="G1672" s="2" t="inlineStr">
        <is>
          <t>Главная редакция литературно-драматических программ ЦТ</t>
        </is>
      </c>
      <c r="H1672" s="2" t="n">
        <v>310</v>
      </c>
      <c r="I1672" s="2" t="inlineStr"/>
      <c r="J1672" s="2" t="inlineStr">
        <is>
          <t>да</t>
        </is>
      </c>
      <c r="K1672" s="3" t="inlineStr">
        <is>
          <t>По произведениям С.Есенина в постановке Московского Художественного академического театра Союза ССР имени М.Горького.
В спектакле использованы документы, письма, воспоминания А.Блока, С.Городецкого, М.Горького, Б.Пастернака, А.Есениной, Е.Есениной, А.Луначарского, В.Маяковского, В.Мейерхольда, А.Миклашевской.</t>
        </is>
      </c>
      <c r="L1672" s="2" t="inlineStr">
        <is>
          <t>https://www.kino-teatr.ru/teatr/movie/81562/annot/</t>
        </is>
      </c>
      <c r="M1672" s="2">
        <f>HYPERLINK("https://ru.wikipedia.org/w/index.php?search=%D0%94%D0%BE%D1%80%D0%BE%D0%B3%D0%B8%D0%B5%20%D0%BC%D0%BE%D0%B8%2C%20%D1%85%D0%BE%D1%80%D0%BE%D1%88%D0%B8%D0%B5%201988%20%D1%84%D0%B8%D0%BB%D1%8C%D0%BC","искать")</f>
        <v/>
      </c>
      <c r="N1672" s="3" t="n"/>
      <c r="O1672" s="2" t="n"/>
    </row>
    <row r="1673">
      <c r="A1673" s="2" t="n">
        <v>1672</v>
      </c>
      <c r="B1673" s="2" t="inlineStr">
        <is>
          <t>не сюжет</t>
        </is>
      </c>
      <c r="C1673" s="2" t="n">
        <v>9465</v>
      </c>
      <c r="D1673" s="3" t="inlineStr">
        <is>
          <t>Манкурт</t>
        </is>
      </c>
      <c r="E1673" s="2" t="n">
        <v>1988</v>
      </c>
      <c r="F1673" s="2" t="inlineStr">
        <is>
          <t>кинофильм</t>
        </is>
      </c>
      <c r="G1673" s="2" t="n"/>
      <c r="H1673" s="2" t="n">
        <v>311</v>
      </c>
      <c r="I1673" s="2" t="inlineStr"/>
      <c r="J1673" s="2" t="inlineStr">
        <is>
          <t>да</t>
        </is>
      </c>
      <c r="K1673" s="3" t="inlineStr">
        <is>
          <t>По мотивам романа Ч.Айтматова "И дольше века длится день". Философская притча о существе, лишенном памяти о родителях, о матери, лишенном чувства стыда, совести, чести, превращенного в зверя в человеческом обличии. ...Несется конница. С гиканьем скачут, поднимая тучи пыли, воины в остроконечных кожаных шлемах.</t>
        </is>
      </c>
      <c r="L1673" s="2" t="inlineStr">
        <is>
          <t>Кино_СССР сводный каталог.xlsx: список фильмов (доп.)</t>
        </is>
      </c>
      <c r="M1673" s="2">
        <f>HYPERLINK("https://ru.wikipedia.org/w/index.php?search=%D0%9C%D0%B0%D0%BD%D0%BA%D1%83%D1%80%D1%82%201988%20%D1%84%D0%B8%D0%BB%D1%8C%D0%BC","искать")</f>
        <v/>
      </c>
      <c r="N1673" s="3" t="n"/>
      <c r="O1673" s="2" t="n"/>
    </row>
    <row r="1674">
      <c r="A1674" s="2" t="n">
        <v>1673</v>
      </c>
      <c r="B1674" s="2" t="inlineStr">
        <is>
          <t>не сюжет</t>
        </is>
      </c>
      <c r="C1674" s="2" t="n">
        <v>9701</v>
      </c>
      <c r="D1674" s="3" t="inlineStr">
        <is>
          <t>Трудно первые сто лет</t>
        </is>
      </c>
      <c r="E1674" s="2" t="n">
        <v>1988</v>
      </c>
      <c r="F1674" s="2" t="inlineStr">
        <is>
          <t>кинофильм</t>
        </is>
      </c>
      <c r="G1674" s="2" t="n"/>
      <c r="H1674" s="2" t="n">
        <v>311</v>
      </c>
      <c r="I1674" s="2" t="inlineStr"/>
      <c r="J1674" s="2" t="inlineStr">
        <is>
          <t>да</t>
        </is>
      </c>
      <c r="K1674" s="3" t="inlineStr">
        <is>
          <t>Обыкновенная, каждодневная жизнь молодой девушки, которую зовут Варя. Жизнь с пустыми прилавками магазина, с тяжелой выматывающей работой доярки, с цветным телевизором, в котором мелькает какая-то марсианская, красочная жизнь звезд эстрады, с работягой мужем, рвущим свои и ее жилы на строительстве нового дома.</t>
        </is>
      </c>
      <c r="L1674" s="2" t="inlineStr">
        <is>
          <t>Кино_СССР сводный каталог.xlsx: список фильмов (доп.)</t>
        </is>
      </c>
      <c r="M1674" s="2">
        <f>HYPERLINK("https://ru.wikipedia.org/w/index.php?search=%D0%A2%D1%80%D1%83%D0%B4%D0%BD%D0%BE%20%D0%BF%D0%B5%D1%80%D0%B2%D1%8B%D0%B5%20%D1%81%D1%82%D0%BE%20%D0%BB%D0%B5%D1%82%201988%20%D1%84%D0%B8%D0%BB%D1%8C%D0%BC","искать")</f>
        <v/>
      </c>
      <c r="N1674" s="3" t="n"/>
      <c r="O1674" s="2" t="n"/>
    </row>
    <row r="1675">
      <c r="A1675" s="2" t="n">
        <v>1674</v>
      </c>
      <c r="B1675" s="2" t="inlineStr">
        <is>
          <t>не сюжет</t>
        </is>
      </c>
      <c r="C1675" s="2" t="n">
        <v>7334</v>
      </c>
      <c r="D1675" s="3" t="inlineStr">
        <is>
          <t>Вечный зов</t>
        </is>
      </c>
      <c r="E1675" s="2" t="n">
        <v>1973</v>
      </c>
      <c r="F1675" s="2" t="inlineStr">
        <is>
          <t>телефильм</t>
        </is>
      </c>
      <c r="G1675" s="2" t="inlineStr">
        <is>
          <t>Мосфильм</t>
        </is>
      </c>
      <c r="H1675" s="2" t="n">
        <v>312</v>
      </c>
      <c r="I1675" s="2" t="inlineStr"/>
      <c r="J1675" s="2" t="inlineStr">
        <is>
          <t>да</t>
        </is>
      </c>
      <c r="K1675" s="3" t="inlineStr">
        <is>
          <t>Сериал по одноимённому роману Анатолия Иванова. Фильм выходил трёмя сезонами: 1976 год, 1979 год, 1983 год. Премьера третьего сезона – 11 мая 1983 года. История семьи Савельевых, выходцев из далёкого сибирского села, разворачивается на фоне исторических событий в России, охватывающих период с 1906 по 1960 годы.</t>
        </is>
      </c>
      <c r="L1675" s="2" t="inlineStr">
        <is>
          <t>Кино_СССР сводный каталог.xlsx: список телефильмов</t>
        </is>
      </c>
      <c r="M1675" s="2">
        <f>HYPERLINK("https://ru.wikipedia.org/w/index.php?search=%D0%92%D0%B5%D1%87%D0%BD%D1%8B%D0%B9%20%D0%B7%D0%BE%D0%B2%201973%20%D1%84%D0%B8%D0%BB%D1%8C%D0%BC","искать")</f>
        <v/>
      </c>
      <c r="N1675" s="3" t="n"/>
      <c r="O1675" s="2" t="n"/>
    </row>
    <row r="1676">
      <c r="A1676" s="2" t="n">
        <v>1675</v>
      </c>
      <c r="B1676" s="2" t="inlineStr">
        <is>
          <t>не сюжет</t>
        </is>
      </c>
      <c r="C1676" s="2" t="n">
        <v>7521</v>
      </c>
      <c r="D1676" s="3" t="inlineStr">
        <is>
          <t>Дни хирурга Мишкина</t>
        </is>
      </c>
      <c r="E1676" s="2" t="n">
        <v>1976</v>
      </c>
      <c r="F1676" s="2" t="inlineStr">
        <is>
          <t>телефильм</t>
        </is>
      </c>
      <c r="G1676" s="2" t="n"/>
      <c r="H1676" s="2" t="n">
        <v>312</v>
      </c>
      <c r="I1676" s="2" t="inlineStr"/>
      <c r="J1676" s="2" t="inlineStr">
        <is>
          <t>да</t>
        </is>
      </c>
      <c r="K1676" s="3" t="inlineStr">
        <is>
          <t>По роману Юлия Крелина "Хирург". Рассказ о хирурге, заведующем отделением районной больницы, беспредельно преданном своей профессии, о нравственном и этическом выборе жизни обычного человека. Доктор Мишкин, хирург от Бога, не гоняется за регалиями и карьерой, не ищет званий, его главная задача — спасение людей.</t>
        </is>
      </c>
      <c r="L1676" s="2" t="inlineStr">
        <is>
          <t>Кино_СССР сводный каталог.xlsx: список телефильмов</t>
        </is>
      </c>
      <c r="M1676" s="2">
        <f>HYPERLINK("https://ru.wikipedia.org/w/index.php?search=%D0%94%D0%BD%D0%B8%20%D1%85%D0%B8%D1%80%D1%83%D1%80%D0%B3%D0%B0%20%D0%9C%D0%B8%D1%88%D0%BA%D0%B8%D0%BD%D0%B0%201976%20%D1%84%D0%B8%D0%BB%D1%8C%D0%BC","искать")</f>
        <v/>
      </c>
      <c r="N1676" s="3" t="n"/>
      <c r="O1676" s="2" t="n"/>
    </row>
    <row r="1677">
      <c r="A1677" s="2" t="n">
        <v>1676</v>
      </c>
      <c r="B1677" s="2" t="inlineStr">
        <is>
          <t>не сюжет</t>
        </is>
      </c>
      <c r="C1677" s="2" t="n">
        <v>7891</v>
      </c>
      <c r="D1677" s="3" t="inlineStr">
        <is>
          <t>Мой друг Сократик</t>
        </is>
      </c>
      <c r="E1677" s="2" t="n">
        <v>1984</v>
      </c>
      <c r="F1677" s="2" t="inlineStr">
        <is>
          <t>телефильм</t>
        </is>
      </c>
      <c r="G1677" s="2" t="n"/>
      <c r="H1677" s="2" t="n">
        <v>313</v>
      </c>
      <c r="I1677" s="2" t="inlineStr"/>
      <c r="J1677" s="2" t="inlineStr">
        <is>
          <t>да</t>
        </is>
      </c>
      <c r="K1677" s="3" t="inlineStr">
        <is>
          <t>По рассказу В.Железнякова "Каждый мечтает о собаке". Раймонд учится в четвёртом классе одной из рижских школ. Ребята прозвали его Сократиком за обострённое чувство справедливости и склонность к разговорам на отвлечённые темы. Родители в командировке и Раймонд находится под присмотром своего деда, бывшего моряка.</t>
        </is>
      </c>
      <c r="L1677" s="2" t="inlineStr">
        <is>
          <t>Кино_СССР сводный каталог.xlsx: список телефильмов</t>
        </is>
      </c>
      <c r="M1677" s="2">
        <f>HYPERLINK("https://ru.wikipedia.org/w/index.php?search=%D0%9C%D0%BE%D0%B9%20%D0%B4%D1%80%D1%83%D0%B3%20%D0%A1%D0%BE%D0%BA%D1%80%D0%B0%D1%82%D0%B8%D0%BA%201984%20%D1%84%D0%B8%D0%BB%D1%8C%D0%BC","искать")</f>
        <v/>
      </c>
      <c r="N1677" s="3" t="n"/>
      <c r="O1677" s="2" t="n"/>
    </row>
    <row r="1678">
      <c r="A1678" s="2" t="n">
        <v>1677</v>
      </c>
      <c r="B1678" s="2" t="inlineStr">
        <is>
          <t>не сюжет</t>
        </is>
      </c>
      <c r="C1678" s="2" t="n">
        <v>9323</v>
      </c>
      <c r="D1678" s="3" t="inlineStr">
        <is>
          <t>Два друга</t>
        </is>
      </c>
      <c r="E1678" s="2" t="n">
        <v>1941</v>
      </c>
      <c r="F1678" s="2" t="inlineStr">
        <is>
          <t>кинофильм</t>
        </is>
      </c>
      <c r="G1678" s="2" t="n"/>
      <c r="H1678" s="2" t="n">
        <v>313</v>
      </c>
      <c r="I1678" s="2" t="inlineStr"/>
      <c r="J1678" s="2" t="inlineStr">
        <is>
          <t>да</t>
        </is>
      </c>
      <c r="K1678" s="3" t="inlineStr">
        <is>
          <t>«О борьбе командиров Красной Армии с происками агентов иностранной разведки. Художественный совет киностудии «Мосфильм» принимал картину дважды. Уже на заседании 1 октября 1940 года худсовету был очевиден низкий художественный уровень картины, однако из-за больших материальных затрат фильм решено было завершить.</t>
        </is>
      </c>
      <c r="L1678" s="2" t="inlineStr">
        <is>
          <t>Кино_СССР сводный каталог.xlsx: список фильмов (доп.)</t>
        </is>
      </c>
      <c r="M1678" s="2">
        <f>HYPERLINK("https://ru.wikipedia.org/w/index.php?search=%D0%94%D0%B2%D0%B0%20%D0%B4%D1%80%D1%83%D0%B3%D0%B0%201941%20%D1%84%D0%B8%D0%BB%D1%8C%D0%BC","искать")</f>
        <v/>
      </c>
      <c r="N1678" s="3" t="n"/>
      <c r="O1678" s="2" t="n"/>
    </row>
    <row r="1679">
      <c r="A1679" s="2" t="n">
        <v>1678</v>
      </c>
      <c r="B1679" s="2" t="inlineStr">
        <is>
          <t>не сюжет</t>
        </is>
      </c>
      <c r="C1679" s="2" t="n">
        <v>9488</v>
      </c>
      <c r="D1679" s="3" t="inlineStr">
        <is>
          <t>На Севере, на Юге, на Востоке, на Западе</t>
        </is>
      </c>
      <c r="E1679" s="2" t="n">
        <v>1972</v>
      </c>
      <c r="F1679" s="2" t="inlineStr">
        <is>
          <t>кинофильм</t>
        </is>
      </c>
      <c r="G1679" s="2" t="n"/>
      <c r="H1679" s="2" t="n">
        <v>313</v>
      </c>
      <c r="I1679" s="2" t="inlineStr"/>
      <c r="J1679" s="2" t="inlineStr">
        <is>
          <t>да</t>
        </is>
      </c>
      <c r="K1679" s="3" t="inlineStr">
        <is>
          <t>Кинодилогия. О буднях советских пограничников в 70-е годы и диверсиях шпионов. Фильм был снят и не вышел в широкий прокат. 70-мм цветной негатив был отсканирован с разрешением 4К в 2009 году. Первая демонстрация фильма прошла на фестивале архивного кино «Белые столбы-2010» 3 февраля 2010 года в цифровом формате.</t>
        </is>
      </c>
      <c r="L1679" s="2" t="inlineStr">
        <is>
          <t>Кино_СССР сводный каталог.xlsx: список фильмов (доп.)</t>
        </is>
      </c>
      <c r="M1679" s="2">
        <f>HYPERLINK("https://ru.wikipedia.org/w/index.php?search=%D0%9D%D0%B0%20%D0%A1%D0%B5%D0%B2%D0%B5%D1%80%D0%B5%2C%20%D0%BD%D0%B0%20%D0%AE%D0%B3%D0%B5%2C%20%D0%BD%D0%B0%20%D0%92%D0%BE%D1%81%D1%82%D0%BE%D0%BA%D0%B5%2C%20%D0%BD%D0%B0%20%D0%97%D0%B0%D0%BF%D0%B0%D0%B4%D0%B5%201972%20%D1%84%D0%B8%D0%BB%D1%8C%D0%BC","искать")</f>
        <v/>
      </c>
      <c r="N1679" s="3" t="n"/>
      <c r="O1679" s="2" t="n"/>
    </row>
    <row r="1680">
      <c r="A1680" s="2" t="n">
        <v>1679</v>
      </c>
      <c r="B1680" s="2" t="inlineStr">
        <is>
          <t>не сюжет</t>
        </is>
      </c>
      <c r="C1680" s="2" t="n">
        <v>11108</v>
      </c>
      <c r="D1680" s="3" t="inlineStr">
        <is>
          <t>Дядя Ваня. Сцены из деревенской жизни</t>
        </is>
      </c>
      <c r="E1680" s="2" t="n">
        <v>1986</v>
      </c>
      <c r="F1680" s="2" t="inlineStr">
        <is>
          <t>фильм-спектакль</t>
        </is>
      </c>
      <c r="G1680" s="2" t="inlineStr">
        <is>
          <t>Лентелефильм</t>
        </is>
      </c>
      <c r="H1680" s="2" t="n">
        <v>313</v>
      </c>
      <c r="I1680" s="2" t="inlineStr"/>
      <c r="J1680" s="2" t="inlineStr">
        <is>
          <t>да</t>
        </is>
      </c>
      <c r="K1680" s="3" t="inlineStr">
        <is>
          <t>Этот знаменитый спектакль БДТ был перенесен на пленку в достаточно нетрадиционной манере. Фактически это телефильм, снятый по спектаклю, и не в театральных декорациях, а на натуре. В старинном особняке разворачивается классическая чеховская трагедия русского интеллигента...
В фильме звучит музыка П.И.Чайковского</t>
        </is>
      </c>
      <c r="L1680" s="2" t="inlineStr">
        <is>
          <t>https://www.kino-teatr.ru/teatr/movie/2081/annot/</t>
        </is>
      </c>
      <c r="M1680" s="2">
        <f>HYPERLINK("https://ru.wikipedia.org/w/index.php?search=%D0%94%D1%8F%D0%B4%D1%8F%20%D0%92%D0%B0%D0%BD%D1%8F.%20%D0%A1%D1%86%D0%B5%D0%BD%D1%8B%20%D0%B8%D0%B7%20%D0%B4%D0%B5%D1%80%D0%B5%D0%B2%D0%B5%D0%BD%D1%81%D0%BA%D0%BE%D0%B9%20%D0%B6%D0%B8%D0%B7%D0%BD%D0%B8%201986%20%D1%84%D0%B8%D0%BB%D1%8C%D0%BC","искать")</f>
        <v/>
      </c>
      <c r="N1680" s="3" t="n"/>
      <c r="O1680" s="2" t="n"/>
    </row>
    <row r="1681">
      <c r="A1681" s="2" t="n">
        <v>1680</v>
      </c>
      <c r="B1681" s="2" t="inlineStr">
        <is>
          <t>не сюжет</t>
        </is>
      </c>
      <c r="C1681" s="2" t="n">
        <v>7182</v>
      </c>
      <c r="D1681" s="3" t="inlineStr">
        <is>
          <t>20 декабря</t>
        </is>
      </c>
      <c r="E1681" s="2" t="n">
        <v>1981</v>
      </c>
      <c r="F1681" s="2" t="inlineStr">
        <is>
          <t>телефильм</t>
        </is>
      </c>
      <c r="G1681" s="2" t="inlineStr">
        <is>
          <t>Ленфильм</t>
        </is>
      </c>
      <c r="H1681" s="2" t="n">
        <v>314</v>
      </c>
      <c r="I1681" s="2" t="inlineStr"/>
      <c r="J1681" s="2" t="inlineStr">
        <is>
          <t>да</t>
        </is>
      </c>
      <c r="K1681" s="3" t="inlineStr">
        <is>
          <t>Фильм посвящается первым чекистам и снят по сценарию Юлиана Семёнова. 1917 год. Время смятений - "военная диктатура". Для организации порядка в стране и борьбы с контрреволюцией и саботажем создана ВЧК, будущее КГБ... 1-я серия - "Военная диктатура?.." 2-я серия - "Саботаж" 3-я серия - "Террор" 4-я серия - "ВЧК".</t>
        </is>
      </c>
      <c r="L1681" s="2" t="inlineStr">
        <is>
          <t>Кино_СССР сводный каталог.xlsx: список телефильмов</t>
        </is>
      </c>
      <c r="M1681" s="2">
        <f>HYPERLINK("https://ru.wikipedia.org/w/index.php?search=20%20%D0%B4%D0%B5%D0%BA%D0%B0%D0%B1%D1%80%D1%8F%201981%20%D1%84%D0%B8%D0%BB%D1%8C%D0%BC","искать")</f>
        <v/>
      </c>
      <c r="N1681" s="3" t="n"/>
      <c r="O1681" s="2" t="n"/>
    </row>
    <row r="1682">
      <c r="A1682" s="2" t="n">
        <v>1681</v>
      </c>
      <c r="B1682" s="2" t="inlineStr">
        <is>
          <t>не сюжет</t>
        </is>
      </c>
      <c r="C1682" s="2" t="n">
        <v>7650</v>
      </c>
      <c r="D1682" s="3" t="inlineStr">
        <is>
          <t>Зодиак</t>
        </is>
      </c>
      <c r="E1682" s="2" t="n">
        <v>1985</v>
      </c>
      <c r="F1682" s="2" t="inlineStr">
        <is>
          <t>телефильм</t>
        </is>
      </c>
      <c r="G1682" s="2" t="n"/>
      <c r="H1682" s="2" t="n">
        <v>314</v>
      </c>
      <c r="I1682" s="2" t="inlineStr"/>
      <c r="J1682" s="2" t="inlineStr">
        <is>
          <t>да</t>
        </is>
      </c>
      <c r="K1682" s="3" t="inlineStr">
        <is>
          <t>Телефильм. В основе сюжета - судьба художника, отраженная в искусстве, всегда сопутствующем жизни людей, равно как мечта, боль или радость... В фильме использованы картины, музыка, литературное наследие литовского живописца и композитора Микалоюса Константинаса Чюрлениса (1875-1911). Хореография - Майи Плисецкой.</t>
        </is>
      </c>
      <c r="L1682" s="2" t="inlineStr">
        <is>
          <t>Кино_СССР сводный каталог.xlsx: список телефильмов</t>
        </is>
      </c>
      <c r="M1682" s="2">
        <f>HYPERLINK("https://ru.wikipedia.org/w/index.php?search=%D0%97%D0%BE%D0%B4%D0%B8%D0%B0%D0%BA%201985%20%D1%84%D0%B8%D0%BB%D1%8C%D0%BC","искать")</f>
        <v/>
      </c>
      <c r="N1682" s="3" t="n"/>
      <c r="O1682" s="2" t="n"/>
    </row>
    <row r="1683">
      <c r="A1683" s="2" t="n">
        <v>1682</v>
      </c>
      <c r="B1683" s="2" t="inlineStr">
        <is>
          <t>не сюжет</t>
        </is>
      </c>
      <c r="C1683" s="2" t="n">
        <v>9437</v>
      </c>
      <c r="D1683" s="3" t="inlineStr">
        <is>
          <t>Кража зрения</t>
        </is>
      </c>
      <c r="E1683" s="2" t="n">
        <v>1934</v>
      </c>
      <c r="F1683" s="2" t="inlineStr">
        <is>
          <t>кинофильм</t>
        </is>
      </c>
      <c r="G1683" s="2" t="n"/>
      <c r="H1683" s="2" t="n">
        <v>314</v>
      </c>
      <c r="I1683" s="2" t="inlineStr"/>
      <c r="J1683" s="2" t="inlineStr">
        <is>
          <t>да</t>
        </is>
      </c>
      <c r="K1683" s="3" t="inlineStr">
        <is>
          <t>«Социальная драма по одноименному рассказу Л.Кассиля о неграмотной крестьянке, которой манипулирует кулак. «Кража зрения» — так определяют авторы фильма неграмотность и классовую слепоту героини и ей подобных.» - Е.Марголит, В.Шмыров «(Из'ятое кино). 1924—1953». М., «Дубль-Д», 1995 В ГФФ копия фильма не хранится.</t>
        </is>
      </c>
      <c r="L1683" s="2" t="inlineStr">
        <is>
          <t>Кино_СССР сводный каталог.xlsx: список фильмов (доп.)</t>
        </is>
      </c>
      <c r="M1683" s="2">
        <f>HYPERLINK("https://ru.wikipedia.org/w/index.php?search=%D0%9A%D1%80%D0%B0%D0%B6%D0%B0%20%D0%B7%D1%80%D0%B5%D0%BD%D0%B8%D1%8F%201934%20%D1%84%D0%B8%D0%BB%D1%8C%D0%BC","искать")</f>
        <v/>
      </c>
      <c r="N1683" s="3" t="n"/>
      <c r="O1683" s="2" t="n"/>
    </row>
    <row r="1684">
      <c r="A1684" s="2" t="n">
        <v>1683</v>
      </c>
      <c r="B1684" s="2" t="inlineStr">
        <is>
          <t>не сюжет</t>
        </is>
      </c>
      <c r="C1684" s="2" t="n">
        <v>9669</v>
      </c>
      <c r="D1684" s="3" t="inlineStr">
        <is>
          <t>Сталинград</t>
        </is>
      </c>
      <c r="E1684" s="2" t="n">
        <v>1989</v>
      </c>
      <c r="F1684" s="2" t="inlineStr">
        <is>
          <t>кинофильм</t>
        </is>
      </c>
      <c r="G1684" s="2" t="n"/>
      <c r="H1684" s="2" t="n">
        <v>315</v>
      </c>
      <c r="I1684" s="2" t="inlineStr"/>
      <c r="J1684" s="2" t="inlineStr">
        <is>
          <t>да</t>
        </is>
      </c>
      <c r="K1684" s="3" t="inlineStr">
        <is>
          <t>Конец весны 1942 года. На советско-германском фронте временное затишье. Обе стороны перешли к обороне и начали готовиться к летней кампании. Сталин считал, что у страны нет достаточных сил и средств, чтобы развернуть крупные наступательные операции. Он думал, что надо ограничиться активной стратегической обороной.</t>
        </is>
      </c>
      <c r="L1684" s="2" t="inlineStr">
        <is>
          <t>Кино_СССР сводный каталог.xlsx: список фильмов (доп.)</t>
        </is>
      </c>
      <c r="M1684" s="2">
        <f>HYPERLINK("https://ru.wikipedia.org/w/index.php?search=%D0%A1%D1%82%D0%B0%D0%BB%D0%B8%D0%BD%D0%B3%D1%80%D0%B0%D0%B4%201989%20%D1%84%D0%B8%D0%BB%D1%8C%D0%BC","искать")</f>
        <v/>
      </c>
      <c r="N1684" s="3" t="n"/>
      <c r="O1684" s="2" t="n"/>
    </row>
    <row r="1685">
      <c r="A1685" s="2" t="n">
        <v>1684</v>
      </c>
      <c r="B1685" s="2" t="inlineStr">
        <is>
          <t>не сюжет</t>
        </is>
      </c>
      <c r="C1685" s="2" t="n">
        <v>8594</v>
      </c>
      <c r="D1685" s="3" t="inlineStr">
        <is>
          <t>Эти непослушные сыновья</t>
        </is>
      </c>
      <c r="E1685" s="2" t="n">
        <v>1976</v>
      </c>
      <c r="F1685" s="2" t="inlineStr">
        <is>
          <t>телефильм</t>
        </is>
      </c>
      <c r="G1685" s="2" t="n"/>
      <c r="H1685" s="2" t="n">
        <v>316</v>
      </c>
      <c r="I1685" s="2" t="inlineStr"/>
      <c r="J1685" s="2" t="inlineStr">
        <is>
          <t>да</t>
        </is>
      </c>
      <c r="K1685" s="3" t="inlineStr">
        <is>
          <t>По повести В.Чичкова "Эти непослушные сыновья". Фильм раскрывающий процесс формирования лучших качеств молодого человека в атмосфере созидательного труда. Героя фильма Андрея Ермакова отличают высокая требовательность к себе и к окружающим его людям, чувство ответственности, стремление к активному труду коллектива.</t>
        </is>
      </c>
      <c r="L1685" s="2" t="inlineStr">
        <is>
          <t>Кино_СССР сводный каталог.xlsx: список телефильмов</t>
        </is>
      </c>
      <c r="M1685" s="2">
        <f>HYPERLINK("https://ru.wikipedia.org/w/index.php?search=%D0%AD%D1%82%D0%B8%20%D0%BD%D0%B5%D0%BF%D0%BE%D1%81%D0%BB%D1%83%D1%88%D0%BD%D1%8B%D0%B5%20%D1%81%D1%8B%D0%BD%D0%BE%D0%B2%D1%8C%D1%8F%201976%20%D1%84%D0%B8%D0%BB%D1%8C%D0%BC","искать")</f>
        <v/>
      </c>
      <c r="N1685" s="3" t="n"/>
      <c r="O1685" s="2" t="n"/>
    </row>
    <row r="1686">
      <c r="A1686" s="2" t="n">
        <v>1685</v>
      </c>
      <c r="B1686" s="2" t="inlineStr">
        <is>
          <t>не сюжет</t>
        </is>
      </c>
      <c r="C1686" s="2" t="n">
        <v>7348</v>
      </c>
      <c r="D1686" s="3" t="inlineStr">
        <is>
          <t>Вместе с Дунаевским</t>
        </is>
      </c>
      <c r="E1686" s="2" t="n">
        <v>1984</v>
      </c>
      <c r="F1686" s="2" t="inlineStr">
        <is>
          <t>телефильм</t>
        </is>
      </c>
      <c r="G1686" s="2" t="inlineStr">
        <is>
          <t>Лентелефильм</t>
        </is>
      </c>
      <c r="H1686" s="2" t="n">
        <v>318</v>
      </c>
      <c r="I1686" s="2" t="inlineStr"/>
      <c r="J1686" s="2" t="inlineStr">
        <is>
          <t>да</t>
        </is>
      </c>
      <c r="K1686" s="3" t="inlineStr">
        <is>
          <t>Еще один музыкальный фильм из серии «Ностальгия». Песни Исаака Осиповича Дунаевского знала и пела вся страна. Можно будет без преувеличения сказать, что рядом с его достижениями в области создания песен-шлягеров советской эпохи не стоит никто из почти полутора тысячного лагеря профессиональных советских композиторов.</t>
        </is>
      </c>
      <c r="L1686" s="2" t="inlineStr">
        <is>
          <t>Кино_СССР сводный каталог.xlsx: список телефильмов</t>
        </is>
      </c>
      <c r="M1686" s="2">
        <f>HYPERLINK("https://ru.wikipedia.org/w/index.php?search=%D0%92%D0%BC%D0%B5%D1%81%D1%82%D0%B5%20%D1%81%20%D0%94%D1%83%D0%BD%D0%B0%D0%B5%D0%B2%D1%81%D0%BA%D0%B8%D0%BC%201984%20%D1%84%D0%B8%D0%BB%D1%8C%D0%BC","искать")</f>
        <v/>
      </c>
      <c r="N1686" s="3" t="n"/>
      <c r="O1686" s="2" t="n"/>
    </row>
    <row r="1687">
      <c r="A1687" s="2" t="n">
        <v>1686</v>
      </c>
      <c r="B1687" s="2" t="inlineStr">
        <is>
          <t>не сюжет</t>
        </is>
      </c>
      <c r="C1687" s="2" t="n">
        <v>8473</v>
      </c>
      <c r="D1687" s="3" t="inlineStr">
        <is>
          <t>Три весёлые смены</t>
        </is>
      </c>
      <c r="E1687" s="2" t="n">
        <v>1977</v>
      </c>
      <c r="F1687" s="2" t="inlineStr">
        <is>
          <t>телефильм</t>
        </is>
      </c>
      <c r="G1687" s="2" t="inlineStr">
        <is>
          <t>«Беларусьфильм», Творческое объединение «Телефильм»</t>
        </is>
      </c>
      <c r="H1687" s="2" t="n">
        <v>318</v>
      </c>
      <c r="I1687" s="2" t="inlineStr"/>
      <c r="J1687" s="2" t="inlineStr">
        <is>
          <t>да</t>
        </is>
      </c>
      <c r="K1687" s="3" t="inlineStr">
        <is>
          <t>Сериал снят по произведениям Юрия Яковлева, написавшего много замечательных рассказов и повестей для детей и о детях. По его книгам сняты так же фильмы "Зимородок", "Всадник над городом" и мультфильм "Умка". В Три весёлые смены вошли рассказы и повести Разбуженный соловьями, Тайна Фенимора и Непослушный мальчик Икар.</t>
        </is>
      </c>
      <c r="L1687" s="2" t="inlineStr">
        <is>
          <t>Кино_СССР сводный каталог.xlsx: список телефильмов</t>
        </is>
      </c>
      <c r="M1687" s="2">
        <f>HYPERLINK("https://ru.wikipedia.org/w/index.php?search=%D0%A2%D1%80%D0%B8%20%D0%B2%D0%B5%D1%81%D1%91%D0%BB%D1%8B%D0%B5%20%D1%81%D0%BC%D0%B5%D0%BD%D1%8B%201977%20%D1%84%D0%B8%D0%BB%D1%8C%D0%BC","искать")</f>
        <v/>
      </c>
      <c r="N1687" s="3" t="n"/>
      <c r="O1687" s="2" t="n"/>
    </row>
    <row r="1688">
      <c r="A1688" s="2" t="n">
        <v>1687</v>
      </c>
      <c r="B1688" s="2" t="inlineStr">
        <is>
          <t>не сюжет</t>
        </is>
      </c>
      <c r="C1688" s="2" t="n">
        <v>7234</v>
      </c>
      <c r="D1688" s="3" t="inlineStr">
        <is>
          <t>Баллада о двух городах</t>
        </is>
      </c>
      <c r="E1688" s="2" t="n">
        <v>1985</v>
      </c>
      <c r="F1688" s="2" t="inlineStr">
        <is>
          <t>телефильм</t>
        </is>
      </c>
      <c r="G1688" s="2" t="n"/>
      <c r="H1688" s="2" t="n">
        <v>319</v>
      </c>
      <c r="I1688" s="2" t="inlineStr"/>
      <c r="J1688" s="2" t="inlineStr">
        <is>
          <t>да</t>
        </is>
      </c>
      <c r="K1688" s="3" t="inlineStr">
        <is>
          <t>По произведению эстонского писателя Калью Саабера "Баллада о двух домах". Драматическая история эстонки Марии Мармор. Фильм охватывает события, происходившие и окружавшие главную героиню в период с лета 1940 года и заканчивая серединой 1980-х. В молодости Мария - убежденная сторонница социализма, партийная активистка.</t>
        </is>
      </c>
      <c r="L1688" s="2" t="inlineStr">
        <is>
          <t>Кино_СССР сводный каталог.xlsx: список телефильмов</t>
        </is>
      </c>
      <c r="M1688" s="2">
        <f>HYPERLINK("https://ru.wikipedia.org/w/index.php?search=%D0%91%D0%B0%D0%BB%D0%BB%D0%B0%D0%B4%D0%B0%20%D0%BE%20%D0%B4%D0%B2%D1%83%D1%85%20%D0%B3%D0%BE%D1%80%D0%BE%D0%B4%D0%B0%D1%85%201985%20%D1%84%D0%B8%D0%BB%D1%8C%D0%BC","искать")</f>
        <v/>
      </c>
      <c r="N1688" s="3" t="n"/>
      <c r="O1688" s="2" t="n"/>
    </row>
    <row r="1689">
      <c r="A1689" s="2" t="n">
        <v>1688</v>
      </c>
      <c r="B1689" s="2" t="inlineStr">
        <is>
          <t>не сюжет</t>
        </is>
      </c>
      <c r="C1689" s="2" t="n">
        <v>7474</v>
      </c>
      <c r="D1689" s="3" t="inlineStr">
        <is>
          <t>Два гусара</t>
        </is>
      </c>
      <c r="E1689" s="2" t="n">
        <v>1984</v>
      </c>
      <c r="F1689" s="2" t="inlineStr">
        <is>
          <t>телефильм</t>
        </is>
      </c>
      <c r="G1689" s="2" t="n"/>
      <c r="H1689" s="2" t="n">
        <v>319</v>
      </c>
      <c r="I1689" s="2" t="inlineStr"/>
      <c r="J1689" s="2" t="inlineStr">
        <is>
          <t>да</t>
        </is>
      </c>
      <c r="K1689" s="3" t="inlineStr">
        <is>
          <t>Телефильм. Драма по одноименной повести Л.Н.Толстого. Два гусара - отец и сын - две морали, два мировоззрения. И хотя старший Турбин легкомысленен в любви, но надежен в дружбе и принципиален в вопросах чести. Младший Турбин не выдерживает сравнения с отцом - он рассчетливй, мелкий и корыстный "гусар нового поколения".</t>
        </is>
      </c>
      <c r="L1689" s="2" t="inlineStr">
        <is>
          <t>Кино_СССР сводный каталог.xlsx: список телефильмов</t>
        </is>
      </c>
      <c r="M1689" s="2">
        <f>HYPERLINK("https://ru.wikipedia.org/w/index.php?search=%D0%94%D0%B2%D0%B0%20%D0%B3%D1%83%D1%81%D0%B0%D1%80%D0%B0%201984%20%D1%84%D0%B8%D0%BB%D1%8C%D0%BC","искать")</f>
        <v/>
      </c>
      <c r="N1689" s="3" t="n"/>
      <c r="O1689" s="2" t="n"/>
    </row>
    <row r="1690">
      <c r="A1690" s="2" t="n">
        <v>1689</v>
      </c>
      <c r="B1690" s="2" t="inlineStr">
        <is>
          <t>не сюжет</t>
        </is>
      </c>
      <c r="C1690" s="2" t="n">
        <v>8065</v>
      </c>
      <c r="D1690" s="3" t="inlineStr">
        <is>
          <t>Отелло</t>
        </is>
      </c>
      <c r="E1690" s="2" t="n">
        <v>1979</v>
      </c>
      <c r="F1690" s="2" t="inlineStr">
        <is>
          <t>телефильм</t>
        </is>
      </c>
      <c r="G1690" s="2" t="n"/>
      <c r="H1690" s="2" t="n">
        <v>319</v>
      </c>
      <c r="I1690" s="2" t="inlineStr"/>
      <c r="J1690" s="2" t="inlineStr">
        <is>
          <t>да</t>
        </is>
      </c>
      <c r="K1690" s="3" t="inlineStr">
        <is>
          <t>Фильм по одноименной опере Верди. Четыре действия, рассказывающие о вечном конфликте человеческих чувств – чистой и кроткой любви, безумной страсти и ревности, коварстве и подлости. Гениальная музыка великого композитора создает прекрасный фон, на котором еще ярче проступают характеры героев, их страсти и переживания.</t>
        </is>
      </c>
      <c r="L1690" s="2" t="inlineStr">
        <is>
          <t>Кино_СССР сводный каталог.xlsx: список телефильмов</t>
        </is>
      </c>
      <c r="M1690" s="2">
        <f>HYPERLINK("https://ru.wikipedia.org/w/index.php?search=%D0%9E%D1%82%D0%B5%D0%BB%D0%BB%D0%BE%201979%20%D1%84%D0%B8%D0%BB%D1%8C%D0%BC","искать")</f>
        <v/>
      </c>
      <c r="N1690" s="3" t="n"/>
      <c r="O1690" s="2" t="n"/>
    </row>
    <row r="1691">
      <c r="A1691" s="2" t="n">
        <v>1690</v>
      </c>
      <c r="B1691" s="2" t="inlineStr">
        <is>
          <t>не сюжет</t>
        </is>
      </c>
      <c r="C1691" s="2" t="n">
        <v>9502</v>
      </c>
      <c r="D1691" s="3" t="inlineStr">
        <is>
          <t>Ненужная вражда</t>
        </is>
      </c>
      <c r="E1691" s="2" t="n">
        <v>1930</v>
      </c>
      <c r="F1691" s="2" t="inlineStr">
        <is>
          <t>кинофильм</t>
        </is>
      </c>
      <c r="G1691" s="2" t="n"/>
      <c r="H1691" s="2" t="n">
        <v>319</v>
      </c>
      <c r="I1691" s="2" t="inlineStr"/>
      <c r="J1691" s="2" t="inlineStr">
        <is>
          <t>да</t>
        </is>
      </c>
      <c r="K1691" s="3" t="inlineStr">
        <is>
          <t>О борьбе за товарищеское отношение к работнице-выдвиженке. Действие фильма происходит на киностудии. Сценарий писался в расчете на Эмму Цесарскую. При запуске картины в производство 07.03.29 правление 'Совкино' одобрило сценарий 'при условии усиления социального момента за счет формально-художественных нагромождений'.</t>
        </is>
      </c>
      <c r="L1691" s="2" t="inlineStr">
        <is>
          <t>Кино_СССР сводный каталог.xlsx: список фильмов (доп.)</t>
        </is>
      </c>
      <c r="M1691" s="2">
        <f>HYPERLINK("https://ru.wikipedia.org/w/index.php?search=%D0%9D%D0%B5%D0%BD%D1%83%D0%B6%D0%BD%D0%B0%D1%8F%20%D0%B2%D1%80%D0%B0%D0%B6%D0%B4%D0%B0%201930%20%D1%84%D0%B8%D0%BB%D1%8C%D0%BC","искать")</f>
        <v/>
      </c>
      <c r="N1691" s="3" t="n"/>
      <c r="O1691" s="2" t="n"/>
    </row>
    <row r="1692">
      <c r="A1692" s="2" t="n">
        <v>1691</v>
      </c>
      <c r="B1692" s="2" t="inlineStr">
        <is>
          <t>не сюжет</t>
        </is>
      </c>
      <c r="C1692" s="2" t="n">
        <v>10589</v>
      </c>
      <c r="D1692" s="3" t="inlineStr">
        <is>
          <t>Свой остров</t>
        </is>
      </c>
      <c r="E1692" s="2" t="n">
        <v>1974</v>
      </c>
      <c r="F1692" s="2" t="inlineStr">
        <is>
          <t>фильм-спектакль</t>
        </is>
      </c>
      <c r="G1692" s="2" t="inlineStr">
        <is>
          <t>Центральное телевидение</t>
        </is>
      </c>
      <c r="H1692" s="2" t="n">
        <v>319</v>
      </c>
      <c r="I1692" s="2" t="inlineStr"/>
      <c r="J1692" s="2" t="inlineStr">
        <is>
          <t>да</t>
        </is>
      </c>
      <c r="K1692" s="3" t="inlineStr">
        <is>
          <t>Спектакль Московского театра "Современник" по одноименной пьесе эстонского драматурга Раймонда Каугвера.
Для спектакля Владимир Высоцкий написал песню –"Отплываем в тёплый край навсегда..." (в исполнении И.Кваши –"Покидаем тёплый край навсегда..."). Другие песни, предложенные в спектакль, исполнялись Высоцким и ранее.</t>
        </is>
      </c>
      <c r="L1692" s="2" t="inlineStr">
        <is>
          <t>https://www.kino-teatr.ru/teatr/movie/81658/annot/</t>
        </is>
      </c>
      <c r="M1692" s="2">
        <f>HYPERLINK("https://ru.wikipedia.org/w/index.php?search=%D0%A1%D0%B2%D0%BE%D0%B9%20%D0%BE%D1%81%D1%82%D1%80%D0%BE%D0%B2%201974%20%D1%84%D0%B8%D0%BB%D1%8C%D0%BC","искать")</f>
        <v/>
      </c>
      <c r="N1692" s="3" t="n"/>
      <c r="O1692" s="2" t="n"/>
    </row>
    <row r="1693">
      <c r="A1693" s="2" t="n">
        <v>1692</v>
      </c>
      <c r="B1693" s="2" t="inlineStr">
        <is>
          <t>не сюжет</t>
        </is>
      </c>
      <c r="C1693" s="2" t="n">
        <v>11225</v>
      </c>
      <c r="D1693" s="3" t="inlineStr">
        <is>
          <t>Рядовые</t>
        </is>
      </c>
      <c r="E1693" s="2" t="n">
        <v>1988</v>
      </c>
      <c r="F1693" s="2" t="inlineStr">
        <is>
          <t>фильм-спектакль</t>
        </is>
      </c>
      <c r="G1693" s="2" t="inlineStr">
        <is>
          <t>Главная редакция литературно-драматических программ ЦТ</t>
        </is>
      </c>
      <c r="H1693" s="2" t="n">
        <v>319</v>
      </c>
      <c r="I1693" s="2" t="inlineStr"/>
      <c r="J1693" s="2" t="inlineStr">
        <is>
          <t>да</t>
        </is>
      </c>
      <c r="K1693" s="3" t="inlineStr">
        <is>
          <t>По одноименной пьесе Алексея Дударева в постановке Белорусского государственного академического театра имени Янки Купалы.
Действие происходит в Германии в самом конце Великой Отечественной войны. Человечность, мужество и величие души проявляют солдаты, герои спектакля, в дни, ставшие для большинства из них последними.</t>
        </is>
      </c>
      <c r="L1693" s="2" t="inlineStr">
        <is>
          <t>https://www.kino-teatr.ru/teatr/movie/81795/annot/</t>
        </is>
      </c>
      <c r="M1693" s="2">
        <f>HYPERLINK("https://ru.wikipedia.org/w/index.php?search=%D0%A0%D1%8F%D0%B4%D0%BE%D0%B2%D1%8B%D0%B5%201988%20%D1%84%D0%B8%D0%BB%D1%8C%D0%BC","искать")</f>
        <v/>
      </c>
      <c r="N1693" s="3" t="n"/>
      <c r="O1693" s="2" t="n"/>
    </row>
    <row r="1694">
      <c r="A1694" s="2" t="n">
        <v>1693</v>
      </c>
      <c r="B1694" s="2" t="inlineStr">
        <is>
          <t>не сюжет</t>
        </is>
      </c>
      <c r="C1694" s="2" t="n">
        <v>7429</v>
      </c>
      <c r="D1694" s="3" t="inlineStr">
        <is>
          <t>Гамлет Щигровского уезда</t>
        </is>
      </c>
      <c r="E1694" s="2" t="n">
        <v>1975</v>
      </c>
      <c r="F1694" s="2" t="inlineStr">
        <is>
          <t>телефильм</t>
        </is>
      </c>
      <c r="G1694" s="2" t="n"/>
      <c r="H1694" s="2" t="n">
        <v>320</v>
      </c>
      <c r="I1694" s="2" t="inlineStr"/>
      <c r="J1694" s="2" t="inlineStr">
        <is>
          <t>да</t>
        </is>
      </c>
      <c r="K1694" s="3" t="inlineStr">
        <is>
          <t>Телефильм по мотивам рассказов Ивана Тургенева из цикла "Записки охотника". "Пусть я останусь для вас неизвестным существом, пришибленным судьбою Васильем Васильевичем. Притом же я, как человек неоригинальный, и не заслуживаю особенного имени... А уж если вы непременно хотите мне дать какую-нибудь кличку, так назовите.</t>
        </is>
      </c>
      <c r="L1694" s="2" t="inlineStr">
        <is>
          <t>Кино_СССР сводный каталог.xlsx: список телефильмов</t>
        </is>
      </c>
      <c r="M1694" s="2">
        <f>HYPERLINK("https://ru.wikipedia.org/w/index.php?search=%D0%93%D0%B0%D0%BC%D0%BB%D0%B5%D1%82%20%D0%A9%D0%B8%D0%B3%D1%80%D0%BE%D0%B2%D1%81%D0%BA%D0%BE%D0%B3%D0%BE%20%D1%83%D0%B5%D0%B7%D0%B4%D0%B0%201975%20%D1%84%D0%B8%D0%BB%D1%8C%D0%BC","искать")</f>
        <v/>
      </c>
      <c r="N1694" s="3" t="n"/>
      <c r="O1694" s="2" t="n"/>
    </row>
    <row r="1695">
      <c r="A1695" s="2" t="n">
        <v>1694</v>
      </c>
      <c r="B1695" s="2" t="inlineStr">
        <is>
          <t>не сюжет</t>
        </is>
      </c>
      <c r="C1695" s="2" t="n">
        <v>8113</v>
      </c>
      <c r="D1695" s="3" t="inlineStr">
        <is>
          <t>Питер Пэн</t>
        </is>
      </c>
      <c r="E1695" s="2" t="n">
        <v>1987</v>
      </c>
      <c r="F1695" s="2" t="inlineStr">
        <is>
          <t>телефильм</t>
        </is>
      </c>
      <c r="G1695" s="2" t="inlineStr">
        <is>
          <t>Беларусьфильм</t>
        </is>
      </c>
      <c r="H1695" s="2" t="n">
        <v>321</v>
      </c>
      <c r="I1695" s="2" t="inlineStr"/>
      <c r="J1695" s="2" t="inlineStr">
        <is>
          <t>да</t>
        </is>
      </c>
      <c r="K1695" s="3" t="inlineStr">
        <is>
          <t>Далеко - далеко ("второй поворот направо, а дальше прямо до самого утра") в море находится остров Нетинебудет, где живут потерянные мальчишки, возглавляемые Питером Пэном. Остров чудес, где есть все, о чем только могут мечтать маленькие сорванцы: горы и море, индейцы, русалки, пираты, настоящие друзья и настоящие враги.</t>
        </is>
      </c>
      <c r="L1695" s="2" t="inlineStr">
        <is>
          <t>Кино_СССР сводный каталог.xlsx: список телефильмов</t>
        </is>
      </c>
      <c r="M1695" s="2">
        <f>HYPERLINK("https://ru.wikipedia.org/w/index.php?search=%D0%9F%D0%B8%D1%82%D0%B5%D1%80%20%D0%9F%D1%8D%D0%BD%201987%20%D1%84%D0%B8%D0%BB%D1%8C%D0%BC","искать")</f>
        <v/>
      </c>
      <c r="N1695" s="3" t="n"/>
      <c r="O1695" s="2" t="n"/>
    </row>
    <row r="1696">
      <c r="A1696" s="2" t="n">
        <v>1695</v>
      </c>
      <c r="B1696" s="2" t="inlineStr">
        <is>
          <t>не сюжет</t>
        </is>
      </c>
      <c r="C1696" s="2" t="n">
        <v>7628</v>
      </c>
      <c r="D1696" s="3" t="inlineStr">
        <is>
          <t>Запомните меня такой</t>
        </is>
      </c>
      <c r="E1696" s="2" t="n">
        <v>1987</v>
      </c>
      <c r="F1696" s="2" t="inlineStr">
        <is>
          <t>телефильм</t>
        </is>
      </c>
      <c r="G1696" s="2" t="n"/>
      <c r="H1696" s="2" t="n">
        <v>322</v>
      </c>
      <c r="I1696" s="2" t="inlineStr"/>
      <c r="J1696" s="2" t="inlineStr">
        <is>
          <t>да</t>
        </is>
      </c>
      <c r="K1696" s="3" t="inlineStr">
        <is>
          <t>По мотивам пьесы Романа Солнцева "Мать и сын". Несколько поколений одной семьи предстают перед нами в этой картине. В центре кинодрамы - женщина, чья молодость пришлась на 30-е годы. Жизнь практически не изменила ее принципов и убеждений. И непонятны ей дети, а тем более внуки, для которых ее идеалы уже ничего не значат.</t>
        </is>
      </c>
      <c r="L1696" s="2" t="inlineStr">
        <is>
          <t>Кино_СССР сводный каталог.xlsx: список телефильмов</t>
        </is>
      </c>
      <c r="M1696" s="2">
        <f>HYPERLINK("https://ru.wikipedia.org/w/index.php?search=%D0%97%D0%B0%D0%BF%D0%BE%D0%BC%D0%BD%D0%B8%D1%82%D0%B5%20%D0%BC%D0%B5%D0%BD%D1%8F%20%D1%82%D0%B0%D0%BA%D0%BE%D0%B9%201987%20%D1%84%D0%B8%D0%BB%D1%8C%D0%BC","искать")</f>
        <v/>
      </c>
      <c r="N1696" s="3" t="n"/>
      <c r="O1696" s="2" t="n"/>
    </row>
    <row r="1697">
      <c r="A1697" s="2" t="n">
        <v>1696</v>
      </c>
      <c r="B1697" s="2" t="inlineStr">
        <is>
          <t>не сюжет</t>
        </is>
      </c>
      <c r="C1697" s="2" t="n">
        <v>7815</v>
      </c>
      <c r="D1697" s="3" t="inlineStr">
        <is>
          <t>Личное счастье</t>
        </is>
      </c>
      <c r="E1697" s="2" t="n">
        <v>1977</v>
      </c>
      <c r="F1697" s="2" t="inlineStr">
        <is>
          <t>телефильм</t>
        </is>
      </c>
      <c r="G1697" s="2" t="inlineStr">
        <is>
          <t>ТО «Экран»</t>
        </is>
      </c>
      <c r="H1697" s="2" t="n">
        <v>322</v>
      </c>
      <c r="I1697" s="2" t="inlineStr"/>
      <c r="J1697" s="2" t="inlineStr">
        <is>
          <t>да</t>
        </is>
      </c>
      <c r="K1697" s="3" t="inlineStr">
        <is>
          <t>Телевизионная сага о семье Дорошиных. Действие происходит в военное и послевоенное время. Характерные черты семьи Дорошиных – трудолюбие, мужество и принципиальность. Павел Николаевич – ветеран войны, главный конструктор завода, Анастасия Михайловна – зав. кафедрой университета, активная участница партизанского движения.</t>
        </is>
      </c>
      <c r="L1697" s="2" t="inlineStr">
        <is>
          <t>Кино_СССР сводный каталог.xlsx: список телефильмов</t>
        </is>
      </c>
      <c r="M1697" s="2">
        <f>HYPERLINK("https://ru.wikipedia.org/w/index.php?search=%D0%9B%D0%B8%D1%87%D0%BD%D0%BE%D0%B5%20%D1%81%D1%87%D0%B0%D1%81%D1%82%D1%8C%D0%B5%201977%20%D1%84%D0%B8%D0%BB%D1%8C%D0%BC","искать")</f>
        <v/>
      </c>
      <c r="N1697" s="3" t="n"/>
      <c r="O1697" s="2" t="n"/>
    </row>
    <row r="1698">
      <c r="A1698" s="2" t="n">
        <v>1697</v>
      </c>
      <c r="B1698" s="2" t="inlineStr">
        <is>
          <t>не сюжет</t>
        </is>
      </c>
      <c r="C1698" s="2" t="n">
        <v>7527</v>
      </c>
      <c r="D1698" s="3" t="inlineStr">
        <is>
          <t>Долг</t>
        </is>
      </c>
      <c r="E1698" s="2" t="n">
        <v>1966</v>
      </c>
      <c r="F1698" s="2" t="inlineStr">
        <is>
          <t>телефильм</t>
        </is>
      </c>
      <c r="G1698" s="2" t="n"/>
      <c r="H1698" s="2" t="n">
        <v>323</v>
      </c>
      <c r="I1698" s="2" t="inlineStr"/>
      <c r="J1698" s="2" t="inlineStr">
        <is>
          <t>да</t>
        </is>
      </c>
      <c r="K1698" s="3" t="inlineStr">
        <is>
          <t>Фильм снят по одноименному рассказу эстонского писателя Мати Унта (1944-2005). Рассказ о молодежи 60-х и горе, которое они причиняют так много раз. Молодость, чувство собственной силы, но еще не чувство ответственности, часто приводит к бездумности. Постепенно они накапливают долги, которые нужно начинать платить в жизни.</t>
        </is>
      </c>
      <c r="L1698" s="2" t="inlineStr">
        <is>
          <t>Кино_СССР сводный каталог.xlsx: список телефильмов</t>
        </is>
      </c>
      <c r="M1698" s="2">
        <f>HYPERLINK("https://ru.wikipedia.org/w/index.php?search=%D0%94%D0%BE%D0%BB%D0%B3%201966%20%D1%84%D0%B8%D0%BB%D1%8C%D0%BC","искать")</f>
        <v/>
      </c>
      <c r="N1698" s="3" t="n"/>
      <c r="O1698" s="2" t="n"/>
    </row>
    <row r="1699">
      <c r="A1699" s="2" t="n">
        <v>1698</v>
      </c>
      <c r="B1699" s="2" t="inlineStr">
        <is>
          <t>не сюжет</t>
        </is>
      </c>
      <c r="C1699" s="2" t="n">
        <v>10893</v>
      </c>
      <c r="D1699" s="3" t="inlineStr">
        <is>
          <t>Мы не увидимся с тобой</t>
        </is>
      </c>
      <c r="E1699" s="2" t="n">
        <v>1981</v>
      </c>
      <c r="F1699" s="2" t="inlineStr">
        <is>
          <t>фильм-спектакль</t>
        </is>
      </c>
      <c r="G1699" s="2" t="n"/>
      <c r="H1699" s="2" t="n">
        <v>323</v>
      </c>
      <c r="I1699" s="2" t="inlineStr"/>
      <c r="J1699" s="2" t="inlineStr">
        <is>
          <t>да</t>
        </is>
      </c>
      <c r="K1699" s="3" t="inlineStr">
        <is>
          <t>По одноименной повести Константина Симонова о дальнейшей судьбе героев фильма-спектакля "Из записок Лопатина" в постановке Московского театра "Современник".
Журналист Лопатин всегда помнит тех, с кем свели его дороги войны. Воспоминания о них - неотъемлемая часть раздумий Лопатина о долге, чести, храбрости и товариществе.</t>
        </is>
      </c>
      <c r="L1699" s="2" t="inlineStr">
        <is>
          <t>https://www.kino-teatr.ru/teatr/movie/81657/annot/</t>
        </is>
      </c>
      <c r="M1699" s="2">
        <f>HYPERLINK("https://ru.wikipedia.org/w/index.php?search=%D0%9C%D1%8B%20%D0%BD%D0%B5%20%D1%83%D0%B2%D0%B8%D0%B4%D0%B8%D0%BC%D1%81%D1%8F%20%D1%81%20%D1%82%D0%BE%D0%B1%D0%BE%D0%B9%201981%20%D1%84%D0%B8%D0%BB%D1%8C%D0%BC","искать")</f>
        <v/>
      </c>
      <c r="N1699" s="3" t="n"/>
      <c r="O1699" s="2" t="n"/>
    </row>
    <row r="1700">
      <c r="A1700" s="2" t="n">
        <v>1699</v>
      </c>
      <c r="B1700" s="2" t="inlineStr">
        <is>
          <t>не сюжет</t>
        </is>
      </c>
      <c r="C1700" s="2" t="n">
        <v>8377</v>
      </c>
      <c r="D1700" s="3" t="inlineStr">
        <is>
          <t>Сократ</t>
        </is>
      </c>
      <c r="E1700" s="2" t="n">
        <v>1991</v>
      </c>
      <c r="F1700" s="2" t="inlineStr">
        <is>
          <t>телефильм</t>
        </is>
      </c>
      <c r="G1700" s="2" t="n"/>
      <c r="H1700" s="2" t="n">
        <v>324</v>
      </c>
      <c r="I1700" s="2" t="inlineStr"/>
      <c r="J1700" s="2" t="inlineStr">
        <is>
          <t>да</t>
        </is>
      </c>
      <c r="K1700" s="3" t="inlineStr">
        <is>
          <t>Фильм снят по мотивам пьесы Максвелла Андерсона "Босоногий в Афинах". Заканчивается многолетняя война со Спартой. Могущество и процветание Афин кануло в прошлое, в атмосфере всеобщего отчаяния и раздражения сменяют друг друга демократия, тирания, олигархия. На этом фоне проходит последний, трагический период жизни Сократа.</t>
        </is>
      </c>
      <c r="L1700" s="2" t="inlineStr">
        <is>
          <t>Кино_СССР сводный каталог.xlsx: список телефильмов</t>
        </is>
      </c>
      <c r="M1700" s="2">
        <f>HYPERLINK("https://ru.wikipedia.org/w/index.php?search=%D0%A1%D0%BE%D0%BA%D1%80%D0%B0%D1%82%201991%20%D1%84%D0%B8%D0%BB%D1%8C%D0%BC","искать")</f>
        <v/>
      </c>
      <c r="N1700" s="3" t="n"/>
      <c r="O1700" s="2" t="n"/>
    </row>
    <row r="1701">
      <c r="A1701" s="2" t="n">
        <v>1700</v>
      </c>
      <c r="B1701" s="2" t="inlineStr">
        <is>
          <t>не сюжет</t>
        </is>
      </c>
      <c r="C1701" s="2" t="n">
        <v>7903</v>
      </c>
      <c r="D1701" s="3" t="inlineStr">
        <is>
          <t>Моя семья</t>
        </is>
      </c>
      <c r="E1701" s="2" t="n">
        <v>1982</v>
      </c>
      <c r="F1701" s="2" t="inlineStr">
        <is>
          <t>телефильм</t>
        </is>
      </c>
      <c r="G1701" s="2" t="n"/>
      <c r="H1701" s="2" t="n">
        <v>325</v>
      </c>
      <c r="I1701" s="2" t="inlineStr"/>
      <c r="J1701" s="2" t="inlineStr">
        <is>
          <t>да</t>
        </is>
      </c>
      <c r="K1701" s="3" t="inlineStr">
        <is>
          <t>Семья Ронисонов похожа на многие городские семьи, где родители увлечены своей работой, где всего один ребёнок, где ритм жизни и налаженный быт создают внешнее ощущение полного благополучия. Такой она предстаёт перед глазами телезрителей в передаче "Семейные диалоги". Но иначе воспринимает многие семейные события сын Роберт.</t>
        </is>
      </c>
      <c r="L1701" s="2" t="inlineStr">
        <is>
          <t>Кино_СССР сводный каталог.xlsx: список телефильмов</t>
        </is>
      </c>
      <c r="M1701" s="2">
        <f>HYPERLINK("https://ru.wikipedia.org/w/index.php?search=%D0%9C%D0%BE%D1%8F%20%D1%81%D0%B5%D0%BC%D1%8C%D1%8F%201982%20%D1%84%D0%B8%D0%BB%D1%8C%D0%BC","искать")</f>
        <v/>
      </c>
      <c r="N1701" s="3" t="n"/>
      <c r="O1701" s="2" t="n"/>
    </row>
    <row r="1702">
      <c r="A1702" s="2" t="n">
        <v>1701</v>
      </c>
      <c r="B1702" s="2" t="inlineStr">
        <is>
          <t>не сюжет</t>
        </is>
      </c>
      <c r="C1702" s="2" t="n">
        <v>8969</v>
      </c>
      <c r="D1702" s="3" t="inlineStr">
        <is>
          <t>Почему улыбались звёзды</t>
        </is>
      </c>
      <c r="E1702" s="2" t="n">
        <v>1966</v>
      </c>
      <c r="F1702" s="2" t="inlineStr">
        <is>
          <t>фильм-спектакль</t>
        </is>
      </c>
      <c r="G1702" s="2" t="n"/>
      <c r="H1702" s="2" t="n">
        <v>326</v>
      </c>
      <c r="I1702" s="2" t="inlineStr"/>
      <c r="J1702" s="2" t="inlineStr">
        <is>
          <t>да</t>
        </is>
      </c>
      <c r="K1702" s="3" t="inlineStr">
        <is>
          <t>Фильм-спектакль по одноименной пьесе 1957 года А.Корнейчука с элементами комедии и сатиры рассказывает о людях, которые считают себя украинской советской интеллигенцией. В нем присутствуют поучительные интонации,критика пережитков прошлого и отстаивание идеалов "светлого будущего", все то,чем было "славно" искусство тех лет.</t>
        </is>
      </c>
      <c r="L1702" s="2" t="inlineStr">
        <is>
          <t>Кино_СССР сводный каталог.xlsx: список фильмов (доп.)</t>
        </is>
      </c>
      <c r="M1702" s="2">
        <f>HYPERLINK("https://ru.wikipedia.org/w/index.php?search=%D0%9F%D0%BE%D1%87%D0%B5%D0%BC%D1%83%20%D1%83%D0%BB%D1%8B%D0%B1%D0%B0%D0%BB%D0%B8%D1%81%D1%8C%20%D0%B7%D0%B2%D1%91%D0%B7%D0%B4%D1%8B%201966%20%D1%84%D0%B8%D0%BB%D1%8C%D0%BC","искать")</f>
        <v/>
      </c>
      <c r="N1702" s="3" t="n"/>
      <c r="O1702" s="2" t="n"/>
    </row>
    <row r="1703">
      <c r="A1703" s="2" t="n">
        <v>1702</v>
      </c>
      <c r="B1703" s="2" t="inlineStr">
        <is>
          <t>не сюжет</t>
        </is>
      </c>
      <c r="C1703" s="2" t="n">
        <v>9274</v>
      </c>
      <c r="D1703" s="3" t="inlineStr">
        <is>
          <t>Водоворот</t>
        </is>
      </c>
      <c r="E1703" s="2" t="n">
        <v>1991</v>
      </c>
      <c r="F1703" s="2" t="inlineStr">
        <is>
          <t>кинофильм</t>
        </is>
      </c>
      <c r="G1703" s="2" t="n"/>
      <c r="H1703" s="2" t="n">
        <v>326</v>
      </c>
      <c r="I1703" s="2" t="inlineStr"/>
      <c r="J1703" s="2" t="inlineStr">
        <is>
          <t>да</t>
        </is>
      </c>
      <c r="K1703" s="3" t="inlineStr">
        <is>
          <t>Фильм о людях, ставших заложниками уходящей эпохи. Отшельничество одного из них и неприкаянность другого, одержимого верой в то, что можно вернуться к истокам и начать все сначала, не спасает героев от исторической предопределенности судьбы. Участие на Кинорынке-фестивале «Окно в Европу—94» (Выборг): содружество независимых.</t>
        </is>
      </c>
      <c r="L1703" s="2" t="inlineStr">
        <is>
          <t>Кино_СССР сводный каталог.xlsx: список фильмов (доп.)</t>
        </is>
      </c>
      <c r="M1703" s="2">
        <f>HYPERLINK("https://ru.wikipedia.org/w/index.php?search=%D0%92%D0%BE%D0%B4%D0%BE%D0%B2%D0%BE%D1%80%D0%BE%D1%82%201991%20%D1%84%D0%B8%D0%BB%D1%8C%D0%BC","искать")</f>
        <v/>
      </c>
      <c r="N1703" s="3" t="n"/>
      <c r="O1703" s="2" t="n"/>
    </row>
    <row r="1704">
      <c r="A1704" s="2" t="n">
        <v>1703</v>
      </c>
      <c r="B1704" s="2" t="inlineStr">
        <is>
          <t>не сюжет</t>
        </is>
      </c>
      <c r="C1704" s="2" t="n">
        <v>10449</v>
      </c>
      <c r="D1704" s="3" t="inlineStr">
        <is>
          <t>Любимые страницы</t>
        </is>
      </c>
      <c r="E1704" s="2" t="n">
        <v>1972</v>
      </c>
      <c r="F1704" s="2" t="inlineStr">
        <is>
          <t>фильм-спектакль</t>
        </is>
      </c>
      <c r="G1704" s="2" t="inlineStr">
        <is>
          <t>Центральное телевидение</t>
        </is>
      </c>
      <c r="H1704" s="2" t="n">
        <v>327</v>
      </c>
      <c r="I1704" s="2" t="inlineStr"/>
      <c r="J1704" s="2" t="inlineStr">
        <is>
          <t>да</t>
        </is>
      </c>
      <c r="K1704" s="3" t="inlineStr">
        <is>
          <t>Спектакль-концерт "Искусство принадлежит народу..."
Литературная композиция по произведениям А.Радищева, А.Герцена, Н.Чернышевского, Н.Некрасова, В.Курочкина, Ф.Тютчева, И.Тургенева, А.Пушкина, Л.Толстого, М.Салтыкова-Щедрина, А.Чехова, М.Горького, В.Князева в постановке Государственного академического театра имени Моссовета.</t>
        </is>
      </c>
      <c r="L1704" s="2" t="inlineStr">
        <is>
          <t>https://www.kino-teatr.ru/teatr/movie/81476/annot/</t>
        </is>
      </c>
      <c r="M1704" s="2">
        <f>HYPERLINK("https://ru.wikipedia.org/w/index.php?search=%D0%9B%D1%8E%D0%B1%D0%B8%D0%BC%D1%8B%D0%B5%20%D1%81%D1%82%D1%80%D0%B0%D0%BD%D0%B8%D1%86%D1%8B%201972%20%D1%84%D0%B8%D0%BB%D1%8C%D0%BC","искать")</f>
        <v/>
      </c>
      <c r="N1704" s="3" t="n"/>
      <c r="O1704" s="2" t="n"/>
    </row>
    <row r="1705">
      <c r="A1705" s="2" t="n">
        <v>1704</v>
      </c>
      <c r="B1705" s="2" t="inlineStr">
        <is>
          <t>не сюжет</t>
        </is>
      </c>
      <c r="C1705" s="2" t="n">
        <v>10462</v>
      </c>
      <c r="D1705" s="3" t="inlineStr">
        <is>
          <t>Потешки</t>
        </is>
      </c>
      <c r="E1705" s="2" t="n">
        <v>1972</v>
      </c>
      <c r="F1705" s="2" t="inlineStr">
        <is>
          <t>фильм-спектакль</t>
        </is>
      </c>
      <c r="G1705" s="2" t="inlineStr">
        <is>
          <t>Свердловская киностудия</t>
        </is>
      </c>
      <c r="H1705" s="2" t="n">
        <v>327</v>
      </c>
      <c r="I1705" s="2" t="inlineStr"/>
      <c r="J1705" s="2" t="inlineStr">
        <is>
          <t>да</t>
        </is>
      </c>
      <c r="K1705" s="3" t="inlineStr">
        <is>
          <t>Музыкальная фантазия на темы русских народных потешек и песен.
В ролях: Петрушка - Е.Бугров, солисты Уральского русского народного хора, артисты балета Свердловского государственного академического театра оперы и балета им. А.В.Луначарского, артисты балета Свердловского театра музыкальной комедии, вокальный квартет "Игоринки"</t>
        </is>
      </c>
      <c r="L1705" s="2" t="inlineStr">
        <is>
          <t>https://www.kino-teatr.ru/teatr/movie/96318/annot/</t>
        </is>
      </c>
      <c r="M1705" s="2">
        <f>HYPERLINK("https://ru.wikipedia.org/w/index.php?search=%D0%9F%D0%BE%D1%82%D0%B5%D1%88%D0%BA%D0%B8%201972%20%D1%84%D0%B8%D0%BB%D1%8C%D0%BC","искать")</f>
        <v/>
      </c>
      <c r="N1705" s="3" t="n"/>
      <c r="O1705" s="2" t="n"/>
    </row>
    <row r="1706">
      <c r="A1706" s="2" t="n">
        <v>1705</v>
      </c>
      <c r="B1706" s="2" t="inlineStr">
        <is>
          <t>не сюжет</t>
        </is>
      </c>
      <c r="C1706" s="2" t="n">
        <v>7543</v>
      </c>
      <c r="D1706" s="3" t="inlineStr">
        <is>
          <t>Дом, который построил Свифт</t>
        </is>
      </c>
      <c r="E1706" s="2" t="n">
        <v>1982</v>
      </c>
      <c r="F1706" s="2" t="inlineStr">
        <is>
          <t>телефильм</t>
        </is>
      </c>
      <c r="G1706" s="2" t="n"/>
      <c r="H1706" s="2" t="n">
        <v>328</v>
      </c>
      <c r="I1706" s="2" t="inlineStr"/>
      <c r="J1706" s="2" t="inlineStr">
        <is>
          <t>да</t>
        </is>
      </c>
      <c r="K1706" s="3" t="inlineStr">
        <is>
          <t>Необычный дом построили английский писатель-сатирик Джонатан Свифт и авторы фильма - Григорий Горин и Марк Захаров. В этом доме мистификаций и розыгрышей зрители знакомятся с его обитателями - лилипутами, Ванессой, Эстер и многими другими, верящими в добро и знающими, что надо за него бороться, ибо жизнь - это все же не театр.</t>
        </is>
      </c>
      <c r="L1706" s="2" t="inlineStr">
        <is>
          <t>Кино_СССР сводный каталог.xlsx: список телефильмов</t>
        </is>
      </c>
      <c r="M1706" s="2">
        <f>HYPERLINK("https://ru.wikipedia.org/w/index.php?search=%D0%94%D0%BE%D0%BC%2C%20%D0%BA%D0%BE%D1%82%D0%BE%D1%80%D1%8B%D0%B9%20%D0%BF%D0%BE%D1%81%D1%82%D1%80%D0%BE%D0%B8%D0%BB%20%D0%A1%D0%B2%D0%B8%D1%84%D1%82%201982%20%D1%84%D0%B8%D0%BB%D1%8C%D0%BC","искать")</f>
        <v/>
      </c>
      <c r="N1706" s="3" t="n"/>
      <c r="O1706" s="2" t="n"/>
    </row>
    <row r="1707">
      <c r="A1707" s="2" t="n">
        <v>1706</v>
      </c>
      <c r="B1707" s="2" t="inlineStr">
        <is>
          <t>не сюжет</t>
        </is>
      </c>
      <c r="C1707" s="2" t="n">
        <v>8153</v>
      </c>
      <c r="D1707" s="3" t="inlineStr">
        <is>
          <t>Покровские ворота</t>
        </is>
      </c>
      <c r="E1707" s="2" t="n">
        <v>1982</v>
      </c>
      <c r="F1707" s="2" t="inlineStr">
        <is>
          <t>телефильм</t>
        </is>
      </c>
      <c r="G1707" s="2" t="inlineStr">
        <is>
          <t>Мосфильм</t>
        </is>
      </c>
      <c r="H1707" s="2" t="n">
        <v>328</v>
      </c>
      <c r="I1707" s="2" t="inlineStr"/>
      <c r="J1707" s="2" t="inlineStr">
        <is>
          <t>да</t>
        </is>
      </c>
      <c r="K1707" s="3" t="inlineStr">
        <is>
          <t>Телефильм. О Москве и москвичах 50-х годов - один из лучших фильмов Михаила Козакова, умный, тонкий, динамичный и очень смешной. Песни Булата Окуджавы, виды Старой Москвы, ностальгия по времени, когда души были молоды, и даже домашние злодеи вызывали симпатию и сочувствие... Фильм поставлен по одноименной пьесе Леонида Зорина.</t>
        </is>
      </c>
      <c r="L1707" s="2" t="inlineStr">
        <is>
          <t>Кино_СССР сводный каталог.xlsx: список телефильмов</t>
        </is>
      </c>
      <c r="M1707" s="2">
        <f>HYPERLINK("https://ru.wikipedia.org/w/index.php?search=%D0%9F%D0%BE%D0%BA%D1%80%D0%BE%D0%B2%D1%81%D0%BA%D0%B8%D0%B5%20%D0%B2%D0%BE%D1%80%D0%BE%D1%82%D0%B0%201982%20%D1%84%D0%B8%D0%BB%D1%8C%D0%BC","искать")</f>
        <v/>
      </c>
      <c r="N1707" s="3" t="n"/>
      <c r="O1707" s="2" t="n"/>
    </row>
    <row r="1708">
      <c r="A1708" s="2" t="n">
        <v>1707</v>
      </c>
      <c r="B1708" s="2" t="inlineStr">
        <is>
          <t>не сюжет</t>
        </is>
      </c>
      <c r="C1708" s="2" t="n">
        <v>9329</v>
      </c>
      <c r="D1708" s="3" t="inlineStr">
        <is>
          <t>День ангела</t>
        </is>
      </c>
      <c r="E1708" s="2" t="n">
        <v>1980</v>
      </c>
      <c r="F1708" s="2" t="inlineStr">
        <is>
          <t>кинофильм</t>
        </is>
      </c>
      <c r="G1708" s="2" t="n"/>
      <c r="H1708" s="2" t="n">
        <v>328</v>
      </c>
      <c r="I1708" s="2" t="inlineStr"/>
      <c r="J1708" s="2" t="inlineStr">
        <is>
          <t>да</t>
        </is>
      </c>
      <c r="K1708" s="3" t="inlineStr">
        <is>
          <t>По одноименному рассказу М.Коновальчука. Снят подпольно в 1980 году. Рассказ подростка Мафусаила о своей жизни и жизни близких людей. Действующие лица его рассказа: отец - герой гражданской войны; старший брат - вор и бандюга; средний брат - фальшивомонетчик, работящая сестра Катерина, набожная сестренка Вера и непоседа Любка.</t>
        </is>
      </c>
      <c r="L1708" s="2" t="inlineStr">
        <is>
          <t>Кино_СССР сводный каталог.xlsx: список фильмов (доп.)</t>
        </is>
      </c>
      <c r="M1708" s="2">
        <f>HYPERLINK("https://ru.wikipedia.org/w/index.php?search=%D0%94%D0%B5%D0%BD%D1%8C%20%D0%B0%D0%BD%D0%B3%D0%B5%D0%BB%D0%B0%201980%20%D1%84%D0%B8%D0%BB%D1%8C%D0%BC","искать")</f>
        <v/>
      </c>
      <c r="N1708" s="3" t="n"/>
      <c r="O1708" s="2" t="n"/>
    </row>
    <row r="1709">
      <c r="A1709" s="2" t="n">
        <v>1708</v>
      </c>
      <c r="B1709" s="2" t="inlineStr">
        <is>
          <t>не сюжет</t>
        </is>
      </c>
      <c r="C1709" s="2" t="n">
        <v>11104</v>
      </c>
      <c r="D1709" s="3" t="inlineStr">
        <is>
          <t>Два взгляда из одного кабинета</t>
        </is>
      </c>
      <c r="E1709" s="2" t="n">
        <v>1986</v>
      </c>
      <c r="F1709" s="2" t="inlineStr">
        <is>
          <t>фильм-спектакль</t>
        </is>
      </c>
      <c r="G1709" s="2" t="inlineStr">
        <is>
          <t>Главная редакция литературно-драматических программ ЦТ</t>
        </is>
      </c>
      <c r="H1709" s="2" t="n">
        <v>328</v>
      </c>
      <c r="I1709" s="2" t="inlineStr"/>
      <c r="J1709" s="2" t="inlineStr">
        <is>
          <t>да</t>
        </is>
      </c>
      <c r="K1709" s="3" t="inlineStr">
        <is>
          <t>Из цикла "Политический театр".
Телеспектакль построен как диалог двух руководителей: второго секретаря обкома КПСС Ивана Стрешнева и Василия Широкова, избранного недавно первым секретарем. В этом серьезном разговоре обсуждаются проблемы перестройки народного хозяйства и ответственности каждого человека за происходящие события.</t>
        </is>
      </c>
      <c r="L1709" s="2" t="inlineStr">
        <is>
          <t>https://www.kino-teatr.ru/teatr/movie/81363/annot/</t>
        </is>
      </c>
      <c r="M1709" s="2">
        <f>HYPERLINK("https://ru.wikipedia.org/w/index.php?search=%D0%94%D0%B2%D0%B0%20%D0%B2%D0%B7%D0%B3%D0%BB%D1%8F%D0%B4%D0%B0%20%D0%B8%D0%B7%20%D0%BE%D0%B4%D0%BD%D0%BE%D0%B3%D0%BE%20%D0%BA%D0%B0%D0%B1%D0%B8%D0%BD%D0%B5%D1%82%D0%B0%201986%20%D1%84%D0%B8%D0%BB%D1%8C%D0%BC","искать")</f>
        <v/>
      </c>
      <c r="N1709" s="3" t="n"/>
      <c r="O1709" s="2" t="n"/>
    </row>
    <row r="1710">
      <c r="A1710" s="2" t="n">
        <v>1709</v>
      </c>
      <c r="B1710" s="2" t="inlineStr">
        <is>
          <t>не сюжет</t>
        </is>
      </c>
      <c r="C1710" s="2" t="n">
        <v>9485</v>
      </c>
      <c r="D1710" s="3" t="inlineStr">
        <is>
          <t>На дальней заставе</t>
        </is>
      </c>
      <c r="E1710" s="2" t="n">
        <v>1940</v>
      </c>
      <c r="F1710" s="2" t="inlineStr">
        <is>
          <t>кинофильм</t>
        </is>
      </c>
      <c r="G1710" s="2" t="n"/>
      <c r="H1710" s="2" t="n">
        <v>329</v>
      </c>
      <c r="I1710" s="2" t="inlineStr"/>
      <c r="J1710" s="2" t="inlineStr">
        <is>
          <t>да</t>
        </is>
      </c>
      <c r="K1710" s="3" t="inlineStr">
        <is>
          <t>О жизни советских пограничников. В главной роли снялся талантливый театральный актер В. Блюменталь-Тамарин, которого редко приглашали сниматься в кино. Фильм был подготовлен к выпуску, напечатан тираж (250 копий), но не вышел на экран «по тематическим соображениям»: "...Картина карикатурно показывает работу наших пограничников.</t>
        </is>
      </c>
      <c r="L1710" s="2" t="inlineStr">
        <is>
          <t>Кино_СССР сводный каталог.xlsx: список фильмов (доп.)</t>
        </is>
      </c>
      <c r="M1710" s="2">
        <f>HYPERLINK("https://ru.wikipedia.org/w/index.php?search=%D0%9D%D0%B0%20%D0%B4%D0%B0%D0%BB%D1%8C%D0%BD%D0%B5%D0%B9%20%D0%B7%D0%B0%D1%81%D1%82%D0%B0%D0%B2%D0%B5%201940%20%D1%84%D0%B8%D0%BB%D1%8C%D0%BC","искать")</f>
        <v/>
      </c>
      <c r="N1710" s="3" t="n"/>
      <c r="O1710" s="2" t="n"/>
    </row>
    <row r="1711">
      <c r="A1711" s="2" t="n">
        <v>1710</v>
      </c>
      <c r="B1711" s="2" t="inlineStr">
        <is>
          <t>не сюжет</t>
        </is>
      </c>
      <c r="C1711" s="2" t="n">
        <v>10607</v>
      </c>
      <c r="D1711" s="3" t="inlineStr">
        <is>
          <t>Дом, где разбиваются сердца</t>
        </is>
      </c>
      <c r="E1711" s="2" t="n">
        <v>1975</v>
      </c>
      <c r="F1711" s="2" t="inlineStr">
        <is>
          <t>фильм-спектакль</t>
        </is>
      </c>
      <c r="G1711" s="2" t="n"/>
      <c r="H1711" s="2" t="n">
        <v>329</v>
      </c>
      <c r="I1711" s="2" t="inlineStr"/>
      <c r="J1711" s="2" t="inlineStr">
        <is>
          <t>да</t>
        </is>
      </c>
      <c r="K1711" s="3" t="inlineStr">
        <is>
          <t>По одноимённой пьесе Б. Шоу
Фантазии в русском стиле на английские темы.
Спектакль-легенда Театра сатиры.
Написанная во время Первой мировой войны, пьеса проникнута мрачными предчувствиями неизбежной гибели и глобальной катастрофы. Но ее персонажам присущи насмешливость и блистательный юмор, готовность к розыгрышам и авантюрам.</t>
        </is>
      </c>
      <c r="L1711" s="2" t="inlineStr">
        <is>
          <t>https://www.kino-teatr.ru/teatr/movie/81424/annot/</t>
        </is>
      </c>
      <c r="M1711" s="2">
        <f>HYPERLINK("https://ru.wikipedia.org/w/index.php?search=%D0%94%D0%BE%D0%BC%2C%20%D0%B3%D0%B4%D0%B5%20%D1%80%D0%B0%D0%B7%D0%B1%D0%B8%D0%B2%D0%B0%D1%8E%D1%82%D1%81%D1%8F%20%D1%81%D0%B5%D1%80%D0%B4%D1%86%D0%B0%201975%20%D1%84%D0%B8%D0%BB%D1%8C%D0%BC","искать")</f>
        <v/>
      </c>
      <c r="N1711" s="3" t="n"/>
      <c r="O1711" s="2" t="n"/>
    </row>
    <row r="1712">
      <c r="A1712" s="2" t="n">
        <v>1711</v>
      </c>
      <c r="B1712" s="2" t="inlineStr">
        <is>
          <t>не сюжет</t>
        </is>
      </c>
      <c r="C1712" s="2" t="n">
        <v>10965</v>
      </c>
      <c r="D1712" s="3" t="inlineStr">
        <is>
          <t>Ромео и Джульетта</t>
        </is>
      </c>
      <c r="E1712" s="2" t="n">
        <v>1982</v>
      </c>
      <c r="F1712" s="2" t="inlineStr">
        <is>
          <t>фильм-спектакль</t>
        </is>
      </c>
      <c r="G1712" s="2" t="inlineStr">
        <is>
          <t>Главная редакция литературно-драматический программ ЦТ</t>
        </is>
      </c>
      <c r="H1712" s="2" t="n">
        <v>329</v>
      </c>
      <c r="I1712" s="2" t="inlineStr"/>
      <c r="J1712" s="2" t="inlineStr">
        <is>
          <t>да</t>
        </is>
      </c>
      <c r="K1712" s="3" t="inlineStr">
        <is>
          <t>Телеспектакль по пьесе У. Шекспира; Борис Пастернак (перевод).
В спектакле использованы фрагменты Концерта для струнного оркестра Франческо Джеминиани.
Одна из последних телевизионных работ Анатолия Эфроса.
Как декорации использованы металлические конструкции, на которых молодые актеры выполняют подчас головокружительные трюки.</t>
        </is>
      </c>
      <c r="L1712" s="2" t="inlineStr">
        <is>
          <t>https://www.kino-teatr.ru/teatr/movie/6064/annot/</t>
        </is>
      </c>
      <c r="M1712" s="2">
        <f>HYPERLINK("https://ru.wikipedia.org/w/index.php?search=%D0%A0%D0%BE%D0%BC%D0%B5%D0%BE%20%D0%B8%20%D0%94%D0%B6%D1%83%D0%BB%D1%8C%D0%B5%D1%82%D1%82%D0%B0%201982%20%D1%84%D0%B8%D0%BB%D1%8C%D0%BC","искать")</f>
        <v/>
      </c>
      <c r="N1712" s="3" t="n"/>
      <c r="O1712" s="2" t="n"/>
    </row>
    <row r="1713">
      <c r="A1713" s="2" t="n">
        <v>1712</v>
      </c>
      <c r="B1713" s="2" t="inlineStr">
        <is>
          <t>не сюжет</t>
        </is>
      </c>
      <c r="C1713" s="2" t="n">
        <v>8621</v>
      </c>
      <c r="D1713" s="3" t="inlineStr">
        <is>
          <t>Австрийское поле</t>
        </is>
      </c>
      <c r="E1713" s="2" t="n">
        <v>1991</v>
      </c>
      <c r="F1713" s="2" t="inlineStr">
        <is>
          <t>кинофильм</t>
        </is>
      </c>
      <c r="G1713" s="2" t="n"/>
      <c r="H1713" s="2" t="n">
        <v>330</v>
      </c>
      <c r="I1713" s="2" t="inlineStr"/>
      <c r="J1713" s="2" t="inlineStr">
        <is>
          <t>да</t>
        </is>
      </c>
      <c r="K1713" s="3" t="inlineStr">
        <is>
          <t>Фильм о неполноте и недостаточности простейших чувств: осязания, зрения, слуха. В кино такой взгляд традиционно обозначает коллизию между подлинным и иллюзорным. Истины и мнимости даны в фильме как образы чувств. "Я люблю с вами забыть время, - говорит героиня слепому возлюбленному и добавляет, - Вы самый зрячий из всех зрячих".</t>
        </is>
      </c>
      <c r="L1713" s="2" t="inlineStr">
        <is>
          <t>Кино_СССР сводный каталог.xlsx: список фильмов (доп.)</t>
        </is>
      </c>
      <c r="M1713" s="2">
        <f>HYPERLINK("https://ru.wikipedia.org/w/index.php?search=%D0%90%D0%B2%D1%81%D1%82%D1%80%D0%B8%D0%B9%D1%81%D0%BA%D0%BE%D0%B5%20%D0%BF%D0%BE%D0%BB%D0%B5%201991%20%D1%84%D0%B8%D0%BB%D1%8C%D0%BC","искать")</f>
        <v/>
      </c>
      <c r="N1713" s="3" t="n"/>
      <c r="O1713" s="2" t="n"/>
    </row>
    <row r="1714">
      <c r="A1714" s="2" t="n">
        <v>1713</v>
      </c>
      <c r="B1714" s="2" t="inlineStr">
        <is>
          <t>не сюжет</t>
        </is>
      </c>
      <c r="C1714" s="2" t="n">
        <v>9504</v>
      </c>
      <c r="D1714" s="3" t="inlineStr">
        <is>
          <t>Нет неизвестных солдат</t>
        </is>
      </c>
      <c r="E1714" s="2" t="n">
        <v>1965</v>
      </c>
      <c r="F1714" s="2" t="inlineStr">
        <is>
          <t>кинофильм</t>
        </is>
      </c>
      <c r="G1714" s="2" t="n"/>
      <c r="H1714" s="2" t="n">
        <v>331</v>
      </c>
      <c r="I1714" s="2" t="inlineStr"/>
      <c r="J1714" s="2" t="inlineStr">
        <is>
          <t>да</t>
        </is>
      </c>
      <c r="K1714" s="3" t="inlineStr">
        <is>
          <t>Прообраз героини - юная разведчица Герой Советского Союза Мария Боровиченко. События происходят во время обороны Киева в начале Великой Отечественной войны. По воспоминаниям дважды Героя Советского Союза генерал-полковника А.И.Родимцева (в литературной записи П.Северова) "Машенька из Мышеловки", опубликованных в журнале "Юность".</t>
        </is>
      </c>
      <c r="L1714" s="2" t="inlineStr">
        <is>
          <t>Кино_СССР сводный каталог.xlsx: список фильмов (доп.)</t>
        </is>
      </c>
      <c r="M1714" s="2">
        <f>HYPERLINK("https://ru.wikipedia.org/w/index.php?search=%D0%9D%D0%B5%D1%82%20%D0%BD%D0%B5%D0%B8%D0%B7%D0%B2%D0%B5%D1%81%D1%82%D0%BD%D1%8B%D1%85%20%D1%81%D0%BE%D0%BB%D0%B4%D0%B0%D1%82%201965%20%D1%84%D0%B8%D0%BB%D1%8C%D0%BC","искать")</f>
        <v/>
      </c>
      <c r="N1714" s="3" t="n"/>
      <c r="O1714" s="2" t="n"/>
    </row>
    <row r="1715">
      <c r="A1715" s="2" t="n">
        <v>1714</v>
      </c>
      <c r="B1715" s="2" t="inlineStr">
        <is>
          <t>не сюжет</t>
        </is>
      </c>
      <c r="C1715" s="2" t="n">
        <v>9542</v>
      </c>
      <c r="D1715" s="3" t="inlineStr">
        <is>
          <t>Панцирь</t>
        </is>
      </c>
      <c r="E1715" s="2" t="n">
        <v>1990</v>
      </c>
      <c r="F1715" s="2" t="inlineStr">
        <is>
          <t>кинофильм</t>
        </is>
      </c>
      <c r="G1715" s="2" t="n"/>
      <c r="H1715" s="2" t="n">
        <v>331</v>
      </c>
      <c r="I1715" s="2" t="inlineStr"/>
      <c r="J1715" s="2" t="inlineStr">
        <is>
          <t>да</t>
        </is>
      </c>
      <c r="K1715" s="3" t="inlineStr">
        <is>
          <t>Подобно Виму Вендерсу Игорь Алимпиев снял свой фильм «с точки зрения ангелов». Ангелы наблюдают за тысячами людей и способны не только видеть, но воспринимать потаенные мысли и чувства. Сон и явь под их взором неразличимы. Сон влечет тем, что в нем можно летать; это, впрочем, обман: сон сковывает тело, берет в плен неподвижности.</t>
        </is>
      </c>
      <c r="L1715" s="2" t="inlineStr">
        <is>
          <t>Кино_СССР сводный каталог.xlsx: список фильмов (доп.)</t>
        </is>
      </c>
      <c r="M1715" s="2">
        <f>HYPERLINK("https://ru.wikipedia.org/w/index.php?search=%D0%9F%D0%B0%D0%BD%D1%86%D0%B8%D1%80%D1%8C%201990%20%D1%84%D0%B8%D0%BB%D1%8C%D0%BC","искать")</f>
        <v/>
      </c>
      <c r="N1715" s="3" t="n"/>
      <c r="O1715" s="2" t="n"/>
    </row>
    <row r="1716">
      <c r="A1716" s="2" t="n">
        <v>1715</v>
      </c>
      <c r="B1716" s="2" t="inlineStr">
        <is>
          <t>не сюжет</t>
        </is>
      </c>
      <c r="C1716" s="2" t="n">
        <v>10162</v>
      </c>
      <c r="D1716" s="3" t="inlineStr">
        <is>
          <t>Весна и оперетта</t>
        </is>
      </c>
      <c r="E1716" s="2" t="n">
        <v>1966</v>
      </c>
      <c r="F1716" s="2" t="inlineStr">
        <is>
          <t>фильм-спектакль</t>
        </is>
      </c>
      <c r="G1716" s="2" t="n"/>
      <c r="H1716" s="2" t="n">
        <v>333</v>
      </c>
      <c r="I1716" s="2" t="inlineStr"/>
      <c r="J1716" s="2" t="inlineStr">
        <is>
          <t>да</t>
        </is>
      </c>
      <c r="K1716" s="3" t="inlineStr">
        <is>
          <t>В этот прекрасный весенний вечер звучат отрывки из известных оперетт, в исполнении Мастеров советских времен, в том числе - незабываемого, любимого с детских лет, Николая Каширского, молодой восходящей звезды Московской оперетты Татьяны Шмыги, удивительных тембральных возможностей голоса - Евгения Кибкало и других советских певцов.</t>
        </is>
      </c>
      <c r="L1716" s="2" t="inlineStr">
        <is>
          <t>https://www.kino-teatr.ru/teatr/movie/99687/annot/</t>
        </is>
      </c>
      <c r="M1716" s="2">
        <f>HYPERLINK("https://ru.wikipedia.org/w/index.php?search=%D0%92%D0%B5%D1%81%D0%BD%D0%B0%20%D0%B8%20%D0%BE%D0%BF%D0%B5%D1%80%D0%B5%D1%82%D1%82%D0%B0%201966%20%D1%84%D0%B8%D0%BB%D1%8C%D0%BC","искать")</f>
        <v/>
      </c>
      <c r="N1716" s="3" t="n"/>
      <c r="O1716" s="2" t="n"/>
    </row>
    <row r="1717">
      <c r="A1717" s="2" t="n">
        <v>1716</v>
      </c>
      <c r="B1717" s="2" t="inlineStr">
        <is>
          <t>не сюжет</t>
        </is>
      </c>
      <c r="C1717" s="2" t="n">
        <v>10465</v>
      </c>
      <c r="D1717" s="3" t="inlineStr">
        <is>
          <t>Р РµРІРёР·РѕСЂ. РЎС†РµРЅС‹ РёР· СЃРїРµРєС‚Р°РєР»СЏ</t>
        </is>
      </c>
      <c r="E1717" s="2" t="n">
        <v>1972</v>
      </c>
      <c r="F1717" s="2" t="inlineStr">
        <is>
          <t>фильм-спектакль</t>
        </is>
      </c>
      <c r="G1717" s="2" t="n"/>
      <c r="H1717" s="2" t="n">
        <v>333</v>
      </c>
      <c r="I1717" s="2" t="inlineStr"/>
      <c r="J1717" s="2" t="inlineStr">
        <is>
          <t>да</t>
        </is>
      </c>
      <c r="K1717" s="3" t="inlineStr">
        <is>
          <t>РЎС†РµРЅС‹ РёР· СЃРїРµРєС‚Р°РєР»СЏ "Р РµРІРёР·РѕСЂ" РїРѕ РїСЊРµСЃРµ Рќ.Р“РѕРіРѕР»СЏ Р›РµРЅРёРЅРіСЂР°РґСЃРєРѕРіРѕ Р°РєР°РґРµРјРёС‡РµСЃРєРѕРіРѕ Р‘РѕР»СЊС€РѕРіРѕ РґСЂР°РјР°С‚РёС‡РµСЃРєРѕРіРѕ С‚РµР°С‚СЂР° РёРјРµРЅРё Рњ.Р“РѕСЂСЊРєРѕРіРѕ РІ РїРѕСЃС‚Р°РЅРѕРІРєРµ РіР»Р°РІРЅРѕРіРѕ СЂРµР¶РёСЃСЃРµСЂР° Р“РµРѕСЂРіРёСЏ РўРѕРІСЃС‚РѕРЅРѕРіРѕРІР° .</t>
        </is>
      </c>
      <c r="L1717" s="2" t="inlineStr">
        <is>
          <t>https://www.kino-teatr.ru/teatr/movie/102014/annot/</t>
        </is>
      </c>
      <c r="M1717" s="2">
        <f>HYPERLINK("https://ru.wikipedia.org/w/index.php?search=%D0%A0%20%D0%A0%C2%B5%D0%A0%D0%86%D0%A0%D1%91%D0%A0%C2%B7%D0%A0%D1%95%D0%A1%D0%82.%20%D0%A0%D0%8E%D0%A1%E2%80%A0%D0%A0%C2%B5%D0%A0%D0%85%D0%A1%E2%80%B9%20%D0%A0%D1%91%D0%A0%C2%B7%20%D0%A1%D0%83%D0%A0%D1%97%D0%A0%C2%B5%D0%A0%D1%94%D0%A1%E2%80%9A%D0%A0%C2%B0%D0%A0%D1%94%D0%A0%C2%BB%D0%A1%D0%8F%201972%20%D1%84%D0%B8%D0%BB%D1%8C%D0%BC","искать")</f>
        <v/>
      </c>
      <c r="N1717" s="3" t="n"/>
      <c r="O1717" s="2" t="n"/>
    </row>
    <row r="1718">
      <c r="A1718" s="2" t="n">
        <v>1717</v>
      </c>
      <c r="B1718" s="2" t="inlineStr">
        <is>
          <t>не сюжет</t>
        </is>
      </c>
      <c r="C1718" s="2" t="n">
        <v>8510</v>
      </c>
      <c r="D1718" s="3" t="inlineStr">
        <is>
          <t>Фантазии Фарятьева</t>
        </is>
      </c>
      <c r="E1718" s="2" t="n">
        <v>1979</v>
      </c>
      <c r="F1718" s="2" t="inlineStr">
        <is>
          <t>телефильм</t>
        </is>
      </c>
      <c r="G1718" s="2" t="n"/>
      <c r="H1718" s="2" t="n">
        <v>334</v>
      </c>
      <c r="I1718" s="2" t="inlineStr"/>
      <c r="J1718" s="2" t="inlineStr">
        <is>
          <t>да</t>
        </is>
      </c>
      <c r="K1718" s="3" t="inlineStr">
        <is>
          <t>Телефильм по мотивам одноименной пьесы Аллы Соколовой. Фильм о двух людях, живущих в тесных квартирах в провинциальном городке. Героине фильма Александре уже под тридцать. Она только-что пережила душевную травму - разрыв с любимым. Ее все раздражает - ежедневная работа в музыкальной школе, ученики, домашняя обстановка, сестра, мать.</t>
        </is>
      </c>
      <c r="L1718" s="2" t="inlineStr">
        <is>
          <t>Кино_СССР сводный каталог.xlsx: список телефильмов</t>
        </is>
      </c>
      <c r="M1718" s="2">
        <f>HYPERLINK("https://ru.wikipedia.org/w/index.php?search=%D0%A4%D0%B0%D0%BD%D1%82%D0%B0%D0%B7%D0%B8%D0%B8%20%D0%A4%D0%B0%D1%80%D1%8F%D1%82%D1%8C%D0%B5%D0%B2%D0%B0%201979%20%D1%84%D0%B8%D0%BB%D1%8C%D0%BC","искать")</f>
        <v/>
      </c>
      <c r="N1718" s="3" t="n"/>
      <c r="O1718" s="2" t="n"/>
    </row>
    <row r="1719">
      <c r="A1719" s="2" t="n">
        <v>1718</v>
      </c>
      <c r="B1719" s="2" t="inlineStr">
        <is>
          <t>не сюжет</t>
        </is>
      </c>
      <c r="C1719" s="2" t="n">
        <v>8748</v>
      </c>
      <c r="D1719" s="3" t="inlineStr">
        <is>
          <t>Исповедь</t>
        </is>
      </c>
      <c r="E1719" s="2" t="n">
        <v>1990</v>
      </c>
      <c r="F1719" s="2" t="inlineStr">
        <is>
          <t>кинофильм</t>
        </is>
      </c>
      <c r="G1719" s="2" t="n"/>
      <c r="H1719" s="2" t="n">
        <v>334</v>
      </c>
      <c r="I1719" s="2" t="inlineStr"/>
      <c r="J1719" s="2" t="inlineStr">
        <is>
          <t>да</t>
        </is>
      </c>
      <c r="K1719" s="3" t="inlineStr">
        <is>
          <t>Фильм был запущен в производство только в 1989 году. Параджанов успел поработать два съемочных дня, были отсняты первые 300 метров пленки и съемки были приостановлены из-за его резко прогрессирующей болезни. Оригинальный негатив включён в фильм "Параджанов: Последняя весна". Сценарий "Исповедь" Сергей Параджанов написал в 1969 году.</t>
        </is>
      </c>
      <c r="L1719" s="2" t="inlineStr">
        <is>
          <t>Кино_СССР сводный каталог.xlsx: список фильмов (доп.)</t>
        </is>
      </c>
      <c r="M1719" s="2">
        <f>HYPERLINK("https://ru.wikipedia.org/w/index.php?search=%D0%98%D1%81%D0%BF%D0%BE%D0%B2%D0%B5%D0%B4%D1%8C%201990%20%D1%84%D0%B8%D0%BB%D1%8C%D0%BC","искать")</f>
        <v/>
      </c>
      <c r="N1719" s="3" t="n"/>
      <c r="O1719" s="2" t="n"/>
    </row>
    <row r="1720">
      <c r="A1720" s="2" t="n">
        <v>1719</v>
      </c>
      <c r="B1720" s="2" t="inlineStr">
        <is>
          <t>не сюжет</t>
        </is>
      </c>
      <c r="C1720" s="2" t="n">
        <v>9572</v>
      </c>
      <c r="D1720" s="3" t="inlineStr">
        <is>
          <t>Посетитель музея</t>
        </is>
      </c>
      <c r="E1720" s="2" t="n">
        <v>1989</v>
      </c>
      <c r="F1720" s="2" t="inlineStr">
        <is>
          <t>кинофильм</t>
        </is>
      </c>
      <c r="G1720" s="2" t="n"/>
      <c r="H1720" s="2" t="n">
        <v>334</v>
      </c>
      <c r="I1720" s="2" t="inlineStr"/>
      <c r="J1720" s="2" t="inlineStr">
        <is>
          <t>да</t>
        </is>
      </c>
      <c r="K1720" s="3" t="inlineStr">
        <is>
          <t>Антиутопия. Второй фильм трилогии о ядерном Апокалипсисе. Действие картины происходит в будущем, не то в XXI, не то в XXII веке на некой территории, превращённой в свалку, в зловонный отстойник. ...Экологическая катастрофа свершилась. Люди, населяющие эту некогда прекрасную землю - дебилы и мутанты, ставшие жертвами этой катастрофы.</t>
        </is>
      </c>
      <c r="L1720" s="2" t="inlineStr">
        <is>
          <t>Кино_СССР сводный каталог.xlsx: список фильмов (доп.)</t>
        </is>
      </c>
      <c r="M1720" s="2">
        <f>HYPERLINK("https://ru.wikipedia.org/w/index.php?search=%D0%9F%D0%BE%D1%81%D0%B5%D1%82%D0%B8%D1%82%D0%B5%D0%BB%D1%8C%20%D0%BC%D1%83%D0%B7%D0%B5%D1%8F%201989%20%D1%84%D0%B8%D0%BB%D1%8C%D0%BC","искать")</f>
        <v/>
      </c>
      <c r="N1720" s="3" t="n"/>
      <c r="O1720" s="2" t="n"/>
    </row>
    <row r="1721">
      <c r="A1721" s="2" t="n">
        <v>1720</v>
      </c>
      <c r="B1721" s="2" t="inlineStr">
        <is>
          <t>не сюжет</t>
        </is>
      </c>
      <c r="C1721" s="2" t="n">
        <v>9630</v>
      </c>
      <c r="D1721" s="3" t="inlineStr">
        <is>
          <t>Свет над Россией</t>
        </is>
      </c>
      <c r="E1721" s="2" t="n">
        <v>1947</v>
      </c>
      <c r="F1721" s="2" t="inlineStr">
        <is>
          <t>кинофильм</t>
        </is>
      </c>
      <c r="G1721" s="2" t="n"/>
      <c r="H1721" s="2" t="n">
        <v>334</v>
      </c>
      <c r="I1721" s="2" t="inlineStr"/>
      <c r="J1721" s="2" t="inlineStr">
        <is>
          <t>да</t>
        </is>
      </c>
      <c r="K1721" s="3" t="inlineStr">
        <is>
          <t>По мотивам пьесы Н.Ф.Погодина "Кремлевские куранты". История ленты «Свет над Россией» весьма примечательна для сталинского времени. Кажется, все сулило огромный успех – добротный сценарий по знаменитой пьесе «Кремлевские куранты», с успехом шедшей в десятках театрах, выдающийся режиссер Сергей Юткевич и звездный состав исполнителей.</t>
        </is>
      </c>
      <c r="L1721" s="2" t="inlineStr">
        <is>
          <t>Кино_СССР сводный каталог.xlsx: список фильмов (доп.)</t>
        </is>
      </c>
      <c r="M1721" s="2">
        <f>HYPERLINK("https://ru.wikipedia.org/w/index.php?search=%D0%A1%D0%B2%D0%B5%D1%82%20%D0%BD%D0%B0%D0%B4%20%D0%A0%D0%BE%D1%81%D1%81%D0%B8%D0%B5%D0%B9%201947%20%D1%84%D0%B8%D0%BB%D1%8C%D0%BC","искать")</f>
        <v/>
      </c>
      <c r="N1721" s="3" t="n"/>
      <c r="O1721" s="2" t="n"/>
    </row>
    <row r="1722">
      <c r="A1722" s="2" t="n">
        <v>1721</v>
      </c>
      <c r="B1722" s="2" t="inlineStr">
        <is>
          <t>не сюжет</t>
        </is>
      </c>
      <c r="C1722" s="2" t="n">
        <v>9765</v>
      </c>
      <c r="D1722" s="3" t="inlineStr">
        <is>
          <t>Швейк готовится к бою</t>
        </is>
      </c>
      <c r="E1722" s="2" t="n">
        <v>1942</v>
      </c>
      <c r="F1722" s="2" t="inlineStr">
        <is>
          <t>кинофильм</t>
        </is>
      </c>
      <c r="G1722" s="2" t="n"/>
      <c r="H1722" s="2" t="n">
        <v>334</v>
      </c>
      <c r="I1722" s="2" t="inlineStr"/>
      <c r="J1722" s="2" t="inlineStr">
        <is>
          <t>да</t>
        </is>
      </c>
      <c r="K1722" s="3" t="inlineStr">
        <is>
          <t>Фильм снят по роману Я.Гашека. 1-я новелла "Моды Парижа" Автор сценария и реж.Климентий Минц В ролях: Эраст Гарин, Сергей Мартинсон, Петр Галаджев, Мария Баранова 2-я новелла "Последний крестоносец" Автор сценария Борис Ласкин, Иосиф Склют Режиссер Мария Итина В ролях: Борис Тенин, Павел Суханов, Леонид Кровицкий, Николай Волков-ст.</t>
        </is>
      </c>
      <c r="L1722" s="2" t="inlineStr">
        <is>
          <t>Кино_СССР сводный каталог.xlsx: список фильмов (доп.)</t>
        </is>
      </c>
      <c r="M1722" s="2">
        <f>HYPERLINK("https://ru.wikipedia.org/w/index.php?search=%D0%A8%D0%B2%D0%B5%D0%B9%D0%BA%20%D0%B3%D0%BE%D1%82%D0%BE%D0%B2%D0%B8%D1%82%D1%81%D1%8F%20%D0%BA%20%D0%B1%D0%BE%D1%8E%201942%20%D1%84%D0%B8%D0%BB%D1%8C%D0%BC","искать")</f>
        <v/>
      </c>
      <c r="N1722" s="3" t="n"/>
      <c r="O1722" s="2" t="n"/>
    </row>
    <row r="1723">
      <c r="A1723" s="2" t="n">
        <v>1722</v>
      </c>
      <c r="B1723" s="2" t="inlineStr">
        <is>
          <t>не сюжет</t>
        </is>
      </c>
      <c r="C1723" s="2" t="n">
        <v>9244</v>
      </c>
      <c r="D1723" s="3" t="inlineStr">
        <is>
          <t>Ближний круг</t>
        </is>
      </c>
      <c r="E1723" s="2" t="n">
        <v>1991</v>
      </c>
      <c r="F1723" s="2" t="inlineStr">
        <is>
          <t>кинофильм</t>
        </is>
      </c>
      <c r="G1723" s="2" t="n"/>
      <c r="H1723" s="2" t="n">
        <v>335</v>
      </c>
      <c r="I1723" s="2" t="inlineStr"/>
      <c r="J1723" s="2" t="inlineStr">
        <is>
          <t>да</t>
        </is>
      </c>
      <c r="K1723" s="3" t="inlineStr">
        <is>
          <t>Премьера в Москве - 7 ноября 1992 г. "Ближний круг" - так назывались офицеры НКВД, непосредственно обслуживающие И.В.Сталина. Герой картины - милый и восторженно-простодушный Ваня Саньшин - любил жизнь, любил людей, жену, но более всего и всех он любил Вождя, безраздельно и бесконтрольно правившего тогда огромной и послушной страной.</t>
        </is>
      </c>
      <c r="L1723" s="2" t="inlineStr">
        <is>
          <t>Кино_СССР сводный каталог.xlsx: список фильмов (доп.)</t>
        </is>
      </c>
      <c r="M1723" s="2">
        <f>HYPERLINK("https://ru.wikipedia.org/w/index.php?search=%D0%91%D0%BB%D0%B8%D0%B6%D0%BD%D0%B8%D0%B9%20%D0%BA%D1%80%D1%83%D0%B3%201991%20%D1%84%D0%B8%D0%BB%D1%8C%D0%BC","искать")</f>
        <v/>
      </c>
      <c r="N1723" s="3" t="n"/>
      <c r="O1723" s="2" t="n"/>
    </row>
    <row r="1724">
      <c r="A1724" s="2" t="n">
        <v>1723</v>
      </c>
      <c r="B1724" s="2" t="inlineStr">
        <is>
          <t>не сюжет</t>
        </is>
      </c>
      <c r="C1724" s="2" t="n">
        <v>9208</v>
      </c>
      <c r="D1724" s="3" t="inlineStr">
        <is>
          <t>Астенический синдром</t>
        </is>
      </c>
      <c r="E1724" s="2" t="n">
        <v>1989</v>
      </c>
      <c r="F1724" s="2" t="inlineStr">
        <is>
          <t>кинофильм</t>
        </is>
      </c>
      <c r="G1724" s="2" t="inlineStr">
        <is>
          <t>Одесская к/с</t>
        </is>
      </c>
      <c r="H1724" s="2" t="n">
        <v>336</v>
      </c>
      <c r="I1724" s="2" t="inlineStr"/>
      <c r="J1724" s="2" t="inlineStr">
        <is>
          <t>да</t>
        </is>
      </c>
      <c r="K1724" s="3" t="inlineStr">
        <is>
          <t>Диагноз обществу, в котором мы живем, а следовательно и каждому из нас, авторы фильма выносят приговором в его название, означающее психическое состояние, которое выражается в неадекватном поведении. Жизнь после любви. Фильм состоит из двух частей — чёрно-белой и цветной. Обе повествуют о двух героях — женщине-враче и мужчине-учителе.</t>
        </is>
      </c>
      <c r="L1724" s="2" t="inlineStr">
        <is>
          <t>Кино_СССР сводный каталог.xlsx: список фильмов (доп.)</t>
        </is>
      </c>
      <c r="M1724" s="2">
        <f>HYPERLINK("https://ru.wikipedia.org/w/index.php?search=%D0%90%D1%81%D1%82%D0%B5%D0%BD%D0%B8%D1%87%D0%B5%D1%81%D0%BA%D0%B8%D0%B9%20%D1%81%D0%B8%D0%BD%D0%B4%D1%80%D0%BE%D0%BC%201989%20%D1%84%D0%B8%D0%BB%D1%8C%D0%BC","искать")</f>
        <v/>
      </c>
      <c r="N1724" s="3" t="n"/>
      <c r="O1724" s="2" t="n"/>
    </row>
    <row r="1725">
      <c r="A1725" s="2" t="n">
        <v>1724</v>
      </c>
      <c r="B1725" s="2" t="inlineStr">
        <is>
          <t>не сюжет</t>
        </is>
      </c>
      <c r="C1725" s="2" t="n">
        <v>9298</v>
      </c>
      <c r="D1725" s="3" t="inlineStr">
        <is>
          <t>Гамбринус</t>
        </is>
      </c>
      <c r="E1725" s="2" t="n">
        <v>1990</v>
      </c>
      <c r="F1725" s="2" t="inlineStr">
        <is>
          <t>кинофильм</t>
        </is>
      </c>
      <c r="G1725" s="2" t="n"/>
      <c r="H1725" s="2" t="n">
        <v>338</v>
      </c>
      <c r="I1725" s="2" t="inlineStr"/>
      <c r="J1725" s="2" t="inlineStr">
        <is>
          <t>да</t>
        </is>
      </c>
      <c r="K1725" s="3" t="inlineStr">
        <is>
          <t>Музыкальная трагикомедия по мотивам одноименного рассказа А. И. Куприна. Начало XX века. В южном приморском городе кабачок "Гамбринус" знают все. Здесь всегда можно получить кружку свежего пива, встретиться с друзьям, перекинуться острым словцом с хозяйкой заведения мадам Ивановой и конечно же послушать неповторимую игру скрипача Сашки.</t>
        </is>
      </c>
      <c r="L1725" s="2" t="inlineStr">
        <is>
          <t>Кино_СССР сводный каталог.xlsx: список фильмов (доп.)</t>
        </is>
      </c>
      <c r="M1725" s="2">
        <f>HYPERLINK("https://ru.wikipedia.org/w/index.php?search=%D0%93%D0%B0%D0%BC%D0%B1%D1%80%D0%B8%D0%BD%D1%83%D1%81%201990%20%D1%84%D0%B8%D0%BB%D1%8C%D0%BC","искать")</f>
        <v/>
      </c>
      <c r="N1725" s="3" t="n"/>
      <c r="O1725" s="2" t="n"/>
    </row>
    <row r="1726">
      <c r="A1726" s="2" t="n">
        <v>1725</v>
      </c>
      <c r="B1726" s="2" t="inlineStr">
        <is>
          <t>не сюжет</t>
        </is>
      </c>
      <c r="C1726" s="2" t="n">
        <v>11235</v>
      </c>
      <c r="D1726" s="3" t="inlineStr">
        <is>
          <t>Чайка</t>
        </is>
      </c>
      <c r="E1726" s="2" t="n">
        <v>1988</v>
      </c>
      <c r="F1726" s="2" t="inlineStr">
        <is>
          <t>фильм-спектакль</t>
        </is>
      </c>
      <c r="G1726" s="2" t="inlineStr">
        <is>
          <t>Главная редакция литературно-драматических программ ЦТ</t>
        </is>
      </c>
      <c r="H1726" s="2" t="n">
        <v>339</v>
      </c>
      <c r="I1726" s="2" t="inlineStr"/>
      <c r="J1726" s="2" t="inlineStr">
        <is>
          <t>да</t>
        </is>
      </c>
      <c r="K1726" s="3" t="inlineStr">
        <is>
          <t>По одноименной пьесе А.Чехова в постановке Липецкого областного драматического театра имени Л.Н.Толстого.
Спектакль снят в мае 1988 года Центральным телевидением на пленэре в Мелихове. Липецкие актеры играли "Чайку" в усадьбе Антона Павловича Чехова - возле флигеля, где пьеса была написана.
Вступительное слово - литературовед В.Я.Лакшин.</t>
        </is>
      </c>
      <c r="L1726" s="2" t="inlineStr">
        <is>
          <t>https://www.kino-teatr.ru/teatr/movie/82061/annot/</t>
        </is>
      </c>
      <c r="M1726" s="2">
        <f>HYPERLINK("https://ru.wikipedia.org/w/index.php?search=%D0%A7%D0%B0%D0%B9%D0%BA%D0%B0%201988%20%D1%84%D0%B8%D0%BB%D1%8C%D0%BC","искать")</f>
        <v/>
      </c>
      <c r="N1726" s="3" t="n"/>
      <c r="O1726" s="2" t="n"/>
    </row>
    <row r="1727">
      <c r="A1727" s="2" t="n">
        <v>1726</v>
      </c>
      <c r="B1727" s="2" t="inlineStr">
        <is>
          <t>не сюжет</t>
        </is>
      </c>
      <c r="C1727" s="2" t="n">
        <v>8539</v>
      </c>
      <c r="D1727" s="3" t="inlineStr">
        <is>
          <t>Цыплят по осени считают</t>
        </is>
      </c>
      <c r="E1727" s="2" t="n">
        <v>1973</v>
      </c>
      <c r="F1727" s="2" t="inlineStr">
        <is>
          <t>телефильм</t>
        </is>
      </c>
      <c r="G1727" s="2" t="n"/>
      <c r="H1727" s="2" t="n">
        <v>340</v>
      </c>
      <c r="I1727" s="2" t="inlineStr"/>
      <c r="J1727" s="2" t="inlineStr">
        <is>
          <t>да</t>
        </is>
      </c>
      <c r="K1727" s="3" t="inlineStr">
        <is>
          <t>Действие фильма происходит в одном из сельских ПТУ. Его герои - пятеро подростков - пять разных судеб, характеров, темпераментов. Это - веселый и общительный Виктор Майзитис, резкий и задиристый Эджус, замкнутый и легко ранимый Петерис, а также две подруги - физически сильная и решительная Зента и хрупкая, неуверенная в своих силах, Рита.</t>
        </is>
      </c>
      <c r="L1727" s="2" t="inlineStr">
        <is>
          <t>Кино_СССР сводный каталог.xlsx: список телефильмов</t>
        </is>
      </c>
      <c r="M1727" s="2">
        <f>HYPERLINK("https://ru.wikipedia.org/w/index.php?search=%D0%A6%D1%8B%D0%BF%D0%BB%D1%8F%D1%82%20%D0%BF%D0%BE%20%D0%BE%D1%81%D0%B5%D0%BD%D0%B8%20%D1%81%D1%87%D0%B8%D1%82%D0%B0%D1%8E%D1%82%201973%20%D1%84%D0%B8%D0%BB%D1%8C%D0%BC","искать")</f>
        <v/>
      </c>
      <c r="N1727" s="3" t="n"/>
      <c r="O1727" s="2" t="n"/>
    </row>
    <row r="1728">
      <c r="A1728" s="2" t="n">
        <v>1727</v>
      </c>
      <c r="B1728" s="2" t="inlineStr">
        <is>
          <t>не сюжет</t>
        </is>
      </c>
      <c r="C1728" s="2" t="n">
        <v>7618</v>
      </c>
      <c r="D1728" s="3" t="inlineStr">
        <is>
          <t>Забытые вещи</t>
        </is>
      </c>
      <c r="E1728" s="2" t="n">
        <v>1982</v>
      </c>
      <c r="F1728" s="2" t="inlineStr">
        <is>
          <t>телефильм</t>
        </is>
      </c>
      <c r="G1728" s="2" t="n"/>
      <c r="H1728" s="2" t="n">
        <v>341</v>
      </c>
      <c r="I1728" s="2" t="inlineStr"/>
      <c r="J1728" s="2" t="inlineStr">
        <is>
          <t>да</t>
        </is>
      </c>
      <c r="K1728" s="3" t="inlineStr">
        <is>
          <t>Телефильм состоит из нескольких новелл, действие которых происходит в конторе "Забытые вещи". В водовороте событий большого города немудрено что-то потерять. Порой теряются мелочи, и тогда можно посмеяться над рассеянностью их хозяев. Но случается так, что забывают людей — стариков, давно ушедших на пенсию, ставших ненужными живущим рядом.</t>
        </is>
      </c>
      <c r="L1728" s="2" t="inlineStr">
        <is>
          <t>Кино_СССР сводный каталог.xlsx: список телефильмов</t>
        </is>
      </c>
      <c r="M1728" s="2">
        <f>HYPERLINK("https://ru.wikipedia.org/w/index.php?search=%D0%97%D0%B0%D0%B1%D1%8B%D1%82%D1%8B%D0%B5%20%D0%B2%D0%B5%D1%89%D0%B8%201982%20%D1%84%D0%B8%D0%BB%D1%8C%D0%BC","искать")</f>
        <v/>
      </c>
      <c r="N1728" s="3" t="n"/>
      <c r="O1728" s="2" t="n"/>
    </row>
    <row r="1729">
      <c r="A1729" s="2" t="n">
        <v>1728</v>
      </c>
      <c r="B1729" s="2" t="inlineStr">
        <is>
          <t>не сюжет</t>
        </is>
      </c>
      <c r="C1729" s="2" t="n">
        <v>8290</v>
      </c>
      <c r="D1729" s="3" t="inlineStr">
        <is>
          <t>Рядом с вами</t>
        </is>
      </c>
      <c r="E1729" s="2" t="n">
        <v>1967</v>
      </c>
      <c r="F1729" s="2" t="inlineStr">
        <is>
          <t>телефильм</t>
        </is>
      </c>
      <c r="G1729" s="2" t="inlineStr">
        <is>
          <t>Беларусьфильм</t>
        </is>
      </c>
      <c r="H1729" s="2" t="n">
        <v>344</v>
      </c>
      <c r="I1729" s="2" t="inlineStr"/>
      <c r="J1729" s="2" t="inlineStr">
        <is>
          <t>да</t>
        </is>
      </c>
      <c r="K1729" s="3" t="inlineStr">
        <is>
          <t>На одном из больших минских заводов в машбюро работают две сотрудницы, Катя - Екатерина Дмитриевна, постарше, и Нюся, помоложе. Они и живут вместе в Катиной комнате, в двухкомнатной квартире. Катя воевала, была замужем. Муж ее давно умер. Нюся живет воспоминаниями о Пете, с которым дружила, когда он проходил службу в армии в ее родном городе.</t>
        </is>
      </c>
      <c r="L1729" s="2" t="inlineStr">
        <is>
          <t>Кино_СССР сводный каталог.xlsx: список телефильмов</t>
        </is>
      </c>
      <c r="M1729" s="2">
        <f>HYPERLINK("https://ru.wikipedia.org/w/index.php?search=%D0%A0%D1%8F%D0%B4%D0%BE%D0%BC%20%D1%81%20%D0%B2%D0%B0%D0%BC%D0%B8%201967%20%D1%84%D0%B8%D0%BB%D1%8C%D0%BC","искать")</f>
        <v/>
      </c>
      <c r="N1729" s="3" t="n"/>
      <c r="O1729" s="2" t="n"/>
    </row>
    <row r="1730">
      <c r="A1730" s="2" t="n">
        <v>1729</v>
      </c>
      <c r="B1730" s="2" t="inlineStr">
        <is>
          <t>не сюжет</t>
        </is>
      </c>
      <c r="C1730" s="2" t="n">
        <v>8579</v>
      </c>
      <c r="D1730" s="3" t="inlineStr">
        <is>
          <t>Шестнадцатилетние</t>
        </is>
      </c>
      <c r="E1730" s="2" t="n">
        <v>1986</v>
      </c>
      <c r="F1730" s="2" t="inlineStr">
        <is>
          <t>телефильм</t>
        </is>
      </c>
      <c r="G1730" s="2" t="n"/>
      <c r="H1730" s="2" t="n">
        <v>345</v>
      </c>
      <c r="I1730" s="2" t="inlineStr"/>
      <c r="J1730" s="2" t="inlineStr">
        <is>
          <t>да</t>
        </is>
      </c>
      <c r="K1730" s="3" t="inlineStr">
        <is>
          <t>Телесериал. Социально-приключенческий фильм о поколении 1930-х годов, о тех мальчиках, которых война и послевоенная классовая борьба слишком рано лишили детства, заставив взять на свои плечи непосильную ношу проблем взрослого мира. Действие первой серии происходит в довоенном Каунасе. Десятилетние мальчишки живут заботами своего детского мира.</t>
        </is>
      </c>
      <c r="L1730" s="2" t="inlineStr">
        <is>
          <t>Кино_СССР сводный каталог.xlsx: список телефильмов</t>
        </is>
      </c>
      <c r="M1730" s="2">
        <f>HYPERLINK("https://ru.wikipedia.org/w/index.php?search=%D0%A8%D0%B5%D1%81%D1%82%D0%BD%D0%B0%D0%B4%D1%86%D0%B0%D1%82%D0%B8%D0%BB%D0%B5%D1%82%D0%BD%D0%B8%D0%B5%201986%20%D1%84%D0%B8%D0%BB%D1%8C%D0%BC","искать")</f>
        <v/>
      </c>
      <c r="N1730" s="3" t="n"/>
      <c r="O1730" s="2" t="n"/>
    </row>
    <row r="1731">
      <c r="A1731" s="2" t="n">
        <v>1730</v>
      </c>
      <c r="B1731" s="2" t="inlineStr">
        <is>
          <t>не сюжет</t>
        </is>
      </c>
      <c r="C1731" s="2" t="n">
        <v>9506</v>
      </c>
      <c r="D1731" s="3" t="inlineStr">
        <is>
          <t>Нечаянные радости</t>
        </is>
      </c>
      <c r="E1731" s="2" t="n">
        <v>1974</v>
      </c>
      <c r="F1731" s="2" t="inlineStr">
        <is>
          <t>кинофильм</t>
        </is>
      </c>
      <c r="G1731" s="2" t="n"/>
      <c r="H1731" s="2" t="n">
        <v>345</v>
      </c>
      <c r="I1731" s="2" t="inlineStr"/>
      <c r="J1731" s="2" t="inlineStr">
        <is>
          <t>да</t>
        </is>
      </c>
      <c r="K1731" s="3" t="inlineStr">
        <is>
          <t>Незавершенный фильм Рустама Хамдамова. Негатив был уничтожен по приказу руководства «Мосфильма» в 1974 году. Двенадцать лет спустя были обнаружены три с половиной коробки рабочего материала, сохраненные оператором Ильей Миньковецким. После досъемки и монтажа материал был включен в качестве одного из ключевых эпизодов в фильм «Анна Карамазофф».</t>
        </is>
      </c>
      <c r="L1731" s="2" t="inlineStr">
        <is>
          <t>Кино_СССР сводный каталог.xlsx: список фильмов (доп.)</t>
        </is>
      </c>
      <c r="M1731" s="2">
        <f>HYPERLINK("https://ru.wikipedia.org/w/index.php?search=%D0%9D%D0%B5%D1%87%D0%B0%D1%8F%D0%BD%D0%BD%D1%8B%D0%B5%20%D1%80%D0%B0%D0%B4%D0%BE%D1%81%D1%82%D0%B8%201974%20%D1%84%D0%B8%D0%BB%D1%8C%D0%BC","искать")</f>
        <v/>
      </c>
      <c r="N1731" s="3" t="n"/>
      <c r="O1731" s="2" t="n"/>
    </row>
    <row r="1732">
      <c r="A1732" s="2" t="n">
        <v>1731</v>
      </c>
      <c r="B1732" s="2" t="inlineStr">
        <is>
          <t>не сюжет</t>
        </is>
      </c>
      <c r="C1732" s="2" t="n">
        <v>8721</v>
      </c>
      <c r="D1732" s="3" t="inlineStr">
        <is>
          <t>Женщина: вариант судьбы</t>
        </is>
      </c>
      <c r="E1732" s="2" t="n">
        <v>1991</v>
      </c>
      <c r="F1732" s="2" t="inlineStr">
        <is>
          <t>кинофильм</t>
        </is>
      </c>
      <c r="G1732" s="2" t="n"/>
      <c r="H1732" s="2" t="n">
        <v>346</v>
      </c>
      <c r="I1732" s="2" t="inlineStr"/>
      <c r="J1732" s="2" t="inlineStr">
        <is>
          <t>да</t>
        </is>
      </c>
      <c r="K1732" s="3" t="inlineStr">
        <is>
          <t>О съемках художественного фильма «Женщина: вариант судьбы», задуманного режиссером А. Трофимовым, который представляет наших современниц: Ирину Андрееву, народного депутата СССР, главного искусствоведа Общесоюзного дома моделей одежды, Эвелину Шац, президента компании «Чеккофильм», поэта, Ксению Муратову, профессора искусствоведения в Сорбонне.</t>
        </is>
      </c>
      <c r="L1732" s="2" t="inlineStr">
        <is>
          <t>Кино_СССР сводный каталог.xlsx: список фильмов (доп.)</t>
        </is>
      </c>
      <c r="M1732" s="2">
        <f>HYPERLINK("https://ru.wikipedia.org/w/index.php?search=%D0%96%D0%B5%D0%BD%D1%89%D0%B8%D0%BD%D0%B0%3A%20%D0%B2%D0%B0%D1%80%D0%B8%D0%B0%D0%BD%D1%82%20%D1%81%D1%83%D0%B4%D1%8C%D0%B1%D1%8B%201991%20%D1%84%D0%B8%D0%BB%D1%8C%D0%BC","искать")</f>
        <v/>
      </c>
      <c r="N1732" s="3" t="n"/>
      <c r="O1732" s="2" t="n"/>
    </row>
    <row r="1733">
      <c r="A1733" s="2" t="n">
        <v>1732</v>
      </c>
      <c r="B1733" s="2" t="inlineStr">
        <is>
          <t>не сюжет</t>
        </is>
      </c>
      <c r="C1733" s="2" t="n">
        <v>9452</v>
      </c>
      <c r="D1733" s="3" t="inlineStr">
        <is>
          <t>Лес</t>
        </is>
      </c>
      <c r="E1733" s="2" t="n">
        <v>1932</v>
      </c>
      <c r="F1733" s="2" t="inlineStr">
        <is>
          <t>кинофильм</t>
        </is>
      </c>
      <c r="G1733" s="2" t="n"/>
      <c r="H1733" s="2" t="n">
        <v>346</v>
      </c>
      <c r="I1733" s="2" t="inlineStr"/>
      <c r="J1733" s="2" t="inlineStr">
        <is>
          <t>да</t>
        </is>
      </c>
      <c r="K1733" s="3" t="inlineStr">
        <is>
          <t>Картина затрагивала сложные вопросы политико-воспитательной работы в крестьянской среде, показывала, в каких трудных условиях на лесоразработках происходила перековка сознания людей, оторванных от большого коллектива. По воспоминаниям С. А. Герасимова, картина возникла из его алтайских впечатлений во время работы над фильмом «Одна» в 1931 году.</t>
        </is>
      </c>
      <c r="L1733" s="2" t="inlineStr">
        <is>
          <t>Кино_СССР сводный каталог.xlsx: список фильмов (доп.)</t>
        </is>
      </c>
      <c r="M1733" s="2">
        <f>HYPERLINK("https://ru.wikipedia.org/w/index.php?search=%D0%9B%D0%B5%D1%81%201932%20%D1%84%D0%B8%D0%BB%D1%8C%D0%BC","искать")</f>
        <v/>
      </c>
      <c r="N1733" s="3" t="n"/>
      <c r="O1733" s="2" t="n"/>
    </row>
    <row r="1734">
      <c r="A1734" s="2" t="n">
        <v>1733</v>
      </c>
      <c r="B1734" s="2" t="inlineStr">
        <is>
          <t>не сюжет</t>
        </is>
      </c>
      <c r="C1734" s="2" t="n">
        <v>8327</v>
      </c>
      <c r="D1734" s="3" t="inlineStr">
        <is>
          <t>Семнадцать мгновений весны</t>
        </is>
      </c>
      <c r="E1734" s="2" t="n">
        <v>1973</v>
      </c>
      <c r="F1734" s="2" t="inlineStr">
        <is>
          <t>телефильм</t>
        </is>
      </c>
      <c r="G1734" s="2" t="n"/>
      <c r="H1734" s="2" t="n">
        <v>351</v>
      </c>
      <c r="I1734" s="2" t="inlineStr"/>
      <c r="J1734" s="2" t="inlineStr">
        <is>
          <t>да</t>
        </is>
      </c>
      <c r="K1734" s="3" t="inlineStr">
        <is>
          <t>Телесериал - экранизация одноименного романа Юлиана Семёнова. События в фильме происходят с 12 февраля по 24 марта 1945 года. Этот нестареющий фильм стал сенсацией. Он вошел в анналы советского кино, в анекдоты - и в жизнь нескольких поколений. Советская разведка обрела свое воплощение - Максима Максимовича фон Штирлица, а немцы - человеческое лицо.</t>
        </is>
      </c>
      <c r="L1734" s="2" t="inlineStr">
        <is>
          <t>Кино_СССР сводный каталог.xlsx: список телефильмов</t>
        </is>
      </c>
      <c r="M1734" s="2">
        <f>HYPERLINK("https://ru.wikipedia.org/w/index.php?search=%D0%A1%D0%B5%D0%BC%D0%BD%D0%B0%D0%B4%D1%86%D0%B0%D1%82%D1%8C%20%D0%BC%D0%B3%D0%BD%D0%BE%D0%B2%D0%B5%D0%BD%D0%B8%D0%B9%20%D0%B2%D0%B5%D1%81%D0%BD%D1%8B%201973%20%D1%84%D0%B8%D0%BB%D1%8C%D0%BC","искать")</f>
        <v/>
      </c>
      <c r="N1734" s="3" t="n"/>
      <c r="O1734" s="2" t="n"/>
    </row>
    <row r="1735">
      <c r="A1735" s="2" t="n">
        <v>1734</v>
      </c>
      <c r="B1735" s="2" t="inlineStr">
        <is>
          <t>не сюжет</t>
        </is>
      </c>
      <c r="C1735" s="2" t="n">
        <v>10211</v>
      </c>
      <c r="D1735" s="3" t="inlineStr">
        <is>
          <t>Ноев Ковчег</t>
        </is>
      </c>
      <c r="E1735" s="2" t="n">
        <v>1967</v>
      </c>
      <c r="F1735" s="2" t="inlineStr">
        <is>
          <t>фильм-спектакль</t>
        </is>
      </c>
      <c r="G1735" s="2" t="inlineStr">
        <is>
          <t>Ленинградское телевидение</t>
        </is>
      </c>
      <c r="H1735" s="2" t="n">
        <v>351</v>
      </c>
      <c r="I1735" s="2" t="inlineStr"/>
      <c r="J1735" s="2" t="inlineStr">
        <is>
          <t>да</t>
        </is>
      </c>
      <c r="K1735" s="3" t="inlineStr">
        <is>
          <t>По одноименной пьесе Исидора Штока.
Автор назвал это произведение доисторической документальной драмой, а зритель - признал это комедией. Исидор Шток написал "Ноев ковчег", как продолжение своей "Божественной комедии". В этом спектакле сохранена добродушная интонация. Временами она переходит в сатиру, за счет большого ряда аналогий с современностью.</t>
        </is>
      </c>
      <c r="L1735" s="2" t="inlineStr">
        <is>
          <t>https://www.kino-teatr.ru/teatr/movie/119518/annot/</t>
        </is>
      </c>
      <c r="M1735" s="2">
        <f>HYPERLINK("https://ru.wikipedia.org/w/index.php?search=%D0%9D%D0%BE%D0%B5%D0%B2%20%D0%9A%D0%BE%D0%B2%D1%87%D0%B5%D0%B3%201967%20%D1%84%D0%B8%D0%BB%D1%8C%D0%BC","искать")</f>
        <v/>
      </c>
      <c r="N1735" s="3" t="n"/>
      <c r="O1735" s="2" t="n"/>
    </row>
    <row r="1736">
      <c r="A1736" s="2" t="n">
        <v>1735</v>
      </c>
      <c r="B1736" s="2" t="inlineStr">
        <is>
          <t>не сюжет</t>
        </is>
      </c>
      <c r="C1736" s="2" t="n">
        <v>10410</v>
      </c>
      <c r="D1736" s="3" t="inlineStr">
        <is>
          <t>Ограбление в полночь</t>
        </is>
      </c>
      <c r="E1736" s="2" t="n">
        <v>1971</v>
      </c>
      <c r="F1736" s="2" t="inlineStr">
        <is>
          <t>фильм-спектакль</t>
        </is>
      </c>
      <c r="G1736" s="2" t="inlineStr">
        <is>
          <t>Ленинградское ТВ</t>
        </is>
      </c>
      <c r="H1736" s="2" t="n">
        <v>351</v>
      </c>
      <c r="I1736" s="2" t="inlineStr"/>
      <c r="J1736" s="2" t="inlineStr">
        <is>
          <t>да</t>
        </is>
      </c>
      <c r="K1736" s="3" t="inlineStr">
        <is>
          <t>Телеспектакль по водевилю югославского драматурга Мирослава Мировича
"Вор в положении, или ограбление в полночь".
Через семь лет после выхода телеспектакля режиссер Александр Белинский ещё раз осуществит постановку водевиля, но уже в виде художественного фильма. Роль, исполненную в телеспектакле Людмилой Сенчиной, в фильме сыграет Ирина Понаровская.</t>
        </is>
      </c>
      <c r="L1736" s="2" t="inlineStr">
        <is>
          <t>https://www.kino-teatr.ru/teatr/movie/37715/annot/</t>
        </is>
      </c>
      <c r="M1736" s="2">
        <f>HYPERLINK("https://ru.wikipedia.org/w/index.php?search=%D0%9E%D0%B3%D1%80%D0%B0%D0%B1%D0%BB%D0%B5%D0%BD%D0%B8%D0%B5%20%D0%B2%20%D0%BF%D0%BE%D0%BB%D0%BD%D0%BE%D1%87%D1%8C%201971%20%D1%84%D0%B8%D0%BB%D1%8C%D0%BC","искать")</f>
        <v/>
      </c>
      <c r="N1736" s="3" t="n"/>
      <c r="O1736" s="2" t="n"/>
    </row>
    <row r="1737">
      <c r="A1737" s="2" t="n">
        <v>1736</v>
      </c>
      <c r="B1737" s="2" t="inlineStr">
        <is>
          <t>не сюжет</t>
        </is>
      </c>
      <c r="C1737" s="2" t="n">
        <v>7509</v>
      </c>
      <c r="D1737" s="3" t="inlineStr">
        <is>
          <t>Дети солнца</t>
        </is>
      </c>
      <c r="E1737" s="2" t="n">
        <v>1985</v>
      </c>
      <c r="F1737" s="2" t="inlineStr">
        <is>
          <t>телефильм</t>
        </is>
      </c>
      <c r="G1737" s="2" t="n"/>
      <c r="H1737" s="2" t="n">
        <v>353</v>
      </c>
      <c r="I1737" s="2" t="inlineStr"/>
      <c r="J1737" s="2" t="inlineStr">
        <is>
          <t>да</t>
        </is>
      </c>
      <c r="K1737" s="3" t="inlineStr">
        <is>
          <t>Телевизионная драма по одноименной пьесе М. Горького. В эпоху перемен так трудно поймать мимолетное счастье... Начало XX века - это период расцвета науки и искусства и вместе с тем предвестие великой катастрофы. В своей пьесе "Дети солнца" Максим Горький поднимает вечные темы любви, одиночества, отчуждения и надежды на фоне того удивительного времени.</t>
        </is>
      </c>
      <c r="L1737" s="2" t="inlineStr">
        <is>
          <t>Кино_СССР сводный каталог.xlsx: список телефильмов</t>
        </is>
      </c>
      <c r="M1737" s="2">
        <f>HYPERLINK("https://ru.wikipedia.org/w/index.php?search=%D0%94%D0%B5%D1%82%D0%B8%20%D1%81%D0%BE%D0%BB%D0%BD%D1%86%D0%B0%201985%20%D1%84%D0%B8%D0%BB%D1%8C%D0%BC","искать")</f>
        <v/>
      </c>
      <c r="N1737" s="3" t="n"/>
      <c r="O1737" s="2" t="n"/>
    </row>
    <row r="1738">
      <c r="A1738" s="2" t="n">
        <v>1737</v>
      </c>
      <c r="B1738" s="2" t="inlineStr">
        <is>
          <t>не сюжет</t>
        </is>
      </c>
      <c r="C1738" s="2" t="n">
        <v>9241</v>
      </c>
      <c r="D1738" s="3" t="inlineStr">
        <is>
          <t>Биндюжник и король</t>
        </is>
      </c>
      <c r="E1738" s="2" t="n">
        <v>1989</v>
      </c>
      <c r="F1738" s="2" t="inlineStr">
        <is>
          <t>кинофильм</t>
        </is>
      </c>
      <c r="G1738" s="2" t="n"/>
      <c r="H1738" s="2" t="n">
        <v>353</v>
      </c>
      <c r="I1738" s="2" t="inlineStr"/>
      <c r="J1738" s="2" t="inlineStr">
        <is>
          <t>да</t>
        </is>
      </c>
      <c r="K1738" s="3" t="inlineStr">
        <is>
          <t>Детский поэт и профессиональный переводчик Асар Эппель вместе с драматургом Владимиром Алениковым свели воедино два противоположных образа Бени Крика и, таким образом, перевели язык раннего романтика и позднего реалиста Бабеля на драматургическую основу. Если в 'Одесских рассказах' Беня - романтический разбойник, то уже в 'Закате' он - просто негодяй.</t>
        </is>
      </c>
      <c r="L1738" s="2" t="inlineStr">
        <is>
          <t>Кино_СССР сводный каталог.xlsx: список фильмов (доп.)</t>
        </is>
      </c>
      <c r="M1738" s="2">
        <f>HYPERLINK("https://ru.wikipedia.org/w/index.php?search=%D0%91%D0%B8%D0%BD%D0%B4%D1%8E%D0%B6%D0%BD%D0%B8%D0%BA%20%D0%B8%20%D0%BA%D0%BE%D1%80%D0%BE%D0%BB%D1%8C%201989%20%D1%84%D0%B8%D0%BB%D1%8C%D0%BC","искать")</f>
        <v/>
      </c>
      <c r="N1738" s="3" t="n"/>
      <c r="O1738" s="2" t="n"/>
    </row>
    <row r="1739">
      <c r="A1739" s="2" t="n">
        <v>1738</v>
      </c>
      <c r="B1739" s="2" t="inlineStr">
        <is>
          <t>не сюжет</t>
        </is>
      </c>
      <c r="C1739" s="2" t="n">
        <v>9259</v>
      </c>
      <c r="D1739" s="3" t="inlineStr">
        <is>
          <t>В горах говорят</t>
        </is>
      </c>
      <c r="E1739" s="2" t="n">
        <v>1930</v>
      </c>
      <c r="F1739" s="2" t="inlineStr">
        <is>
          <t>кинофильм</t>
        </is>
      </c>
      <c r="G1739" s="2" t="n"/>
      <c r="H1739" s="2" t="n">
        <v>353</v>
      </c>
      <c r="I1739" s="2" t="inlineStr"/>
      <c r="J1739" s="2" t="inlineStr">
        <is>
          <t>да</t>
        </is>
      </c>
      <c r="K1739" s="3" t="inlineStr">
        <is>
          <t>В режиссерской заявке на фильм его тема обозначена как «преодоление элементов недоверия горцев к русским через могущественное влияние красной казармы и влияние Красной Армии в оздоровлении аула». В «Киногазете» от 25.05.30 содержится утверждение, что фильм «как произведение клеветнически извращающее советскую действительность не был выпущен на экран».</t>
        </is>
      </c>
      <c r="L1739" s="2" t="inlineStr">
        <is>
          <t>Кино_СССР сводный каталог.xlsx: список фильмов (доп.)</t>
        </is>
      </c>
      <c r="M1739" s="2">
        <f>HYPERLINK("https://ru.wikipedia.org/w/index.php?search=%D0%92%20%D0%B3%D0%BE%D1%80%D0%B0%D1%85%20%D0%B3%D0%BE%D0%B2%D0%BE%D1%80%D1%8F%D1%82%201930%20%D1%84%D0%B8%D0%BB%D1%8C%D0%BC","искать")</f>
        <v/>
      </c>
      <c r="N1739" s="3" t="n"/>
      <c r="O1739" s="2" t="n"/>
    </row>
    <row r="1740">
      <c r="A1740" s="2" t="n">
        <v>1739</v>
      </c>
      <c r="B1740" s="2" t="inlineStr">
        <is>
          <t>не сюжет</t>
        </is>
      </c>
      <c r="C1740" s="2" t="n">
        <v>9798</v>
      </c>
      <c r="D1740" s="3" t="inlineStr">
        <is>
          <t>Баллада о песне</t>
        </is>
      </c>
      <c r="E1740" s="2" t="n">
        <v>1981</v>
      </c>
      <c r="F1740" s="2" t="inlineStr">
        <is>
          <t>телефильм</t>
        </is>
      </c>
      <c r="G1740" s="2" t="inlineStr">
        <is>
          <t>Экран</t>
        </is>
      </c>
      <c r="H1740" s="2" t="n">
        <v>353</v>
      </c>
      <c r="I1740" s="2" t="inlineStr"/>
      <c r="J1740" s="2" t="inlineStr">
        <is>
          <t>да</t>
        </is>
      </c>
      <c r="K1740" s="3" t="inlineStr">
        <is>
          <t>Литературно-музыкальное представление воплощает идею Театра песни.
Музыкально-публицистический рассказ о 1920-х, 40-х, 80-х годах.
Звучат песни на стихи Роберта Рождественского.
В фильме принимал участие московский ансамбль "Пластики и движения", ансамбль "Мелодия" под управлением Георгия Гараняна, ансамбль скрипачей под управлением Павла Овсянникова,</t>
        </is>
      </c>
      <c r="L1740" s="2" t="inlineStr">
        <is>
          <t>https://www.kino-teatr.ru/kino/movie/sov/112939/annot/</t>
        </is>
      </c>
      <c r="M1740" s="2">
        <f>HYPERLINK("https://ru.wikipedia.org/w/index.php?search=%D0%91%D0%B0%D0%BB%D0%BB%D0%B0%D0%B4%D0%B0%20%D0%BE%20%D0%BF%D0%B5%D1%81%D0%BD%D0%B5%201981%20%D1%84%D0%B8%D0%BB%D1%8C%D0%BC","искать")</f>
        <v/>
      </c>
      <c r="N1740" s="3" t="n"/>
      <c r="O1740" s="2" t="n"/>
    </row>
    <row r="1741">
      <c r="A1741" s="2" t="n">
        <v>1740</v>
      </c>
      <c r="B1741" s="2" t="inlineStr">
        <is>
          <t>не сюжет</t>
        </is>
      </c>
      <c r="C1741" s="2" t="n">
        <v>7654</v>
      </c>
      <c r="D1741" s="3" t="inlineStr">
        <is>
          <t>Золотое сердце</t>
        </is>
      </c>
      <c r="E1741" s="2" t="n">
        <v>1989</v>
      </c>
      <c r="F1741" s="2" t="inlineStr">
        <is>
          <t>телефильм</t>
        </is>
      </c>
      <c r="G1741" s="2" t="n"/>
      <c r="H1741" s="2" t="n">
        <v>354</v>
      </c>
      <c r="I1741" s="2" t="inlineStr"/>
      <c r="J1741" s="2" t="inlineStr">
        <is>
          <t>да</t>
        </is>
      </c>
      <c r="K1741" s="3" t="inlineStr">
        <is>
          <t>Фильм снят в театрализованной инсценировке и частично на стадионах во время концертов. София Ротару, играя автобиографическую роль певицы, продолжает использование новых музыкальных направлений, освоенных уже в фильме Монолог о любви и идёт дальше исполняя песни в откровенном жанре хард-рока. Фолк-поп проявляется в этом фильме только в песне "Ворожба".</t>
        </is>
      </c>
      <c r="L1741" s="2" t="inlineStr">
        <is>
          <t>Кино_СССР сводный каталог.xlsx: список телефильмов</t>
        </is>
      </c>
      <c r="M1741" s="2">
        <f>HYPERLINK("https://ru.wikipedia.org/w/index.php?search=%D0%97%D0%BE%D0%BB%D0%BE%D1%82%D0%BE%D0%B5%20%D1%81%D0%B5%D1%80%D0%B4%D1%86%D0%B5%201989%20%D1%84%D0%B8%D0%BB%D1%8C%D0%BC","искать")</f>
        <v/>
      </c>
      <c r="N1741" s="3" t="n"/>
      <c r="O1741" s="2" t="n"/>
    </row>
    <row r="1742">
      <c r="A1742" s="2" t="n">
        <v>1741</v>
      </c>
      <c r="B1742" s="2" t="inlineStr">
        <is>
          <t>не сюжет</t>
        </is>
      </c>
      <c r="C1742" s="2" t="n">
        <v>10499</v>
      </c>
      <c r="D1742" s="3" t="inlineStr">
        <is>
          <t>Записки охотника</t>
        </is>
      </c>
      <c r="E1742" s="2" t="n">
        <v>1973</v>
      </c>
      <c r="F1742" s="2" t="inlineStr">
        <is>
          <t>фильм-спектакль</t>
        </is>
      </c>
      <c r="G1742" s="2" t="inlineStr">
        <is>
          <t>Центральное телевидение</t>
        </is>
      </c>
      <c r="H1742" s="2" t="n">
        <v>354</v>
      </c>
      <c r="I1742" s="2" t="inlineStr"/>
      <c r="J1742" s="2" t="inlineStr">
        <is>
          <t>да</t>
        </is>
      </c>
      <c r="K1742" s="3" t="inlineStr">
        <is>
          <t>Этот цикл рассказов Ивана Тургенева считается образцом русской классической прозы.
Ведь в каждом произведении - потрясающие истории, рассказанные автору знакомыми помещиками, где раскрываются величественная красота и обаяние русской души.
Телеспектакль создан по трём рассказам Тургенева: "Свидание", "Петр Петрович Каратаев", "Гамлет Щигровского уезда".</t>
        </is>
      </c>
      <c r="L1742" s="2" t="inlineStr">
        <is>
          <t>https://www.kino-teatr.ru/teatr/movie/135124/annot/</t>
        </is>
      </c>
      <c r="M1742" s="2">
        <f>HYPERLINK("https://ru.wikipedia.org/w/index.php?search=%D0%97%D0%B0%D0%BF%D0%B8%D1%81%D0%BA%D0%B8%20%D0%BE%D1%85%D0%BE%D1%82%D0%BD%D0%B8%D0%BA%D0%B0%201973%20%D1%84%D0%B8%D0%BB%D1%8C%D0%BC","искать")</f>
        <v/>
      </c>
      <c r="N1742" s="3" t="n"/>
      <c r="O1742" s="2" t="n"/>
    </row>
    <row r="1743">
      <c r="A1743" s="2" t="n">
        <v>1742</v>
      </c>
      <c r="B1743" s="2" t="inlineStr">
        <is>
          <t>не сюжет</t>
        </is>
      </c>
      <c r="C1743" s="2" t="n">
        <v>7517</v>
      </c>
      <c r="D1743" s="3" t="inlineStr">
        <is>
          <t>Дневной поезд</t>
        </is>
      </c>
      <c r="E1743" s="2" t="n">
        <v>1976</v>
      </c>
      <c r="F1743" s="2" t="inlineStr">
        <is>
          <t>телефильм</t>
        </is>
      </c>
      <c r="G1743" s="2" t="n"/>
      <c r="H1743" s="2" t="n">
        <v>356</v>
      </c>
      <c r="I1743" s="2" t="inlineStr"/>
      <c r="J1743" s="2" t="inlineStr">
        <is>
          <t>да</t>
        </is>
      </c>
      <c r="K1743" s="3" t="inlineStr">
        <is>
          <t>В Москве и Ленинграде живут старые подруги и мечтают о том, чтобы их дети поженились. Но детям уже за сорок, их трудности очевидны и вполне понятны. Прекрасные работы Маргариты Тереховой и Валентина Гафта остаются в памяти зрителей уже больше двадцати лет. Несмотря на то, что с момента выхода фильма прошло так много лет, не устарели ни диалоги, ни сюжет.</t>
        </is>
      </c>
      <c r="L1743" s="2" t="inlineStr">
        <is>
          <t>Кино_СССР сводный каталог.xlsx: список телефильмов</t>
        </is>
      </c>
      <c r="M1743" s="2">
        <f>HYPERLINK("https://ru.wikipedia.org/w/index.php?search=%D0%94%D0%BD%D0%B5%D0%B2%D0%BD%D0%BE%D0%B9%20%D0%BF%D0%BE%D0%B5%D0%B7%D0%B4%201976%20%D1%84%D0%B8%D0%BB%D1%8C%D0%BC","искать")</f>
        <v/>
      </c>
      <c r="N1743" s="3" t="n"/>
      <c r="O1743" s="2" t="n"/>
    </row>
    <row r="1744">
      <c r="A1744" s="2" t="n">
        <v>1743</v>
      </c>
      <c r="B1744" s="2" t="inlineStr">
        <is>
          <t>не сюжет</t>
        </is>
      </c>
      <c r="C1744" s="2" t="n">
        <v>8811</v>
      </c>
      <c r="D1744" s="3" t="inlineStr">
        <is>
          <t>Мадо, до востребования</t>
        </is>
      </c>
      <c r="E1744" s="2" t="n">
        <v>1989</v>
      </c>
      <c r="F1744" s="2" t="inlineStr">
        <is>
          <t>кинофильм</t>
        </is>
      </c>
      <c r="G1744" s="2" t="n"/>
      <c r="H1744" s="2" t="n">
        <v>356</v>
      </c>
      <c r="I1744" s="2" t="inlineStr"/>
      <c r="J1744" s="2" t="inlineStr">
        <is>
          <t>да</t>
        </is>
      </c>
      <c r="K1744" s="3" t="inlineStr">
        <is>
          <t>По роману Симоны Арес "Мадо". В небольшой французской деревушке живет юная добродушная толстушка Мадо. Выросшая без родителей в монастыре, она работает на почте, учит ребятишек читать и писать и мечтает о прекрасном принце, который когда-нибудь появится в ее жизни. А пока Мадо некогда скучать: вокруг столько людей и каждому она, хоть чем-то может помочь.</t>
        </is>
      </c>
      <c r="L1744" s="2" t="inlineStr">
        <is>
          <t>Кино_СССР сводный каталог.xlsx: список фильмов (доп.)</t>
        </is>
      </c>
      <c r="M1744" s="2">
        <f>HYPERLINK("https://ru.wikipedia.org/w/index.php?search=%D0%9C%D0%B0%D0%B4%D0%BE%2C%20%D0%B4%D0%BE%20%D0%B2%D0%BE%D1%81%D1%82%D1%80%D0%B5%D0%B1%D0%BE%D0%B2%D0%B0%D0%BD%D0%B8%D1%8F%201989%20%D1%84%D0%B8%D0%BB%D1%8C%D0%BC","искать")</f>
        <v/>
      </c>
      <c r="N1744" s="3" t="n"/>
      <c r="O1744" s="2" t="n"/>
    </row>
    <row r="1745">
      <c r="A1745" s="2" t="n">
        <v>1744</v>
      </c>
      <c r="B1745" s="2" t="inlineStr">
        <is>
          <t>не сюжет</t>
        </is>
      </c>
      <c r="C1745" s="2" t="n">
        <v>9654</v>
      </c>
      <c r="D1745" s="3" t="inlineStr">
        <is>
          <t>Смерч</t>
        </is>
      </c>
      <c r="E1745" s="2" t="n">
        <v>1988</v>
      </c>
      <c r="F1745" s="2" t="inlineStr">
        <is>
          <t>кинофильм</t>
        </is>
      </c>
      <c r="G1745" s="2" t="n"/>
      <c r="H1745" s="2" t="n">
        <v>357</v>
      </c>
      <c r="I1745" s="2" t="inlineStr"/>
      <c r="J1745" s="2" t="inlineStr">
        <is>
          <t>да</t>
        </is>
      </c>
      <c r="K1745" s="3" t="inlineStr">
        <is>
          <t>Этот фильм в свое время попал в одну из параллельных программ Каннского кинофестиваля. В создании сценария принял участие Чингиз Айтматов, сочетающий в своих произведениях реалии Востока и философию христианской цивилизации. Слоняющееся по пустыне непонятное племя людей, называющих себя Смерчем нуждается не в еде, одежде и крове, а в смысле существования.</t>
        </is>
      </c>
      <c r="L1745" s="2" t="inlineStr">
        <is>
          <t>Кино_СССР сводный каталог.xlsx: список фильмов (доп.)</t>
        </is>
      </c>
      <c r="M1745" s="2">
        <f>HYPERLINK("https://ru.wikipedia.org/w/index.php?search=%D0%A1%D0%BC%D0%B5%D1%80%D1%87%201988%20%D1%84%D0%B8%D0%BB%D1%8C%D0%BC","искать")</f>
        <v/>
      </c>
      <c r="N1745" s="3" t="n"/>
      <c r="O1745" s="2" t="n"/>
    </row>
    <row r="1746">
      <c r="A1746" s="2" t="n">
        <v>1745</v>
      </c>
      <c r="B1746" s="2" t="inlineStr">
        <is>
          <t>не сюжет</t>
        </is>
      </c>
      <c r="C1746" s="2" t="n">
        <v>7362</v>
      </c>
      <c r="D1746" s="3" t="inlineStr">
        <is>
          <t>Волны Чёрного моря</t>
        </is>
      </c>
      <c r="E1746" s="2" t="n">
        <v>1975</v>
      </c>
      <c r="F1746" s="2" t="inlineStr">
        <is>
          <t>телефильм</t>
        </is>
      </c>
      <c r="G1746" s="2" t="n"/>
      <c r="H1746" s="2" t="n">
        <v>358</v>
      </c>
      <c r="I1746" s="2" t="inlineStr"/>
      <c r="J1746" s="2" t="inlineStr">
        <is>
          <t>да</t>
        </is>
      </c>
      <c r="K1746" s="3" t="inlineStr">
        <is>
          <t>Многосерийный телевизионный фильм по мотивам трех романов тетралогии "Волны Черного моря" Валентина Катаева: "Белеет парус одинокий", "Зимний ветер", "За власть Советов" ("Катакомбы"). Главными героями фильма стали одесские мальчишки - гимназист Петя Бачей и маленький сын рыбака Гаврик Черноиваненко, отчаянно смелый, энергичный, предприимчивый, находчивый.</t>
        </is>
      </c>
      <c r="L1746" s="2" t="inlineStr">
        <is>
          <t>Кино_СССР сводный каталог.xlsx: список телефильмов</t>
        </is>
      </c>
      <c r="M1746" s="2">
        <f>HYPERLINK("https://ru.wikipedia.org/w/index.php?search=%D0%92%D0%BE%D0%BB%D0%BD%D1%8B%20%D0%A7%D1%91%D1%80%D0%BD%D0%BE%D0%B3%D0%BE%20%D0%BC%D0%BE%D1%80%D1%8F%201975%20%D1%84%D0%B8%D0%BB%D1%8C%D0%BC","искать")</f>
        <v/>
      </c>
      <c r="N1746" s="3" t="n"/>
      <c r="O1746" s="2" t="n"/>
    </row>
    <row r="1747">
      <c r="A1747" s="2" t="n">
        <v>1746</v>
      </c>
      <c r="B1747" s="2" t="inlineStr">
        <is>
          <t>не сюжет</t>
        </is>
      </c>
      <c r="C1747" s="2" t="n">
        <v>9220</v>
      </c>
      <c r="D1747" s="3" t="inlineStr">
        <is>
          <t>Барышня и хулиган</t>
        </is>
      </c>
      <c r="E1747" s="2" t="n">
        <v>1918</v>
      </c>
      <c r="F1747" s="2" t="inlineStr">
        <is>
          <t>кинофильм</t>
        </is>
      </c>
      <c r="G1747" s="2" t="n"/>
      <c r="H1747" s="2" t="n">
        <v>360</v>
      </c>
      <c r="I1747" s="2" t="inlineStr"/>
      <c r="J1747" s="2" t="inlineStr">
        <is>
          <t>да</t>
        </is>
      </c>
      <c r="K1747" s="3" t="inlineStr">
        <is>
          <t>Фильм снимался без сценария, по повести Э. де Амичиса "Учительница рабочих", которую прямо на ходу приспосабливали к реалиям России. Этот фильм дошел до наших дней (правда, не сохранились титры). Маяковский сделал акцент на противоречиях в характере героя: сочетании анархо-индивидуалистического бунтарства с трогательной самоотверженной любовью к учительнице.</t>
        </is>
      </c>
      <c r="L1747" s="2" t="inlineStr">
        <is>
          <t>Кино_СССР сводный каталог.xlsx: список фильмов (доп.)</t>
        </is>
      </c>
      <c r="M1747" s="2">
        <f>HYPERLINK("https://ru.wikipedia.org/w/index.php?search=%D0%91%D0%B0%D1%80%D1%8B%D1%88%D0%BD%D1%8F%20%D0%B8%20%D1%85%D1%83%D0%BB%D0%B8%D0%B3%D0%B0%D0%BD%201918%20%D1%84%D0%B8%D0%BB%D1%8C%D0%BC","искать")</f>
        <v/>
      </c>
      <c r="N1747" s="3" t="n"/>
      <c r="O1747" s="2" t="n"/>
    </row>
    <row r="1748">
      <c r="A1748" s="2" t="n">
        <v>1747</v>
      </c>
      <c r="B1748" s="2" t="inlineStr">
        <is>
          <t>не сюжет</t>
        </is>
      </c>
      <c r="C1748" s="2" t="n">
        <v>7997</v>
      </c>
      <c r="D1748" s="3" t="inlineStr">
        <is>
          <t>Никколо Паганини</t>
        </is>
      </c>
      <c r="E1748" s="2" t="n">
        <v>1982</v>
      </c>
      <c r="F1748" s="2" t="inlineStr">
        <is>
          <t>телефильм</t>
        </is>
      </c>
      <c r="G1748" s="2" t="n"/>
      <c r="H1748" s="2" t="n">
        <v>361</v>
      </c>
      <c r="I1748" s="2" t="inlineStr"/>
      <c r="J1748" s="2" t="inlineStr">
        <is>
          <t>да</t>
        </is>
      </c>
      <c r="K1748" s="3" t="inlineStr">
        <is>
          <t>Биографический фильм о великом итальянском скрипаче и композиторе Никколо Паганини (1782-1840). Партию скрипки исполняет Леонид Коган. Картина «Никколо Паганини» стала одной из самых приметных премьер своего времени. И причин тому немало. Главная, пожалуй, в том, что лента, приуроченная к 200-летию знаменитого скрипача, начисто лишена холодной мемориальности.</t>
        </is>
      </c>
      <c r="L1748" s="2" t="inlineStr">
        <is>
          <t>Кино_СССР сводный каталог.xlsx: список телефильмов</t>
        </is>
      </c>
      <c r="M1748" s="2">
        <f>HYPERLINK("https://ru.wikipedia.org/w/index.php?search=%D0%9D%D0%B8%D0%BA%D0%BA%D0%BE%D0%BB%D0%BE%20%D0%9F%D0%B0%D0%B3%D0%B0%D0%BD%D0%B8%D0%BD%D0%B8%201982%20%D1%84%D0%B8%D0%BB%D1%8C%D0%BC","искать")</f>
        <v/>
      </c>
      <c r="N1748" s="3" t="n"/>
      <c r="O1748" s="2" t="n"/>
    </row>
    <row r="1749">
      <c r="A1749" s="2" t="n">
        <v>1748</v>
      </c>
      <c r="B1749" s="2" t="inlineStr">
        <is>
          <t>не сюжет</t>
        </is>
      </c>
      <c r="C1749" s="2" t="n">
        <v>7460</v>
      </c>
      <c r="D1749" s="3" t="inlineStr">
        <is>
          <t>Государственная граница</t>
        </is>
      </c>
      <c r="E1749" s="2" t="n">
        <v>1980</v>
      </c>
      <c r="F1749" s="2" t="inlineStr">
        <is>
          <t>телефильм</t>
        </is>
      </c>
      <c r="G1749" s="2" t="n"/>
      <c r="H1749" s="2" t="n">
        <v>363</v>
      </c>
      <c r="I1749" s="2" t="inlineStr"/>
      <c r="J1749" s="2" t="inlineStr">
        <is>
          <t>да</t>
        </is>
      </c>
      <c r="K1749" s="3" t="inlineStr">
        <is>
          <t>Историко-приключенческий телевизионный сериал, снятый на киностудии «Беларусьфильм» в 1980—1988 годах и рассказывающий о службе советских пограничников. Действие происходит в период с 1917 года по конец 1980-х и разворачивается на территории СССР от Дальнего Востока до западных границ. Сериал состоит из восьми фильмов, объединённых главными действующими лицами.</t>
        </is>
      </c>
      <c r="L1749" s="2" t="inlineStr">
        <is>
          <t>Кино_СССР сводный каталог.xlsx: список телефильмов</t>
        </is>
      </c>
      <c r="M1749" s="2">
        <f>HYPERLINK("https://ru.wikipedia.org/w/index.php?search=%D0%93%D0%BE%D1%81%D1%83%D0%B4%D0%B0%D1%80%D1%81%D1%82%D0%B2%D0%B5%D0%BD%D0%BD%D0%B0%D1%8F%20%D0%B3%D1%80%D0%B0%D0%BD%D0%B8%D1%86%D0%B0%201980%20%D1%84%D0%B8%D0%BB%D1%8C%D0%BC","искать")</f>
        <v/>
      </c>
      <c r="N1749" s="3" t="n"/>
      <c r="O1749" s="2" t="n"/>
    </row>
    <row r="1750">
      <c r="A1750" s="2" t="n">
        <v>1749</v>
      </c>
      <c r="B1750" s="2" t="inlineStr">
        <is>
          <t>не сюжет</t>
        </is>
      </c>
      <c r="C1750" s="2" t="n">
        <v>9075</v>
      </c>
      <c r="D1750" s="3" t="inlineStr">
        <is>
          <t>Судьбинушка</t>
        </is>
      </c>
      <c r="E1750" s="2" t="n">
        <v>1989</v>
      </c>
      <c r="F1750" s="2" t="inlineStr">
        <is>
          <t>кинофильм</t>
        </is>
      </c>
      <c r="G1750" s="2" t="n"/>
      <c r="H1750" s="2" t="n">
        <v>364</v>
      </c>
      <c r="I1750" s="2" t="inlineStr"/>
      <c r="J1750" s="2" t="inlineStr">
        <is>
          <t>да</t>
        </is>
      </c>
      <c r="K1750" s="3" t="inlineStr">
        <is>
          <t>Биографическая мелодрама о судьбе выдающегося латышского фольклориста Кришьяниса Барона (1835-1923), посвятившего всю свою жизнь собиранию и изданию народных песен - дайн. Дайны - это поэтическая энциклопедия народной жизни, его историческая память, вековая мудрость целого народа. Барон много лет проработал в России - в Санкт-Петербурге и в Воронежской губернии.</t>
        </is>
      </c>
      <c r="L1750" s="2" t="inlineStr">
        <is>
          <t>Кино_СССР сводный каталог.xlsx: список фильмов (доп.)</t>
        </is>
      </c>
      <c r="M1750" s="2">
        <f>HYPERLINK("https://ru.wikipedia.org/w/index.php?search=%D0%A1%D1%83%D0%B4%D1%8C%D0%B1%D0%B8%D0%BD%D1%83%D1%88%D0%BA%D0%B0%201989%20%D1%84%D0%B8%D0%BB%D1%8C%D0%BC","искать")</f>
        <v/>
      </c>
      <c r="N1750" s="3" t="n"/>
      <c r="O1750" s="2" t="n"/>
    </row>
    <row r="1751">
      <c r="A1751" s="2" t="n">
        <v>1750</v>
      </c>
      <c r="B1751" s="2" t="inlineStr">
        <is>
          <t>не сюжет</t>
        </is>
      </c>
      <c r="C1751" s="2" t="n">
        <v>9330</v>
      </c>
      <c r="D1751" s="3" t="inlineStr">
        <is>
          <t>День рыбы</t>
        </is>
      </c>
      <c r="E1751" s="2" t="n">
        <v>1989</v>
      </c>
      <c r="F1751" s="2" t="inlineStr">
        <is>
          <t>кинофильм</t>
        </is>
      </c>
      <c r="G1751" s="2" t="n"/>
      <c r="H1751" s="2" t="n">
        <v>364</v>
      </c>
      <c r="I1751" s="2" t="inlineStr"/>
      <c r="J1751" s="2" t="inlineStr">
        <is>
          <t>да</t>
        </is>
      </c>
      <c r="K1751" s="3" t="inlineStr">
        <is>
          <t>По мотивам рассказов Й.Скаблаускайте. Героиня фильма Вероника относится к типу сильных современных женщин, которые умеют существовать в одиночку. За ее жизнь опасаться нечего: она выживет, выплывет... В фильме воплощены ставшие едва ли не банальными понятия - эмансипация, воля, ум, дарование - в судьбе человека, обреченного на безысходно обыденное существование.</t>
        </is>
      </c>
      <c r="L1751" s="2" t="inlineStr">
        <is>
          <t>Кино_СССР сводный каталог.xlsx: список фильмов (доп.)</t>
        </is>
      </c>
      <c r="M1751" s="2">
        <f>HYPERLINK("https://ru.wikipedia.org/w/index.php?search=%D0%94%D0%B5%D0%BD%D1%8C%20%D1%80%D1%8B%D0%B1%D1%8B%201989%20%D1%84%D0%B8%D0%BB%D1%8C%D0%BC","искать")</f>
        <v/>
      </c>
      <c r="N1751" s="3" t="n"/>
      <c r="O1751" s="2" t="n"/>
    </row>
    <row r="1752">
      <c r="A1752" s="2" t="n">
        <v>1751</v>
      </c>
      <c r="B1752" s="2" t="inlineStr">
        <is>
          <t>не сюжет</t>
        </is>
      </c>
      <c r="C1752" s="2" t="n">
        <v>10613</v>
      </c>
      <c r="D1752" s="3" t="inlineStr">
        <is>
          <t>Конармия</t>
        </is>
      </c>
      <c r="E1752" s="2" t="n">
        <v>1975</v>
      </c>
      <c r="F1752" s="2" t="inlineStr">
        <is>
          <t>фильм-спектакль</t>
        </is>
      </c>
      <c r="G1752" s="2" t="inlineStr">
        <is>
          <t>Гл. ред. литературно-драматических программ</t>
        </is>
      </c>
      <c r="H1752" s="2" t="n">
        <v>364</v>
      </c>
      <c r="I1752" s="2" t="inlineStr"/>
      <c r="J1752" s="2" t="inlineStr">
        <is>
          <t>да</t>
        </is>
      </c>
      <c r="K1752" s="3" t="inlineStr">
        <is>
          <t>Спектакль Государственного академического театра им. Евг. Вахтангова по мотивам автобиографической прозы Исаака Бабеля. Запись 1975 года.
Авторы, отказавшись, как и Бабель, от описания боев, упрощения и лакировки действительности, передают драматическую напряженность послереволюционных лет: взрыв проснувшейся человеческой энергии, трагические столкновения судеб.</t>
        </is>
      </c>
      <c r="L1752" s="2" t="inlineStr">
        <is>
          <t>https://www.kino-teatr.ru/teatr/movie/11422/annot/</t>
        </is>
      </c>
      <c r="M1752" s="2">
        <f>HYPERLINK("https://ru.wikipedia.org/w/index.php?search=%D0%9A%D0%BE%D0%BD%D0%B0%D1%80%D0%BC%D0%B8%D1%8F%201975%20%D1%84%D0%B8%D0%BB%D1%8C%D0%BC","искать")</f>
        <v/>
      </c>
      <c r="N1752" s="3" t="n"/>
      <c r="O1752" s="2" t="n"/>
    </row>
    <row r="1753">
      <c r="A1753" s="2" t="n">
        <v>1752</v>
      </c>
      <c r="B1753" s="2" t="inlineStr">
        <is>
          <t>не сюжет</t>
        </is>
      </c>
      <c r="C1753" s="2" t="n">
        <v>9308</v>
      </c>
      <c r="D1753" s="3" t="inlineStr">
        <is>
          <t>Год рождения 1917-й</t>
        </is>
      </c>
      <c r="E1753" s="2" t="n">
        <v>1932</v>
      </c>
      <c r="F1753" s="2" t="inlineStr">
        <is>
          <t>кинофильм</t>
        </is>
      </c>
      <c r="G1753" s="2" t="n"/>
      <c r="H1753" s="2" t="n">
        <v>366</v>
      </c>
      <c r="I1753" s="2" t="inlineStr"/>
      <c r="J1753" s="2" t="inlineStr">
        <is>
          <t>да</t>
        </is>
      </c>
      <c r="K1753" s="3" t="inlineStr">
        <is>
          <t>Агитпропфильм об участии детей в социалистическом соревновании и борьбе за выполнение промышленно-финансового плана. Заключение ГРК разыскать не удалось. По всей видимости, фильм был запрещен руководством студии.' - Е.Марголит, В.Шмыров '(Из'ятое кино). 1924-1953' М., 'Дубль-Д', 1995
Подробнее на Кино-Театр.РУ https://www.kino-teatr.ru/kino/movie/sov/11898/annot/</t>
        </is>
      </c>
      <c r="L1753" s="2" t="inlineStr">
        <is>
          <t>Кино_СССР сводный каталог.xlsx: список фильмов (доп.)</t>
        </is>
      </c>
      <c r="M1753" s="2">
        <f>HYPERLINK("https://ru.wikipedia.org/w/index.php?search=%D0%93%D0%BE%D0%B4%20%D1%80%D0%BE%D0%B6%D0%B4%D0%B5%D0%BD%D0%B8%D1%8F%201917-%D0%B9%201932%20%D1%84%D0%B8%D0%BB%D1%8C%D0%BC","искать")</f>
        <v/>
      </c>
      <c r="N1753" s="3" t="n"/>
      <c r="O1753" s="2" t="n"/>
    </row>
    <row r="1754">
      <c r="A1754" s="2" t="n">
        <v>1753</v>
      </c>
      <c r="B1754" s="2" t="inlineStr">
        <is>
          <t>не сюжет</t>
        </is>
      </c>
      <c r="C1754" s="2" t="n">
        <v>7920</v>
      </c>
      <c r="D1754" s="3" t="inlineStr">
        <is>
          <t>Мы и наши лошади</t>
        </is>
      </c>
      <c r="E1754" s="2" t="n">
        <v>1988</v>
      </c>
      <c r="F1754" s="2" t="inlineStr">
        <is>
          <t>телефильм</t>
        </is>
      </c>
      <c r="G1754" s="2" t="n"/>
      <c r="H1754" s="2" t="n">
        <v>367</v>
      </c>
      <c r="I1754" s="2" t="inlineStr"/>
      <c r="J1754" s="2" t="inlineStr">
        <is>
          <t>да</t>
        </is>
      </c>
      <c r="K1754" s="3" t="inlineStr">
        <is>
          <t>Философская притча. Действия фильма разворачиваются в диких местах Горного Алтая. Это второй режиссерский художественный фильм знаменитого новосибирского постановщика документального кино Юрия Малашина («Тайга»). По повести Сергея Залыгина «Наши лошади». Музыку к фильму написал известный новосибирский композитор Григорий Гоберник («Вера и Фёдор», «Перед свадьбой»).</t>
        </is>
      </c>
      <c r="L1754" s="2" t="inlineStr">
        <is>
          <t>Кино_СССР сводный каталог.xlsx: список телефильмов</t>
        </is>
      </c>
      <c r="M1754" s="2">
        <f>HYPERLINK("https://ru.wikipedia.org/w/index.php?search=%D0%9C%D1%8B%20%D0%B8%20%D0%BD%D0%B0%D1%88%D0%B8%20%D0%BB%D0%BE%D1%88%D0%B0%D0%B4%D0%B8%201988%20%D1%84%D0%B8%D0%BB%D1%8C%D0%BC","искать")</f>
        <v/>
      </c>
      <c r="N1754" s="3" t="n"/>
      <c r="O1754" s="2" t="n"/>
    </row>
    <row r="1755">
      <c r="A1755" s="2" t="n">
        <v>1754</v>
      </c>
      <c r="B1755" s="2" t="inlineStr">
        <is>
          <t>не сюжет</t>
        </is>
      </c>
      <c r="C1755" s="2" t="n">
        <v>9021</v>
      </c>
      <c r="D1755" s="3" t="inlineStr">
        <is>
          <t>Роман Межгорья</t>
        </is>
      </c>
      <c r="E1755" s="2" t="n">
        <v>1933</v>
      </c>
      <c r="F1755" s="2" t="inlineStr">
        <is>
          <t>кинофильм</t>
        </is>
      </c>
      <c r="G1755" s="2" t="n"/>
      <c r="H1755" s="2" t="n">
        <v>368</v>
      </c>
      <c r="I1755" s="2" t="inlineStr"/>
      <c r="J1755" s="2" t="inlineStr">
        <is>
          <t>да</t>
        </is>
      </c>
      <c r="K1755" s="3" t="inlineStr">
        <is>
          <t>По одноименному роману Ивана Ле. Экранизация популярного в начале 30-х гг. романа украинского писателя Ивана Ле о социалистическом строительстве. Первоначально работу над картиной начал режиссер театра и кино Фауст Лопатинский. Однако начавшаяся кампания против реформатора украинской сцены Леся Курбаса, обвиненного в национализме, отразилась и на судьбе его ученика.</t>
        </is>
      </c>
      <c r="L1755" s="2" t="inlineStr">
        <is>
          <t>Кино_СССР сводный каталог.xlsx: список фильмов (доп.)</t>
        </is>
      </c>
      <c r="M1755" s="2">
        <f>HYPERLINK("https://ru.wikipedia.org/w/index.php?search=%D0%A0%D0%BE%D0%BC%D0%B0%D0%BD%20%D0%9C%D0%B5%D0%B6%D0%B3%D0%BE%D1%80%D1%8C%D1%8F%201933%20%D1%84%D0%B8%D0%BB%D1%8C%D0%BC","искать")</f>
        <v/>
      </c>
      <c r="N1755" s="3" t="n"/>
      <c r="O1755" s="2" t="n"/>
    </row>
    <row r="1756">
      <c r="A1756" s="2" t="n">
        <v>1755</v>
      </c>
      <c r="B1756" s="2" t="inlineStr">
        <is>
          <t>не сюжет</t>
        </is>
      </c>
      <c r="C1756" s="2" t="n">
        <v>7500</v>
      </c>
      <c r="D1756" s="3" t="inlineStr">
        <is>
          <t>День да ночь</t>
        </is>
      </c>
      <c r="E1756" s="2" t="n">
        <v>1970</v>
      </c>
      <c r="F1756" s="2" t="inlineStr">
        <is>
          <t>телефильм</t>
        </is>
      </c>
      <c r="G1756" s="2" t="n"/>
      <c r="H1756" s="2" t="n">
        <v>370</v>
      </c>
      <c r="I1756" s="2" t="inlineStr"/>
      <c r="J1756" s="2" t="inlineStr">
        <is>
          <t>да</t>
        </is>
      </c>
      <c r="K1756" s="3" t="inlineStr">
        <is>
          <t>По мотивам повести Иосифа Герасимова "Двадцать второго". Сутки - невеликая мера времени, но 22 июня... Молодые герои фильма сумели почувствовать и грозные отголоски войны, начавшейся в такой же день 29 лет назад, и свою ответственность за безмятежность мирных будней, и радость встречи с первым глубоким чувством, и необходимость всегда быть вместе, что бы ни случилось.</t>
        </is>
      </c>
      <c r="L1756" s="2" t="inlineStr">
        <is>
          <t>Кино_СССР сводный каталог.xlsx: список телефильмов</t>
        </is>
      </c>
      <c r="M1756" s="2">
        <f>HYPERLINK("https://ru.wikipedia.org/w/index.php?search=%D0%94%D0%B5%D0%BD%D1%8C%20%D0%B4%D0%B0%20%D0%BD%D0%BE%D1%87%D1%8C%201970%20%D1%84%D0%B8%D0%BB%D1%8C%D0%BC","искать")</f>
        <v/>
      </c>
      <c r="N1756" s="3" t="n"/>
      <c r="O1756" s="2" t="n"/>
    </row>
    <row r="1757">
      <c r="A1757" s="2" t="n">
        <v>1756</v>
      </c>
      <c r="B1757" s="2" t="inlineStr">
        <is>
          <t>не сюжет</t>
        </is>
      </c>
      <c r="C1757" s="2" t="n">
        <v>8255</v>
      </c>
      <c r="D1757" s="3" t="inlineStr">
        <is>
          <t>Ральф, здравствуй! (киноальманах)</t>
        </is>
      </c>
      <c r="E1757" s="2" t="n">
        <v>1975</v>
      </c>
      <c r="F1757" s="2" t="inlineStr">
        <is>
          <t>телефильм</t>
        </is>
      </c>
      <c r="G1757" s="2" t="n"/>
      <c r="H1757" s="2" t="n">
        <v>371</v>
      </c>
      <c r="I1757" s="2" t="inlineStr"/>
      <c r="J1757" s="2" t="inlineStr">
        <is>
          <t>да</t>
        </is>
      </c>
      <c r="K1757" s="3" t="inlineStr">
        <is>
          <t>Кто из ребят не мечтает о собаке, постоянном друге всех ребячьих игр, походов и приключений. Героям фильма "Ральф, здравствуй!" в этом смысле повезло - их собаки Чип, Боцман и Ральф беззаветно преданы своим хозяевам. Три новеллы о верных друзьях человека - собаках - расскажут юному зрителю о верности, благородстве и взаимопомощи, без которых немыслима настоящая дружба.</t>
        </is>
      </c>
      <c r="L1757" s="2" t="inlineStr">
        <is>
          <t>Кино_СССР сводный каталог.xlsx: список телефильмов</t>
        </is>
      </c>
      <c r="M1757" s="2">
        <f>HYPERLINK("https://ru.wikipedia.org/w/index.php?search=%D0%A0%D0%B0%D0%BB%D1%8C%D1%84%2C%20%D0%B7%D0%B4%D1%80%D0%B0%D0%B2%D1%81%D1%82%D0%B2%D1%83%D0%B9%21%20%28%D0%BA%D0%B8%D0%BD%D0%BE%D0%B0%D0%BB%D1%8C%D0%BC%D0%B0%D0%BD%D0%B0%D1%85%29%201975%20%D1%84%D0%B8%D0%BB%D1%8C%D0%BC","искать")</f>
        <v/>
      </c>
      <c r="N1757" s="3" t="n"/>
      <c r="O1757" s="2" t="n"/>
    </row>
    <row r="1758">
      <c r="A1758" s="2" t="n">
        <v>1757</v>
      </c>
      <c r="B1758" s="2" t="inlineStr">
        <is>
          <t>не сюжет</t>
        </is>
      </c>
      <c r="C1758" s="2" t="n">
        <v>7428</v>
      </c>
      <c r="D1758" s="3" t="inlineStr">
        <is>
          <t>Галатея</t>
        </is>
      </c>
      <c r="E1758" s="2" t="n">
        <v>1977</v>
      </c>
      <c r="F1758" s="2" t="inlineStr">
        <is>
          <t>телефильм</t>
        </is>
      </c>
      <c r="G1758" s="2" t="inlineStr">
        <is>
          <t>Лентелефильм</t>
        </is>
      </c>
      <c r="H1758" s="2" t="n">
        <v>374</v>
      </c>
      <c r="I1758" s="2" t="inlineStr"/>
      <c r="J1758" s="2" t="inlineStr">
        <is>
          <t>да</t>
        </is>
      </c>
      <c r="K1758" s="3" t="inlineStr">
        <is>
          <t>Пьеса Бернарда Шоу "Пигмалион" с успехом идет во многих театрах мира. Ленинградский кинорежиссер-постановщик Алекандр Белинский впервые перенес прекрасную литературу Бернарда Шоу на язык хореографии. Он написал либретто оригинального балета, а также сценарий фильма-балета, который удивительно широко раскрывает горизонты исполнительского мастерства ведущих артистов балета.</t>
        </is>
      </c>
      <c r="L1758" s="2" t="inlineStr">
        <is>
          <t>Кино_СССР сводный каталог.xlsx: список телефильмов</t>
        </is>
      </c>
      <c r="M1758" s="2">
        <f>HYPERLINK("https://ru.wikipedia.org/w/index.php?search=%D0%93%D0%B0%D0%BB%D0%B0%D1%82%D0%B5%D1%8F%201977%20%D1%84%D0%B8%D0%BB%D1%8C%D0%BC","искать")</f>
        <v/>
      </c>
      <c r="N1758" s="3" t="n"/>
      <c r="O1758" s="2" t="n"/>
    </row>
    <row r="1759">
      <c r="A1759" s="2" t="n">
        <v>1758</v>
      </c>
      <c r="B1759" s="2" t="inlineStr">
        <is>
          <t>не сюжет</t>
        </is>
      </c>
      <c r="C1759" s="2" t="n">
        <v>8314</v>
      </c>
      <c r="D1759" s="3" t="inlineStr">
        <is>
          <t>Свободны, как птицы</t>
        </is>
      </c>
      <c r="E1759" s="2" t="n">
        <v>1971</v>
      </c>
      <c r="F1759" s="2" t="inlineStr">
        <is>
          <t>телефильм</t>
        </is>
      </c>
      <c r="G1759" s="2" t="n"/>
      <c r="H1759" s="2" t="n">
        <v>376</v>
      </c>
      <c r="I1759" s="2" t="inlineStr"/>
      <c r="J1759" s="2" t="inlineStr">
        <is>
          <t>да</t>
        </is>
      </c>
      <c r="K1759" s="3" t="inlineStr">
        <is>
          <t>Историко-революционный фильм поставлен по неоконченному роману эстонского революционера и писателя Яана Анвельта (1884-1937) "Вне закона", который, несмотря на незавершённость, считается высшим достижением пролетарской прозы в Эстонии. Картина рассказывает о молодых участниках активного подпольного революционного движения в Эстонской республике в первой половине 20-х годов.</t>
        </is>
      </c>
      <c r="L1759" s="2" t="inlineStr">
        <is>
          <t>Кино_СССР сводный каталог.xlsx: список телефильмов</t>
        </is>
      </c>
      <c r="M1759" s="2">
        <f>HYPERLINK("https://ru.wikipedia.org/w/index.php?search=%D0%A1%D0%B2%D0%BE%D0%B1%D0%BE%D0%B4%D0%BD%D1%8B%2C%20%D0%BA%D0%B0%D0%BA%20%D0%BF%D1%82%D0%B8%D1%86%D1%8B%201971%20%D1%84%D0%B8%D0%BB%D1%8C%D0%BC","искать")</f>
        <v/>
      </c>
      <c r="N1759" s="3" t="n"/>
      <c r="O1759" s="2" t="n"/>
    </row>
    <row r="1760">
      <c r="A1760" s="2" t="n">
        <v>1759</v>
      </c>
      <c r="B1760" s="2" t="inlineStr">
        <is>
          <t>не сюжет</t>
        </is>
      </c>
      <c r="C1760" s="2" t="n">
        <v>8463</v>
      </c>
      <c r="D1760" s="3" t="inlineStr">
        <is>
          <t>Тот самый Мюнхгаузен</t>
        </is>
      </c>
      <c r="E1760" s="2" t="n">
        <v>1979</v>
      </c>
      <c r="F1760" s="2" t="inlineStr">
        <is>
          <t>телефильм</t>
        </is>
      </c>
      <c r="G1760" s="2" t="inlineStr">
        <is>
          <t>Мосфильм</t>
        </is>
      </c>
      <c r="H1760" s="2" t="n">
        <v>376</v>
      </c>
      <c r="I1760" s="2" t="inlineStr"/>
      <c r="J1760" s="2" t="inlineStr">
        <is>
          <t>да</t>
        </is>
      </c>
      <c r="K1760" s="3" t="inlineStr">
        <is>
          <t>Комическая фантазия о жизни, любви и смерти знаменитого барона Мюнхгаузена, жившего в XVIII веке и ставшего героем многих веселых книг и преданий, опирается на персонажей и эпизоды знаменитого романа Р. Распэ, но по сути является самостоятельным произведением. "Мыслящий человек просто обязан время от времени поднимать себя за волосы" - похоже, это и удается авторам картины.</t>
        </is>
      </c>
      <c r="L1760" s="2" t="inlineStr">
        <is>
          <t>Кино_СССР сводный каталог.xlsx: список телефильмов</t>
        </is>
      </c>
      <c r="M1760" s="2">
        <f>HYPERLINK("https://ru.wikipedia.org/w/index.php?search=%D0%A2%D0%BE%D1%82%20%D1%81%D0%B0%D0%BC%D1%8B%D0%B9%20%D0%9C%D1%8E%D0%BD%D1%85%D0%B3%D0%B0%D1%83%D0%B7%D0%B5%D0%BD%201979%20%D1%84%D0%B8%D0%BB%D1%8C%D0%BC","искать")</f>
        <v/>
      </c>
      <c r="N1760" s="3" t="n"/>
      <c r="O1760" s="2" t="n"/>
    </row>
    <row r="1761">
      <c r="A1761" s="2" t="n">
        <v>1760</v>
      </c>
      <c r="B1761" s="2" t="inlineStr">
        <is>
          <t>не сюжет</t>
        </is>
      </c>
      <c r="C1761" s="2" t="n">
        <v>8660</v>
      </c>
      <c r="D1761" s="3" t="inlineStr">
        <is>
          <t>Возвращение Ходжи Насреддина</t>
        </is>
      </c>
      <c r="E1761" s="2" t="n">
        <v>1989</v>
      </c>
      <c r="F1761" s="2" t="inlineStr">
        <is>
          <t>кинофильм</t>
        </is>
      </c>
      <c r="G1761" s="2" t="n"/>
      <c r="H1761" s="2" t="n">
        <v>376</v>
      </c>
      <c r="I1761" s="2" t="inlineStr"/>
      <c r="J1761" s="2" t="inlineStr">
        <is>
          <t>да</t>
        </is>
      </c>
      <c r="K1761" s="3" t="inlineStr">
        <is>
          <t>Бесхитростный фильм о вечном, о смысле жизни человека на земле. Словом, о том, о чем сказано тысяча раз и тысяча раз пересказано. Известный герой восточных преданий Ходжа Насреддин — серьезный шутник, мыслитель и правдоискатель — по воле авторов стал молочным братом и другом юности не менее знаменитого, но во всем противоположного ему — тирана и самодержца Тимура Тамерлана.</t>
        </is>
      </c>
      <c r="L1761" s="2" t="inlineStr">
        <is>
          <t>Кино_СССР сводный каталог.xlsx: список фильмов (доп.)</t>
        </is>
      </c>
      <c r="M1761" s="2">
        <f>HYPERLINK("https://ru.wikipedia.org/w/index.php?search=%D0%92%D0%BE%D0%B7%D0%B2%D1%80%D0%B0%D1%89%D0%B5%D0%BD%D0%B8%D0%B5%20%D0%A5%D0%BE%D0%B4%D0%B6%D0%B8%20%D0%9D%D0%B0%D1%81%D1%80%D0%B5%D0%B4%D0%B4%D0%B8%D0%BD%D0%B0%201989%20%D1%84%D0%B8%D0%BB%D1%8C%D0%BC","искать")</f>
        <v/>
      </c>
      <c r="N1761" s="3" t="n"/>
      <c r="O1761" s="2" t="n"/>
    </row>
    <row r="1762">
      <c r="A1762" s="2" t="n">
        <v>1761</v>
      </c>
      <c r="B1762" s="2" t="inlineStr">
        <is>
          <t>не сюжет</t>
        </is>
      </c>
      <c r="C1762" s="2" t="n">
        <v>10429</v>
      </c>
      <c r="D1762" s="3" t="inlineStr">
        <is>
          <t>А.П. Чехов. Дядя Ваня</t>
        </is>
      </c>
      <c r="E1762" s="2" t="n">
        <v>1972</v>
      </c>
      <c r="F1762" s="2" t="inlineStr">
        <is>
          <t>фильм-спектакль</t>
        </is>
      </c>
      <c r="G1762" s="2" t="inlineStr">
        <is>
          <t>Центральное телевидение, Подборки фильмов, экранизации Чехова</t>
        </is>
      </c>
      <c r="H1762" s="2" t="n">
        <v>378</v>
      </c>
      <c r="I1762" s="2" t="inlineStr"/>
      <c r="J1762" s="2" t="inlineStr">
        <is>
          <t>да</t>
        </is>
      </c>
      <c r="K1762" s="3" t="inlineStr">
        <is>
          <t>Об истории создания и идейном содержании пьесы А.П. Чехова “Дядя Ваня”.
Эмоционально-лирическая атмосфера жизни дворянской усадьбы, с присущим ей своебразным ритмом жизни. Варьируются все те же темы бесцельности быта, пожирающего потенциал интеллигентного человека, разочарования и душевного опустошения.
В передаче принимают участие артисты Центрального театра Советской Армии.</t>
        </is>
      </c>
      <c r="L1762" s="2" t="inlineStr">
        <is>
          <t>https://www.kino-teatr.ru/teatr/movie/104755/annot/</t>
        </is>
      </c>
      <c r="M1762" s="2">
        <f>HYPERLINK("https://ru.wikipedia.org/w/index.php?search=%D0%90.%D0%9F.%20%D0%A7%D0%B5%D1%85%D0%BE%D0%B2.%20%D0%94%D1%8F%D0%B4%D1%8F%20%D0%92%D0%B0%D0%BD%D1%8F%201972%20%D1%84%D0%B8%D0%BB%D1%8C%D0%BC","искать")</f>
        <v/>
      </c>
      <c r="N1762" s="3" t="n"/>
      <c r="O1762" s="2" t="n"/>
    </row>
    <row r="1763">
      <c r="A1763" s="2" t="n">
        <v>1762</v>
      </c>
      <c r="B1763" s="2" t="inlineStr">
        <is>
          <t>не сюжет</t>
        </is>
      </c>
      <c r="C1763" s="2" t="n">
        <v>11312</v>
      </c>
      <c r="D1763" s="3" t="inlineStr">
        <is>
          <t>Недоросль</t>
        </is>
      </c>
      <c r="E1763" s="2" t="n">
        <v>1990</v>
      </c>
      <c r="F1763" s="2" t="inlineStr">
        <is>
          <t>фильм-спектакль</t>
        </is>
      </c>
      <c r="G1763" s="2" t="inlineStr">
        <is>
          <t>ВО "СОЮЗТЕАТР" / студия "СИНТЕЗ"</t>
        </is>
      </c>
      <c r="H1763" s="2" t="n">
        <v>378</v>
      </c>
      <c r="I1763" s="2" t="inlineStr"/>
      <c r="J1763" s="2" t="inlineStr">
        <is>
          <t>да</t>
        </is>
      </c>
      <c r="K1763" s="3" t="inlineStr">
        <is>
          <t>По одноименной комедии Д.И. Фонвизина в постановке Государственного академического Малого театра.
„Не хочу учиться, хочу жениться!“ — этот возглас маменькиного сынка Митрофанушки известен всем. Пьеса «Недоросль» была написана более двух столетий тому назад, однако кажется созданной специально для того, чтобы предостеречь нынешнюю молодежь от повторения Митрофанушкиных ошибок.</t>
        </is>
      </c>
      <c r="L1763" s="2" t="inlineStr">
        <is>
          <t>https://www.kino-teatr.ru/teatr/movie/94896/annot/</t>
        </is>
      </c>
      <c r="M1763" s="2">
        <f>HYPERLINK("https://ru.wikipedia.org/w/index.php?search=%D0%9D%D0%B5%D0%B4%D0%BE%D1%80%D0%BE%D1%81%D0%BB%D1%8C%201990%20%D1%84%D0%B8%D0%BB%D1%8C%D0%BC","искать")</f>
        <v/>
      </c>
      <c r="N1763" s="3" t="n"/>
      <c r="O1763" s="2" t="n"/>
    </row>
    <row r="1764">
      <c r="A1764" s="2" t="n">
        <v>1763</v>
      </c>
      <c r="B1764" s="2" t="inlineStr">
        <is>
          <t>не сюжет</t>
        </is>
      </c>
      <c r="C1764" s="2" t="n">
        <v>8635</v>
      </c>
      <c r="D1764" s="3" t="inlineStr">
        <is>
          <t>Больше 40° градусов в тени</t>
        </is>
      </c>
      <c r="E1764" s="2" t="n">
        <v>1988</v>
      </c>
      <c r="F1764" s="2" t="inlineStr">
        <is>
          <t>кинофильм</t>
        </is>
      </c>
      <c r="G1764" s="2" t="n"/>
      <c r="H1764" s="2" t="n">
        <v>379</v>
      </c>
      <c r="I1764" s="2" t="inlineStr"/>
      <c r="J1764" s="2" t="inlineStr">
        <is>
          <t>да</t>
        </is>
      </c>
      <c r="K1764" s="3" t="inlineStr">
        <is>
          <t>Действие фильма происходит в одном из апшеронских поселков. Жара там стоит необыкновенная - больше 40° градусов в тени. Но не она виновата в неторопливой жизни и лености некоторых обитателей поселка. Действие разворачивается на протяжении одного дня, и за этот короткий отрезок времени показаны герои - хорошие и плохие - со своим укладом жизни и своими национальными традициями.</t>
        </is>
      </c>
      <c r="L1764" s="2" t="inlineStr">
        <is>
          <t>Кино_СССР сводный каталог.xlsx: список фильмов (доп.)</t>
        </is>
      </c>
      <c r="M1764" s="2">
        <f>HYPERLINK("https://ru.wikipedia.org/w/index.php?search=%D0%91%D0%BE%D0%BB%D1%8C%D1%88%D0%B5%2040%C2%B0%20%D0%B3%D1%80%D0%B0%D0%B4%D1%83%D1%81%D0%BE%D0%B2%20%D0%B2%20%D1%82%D0%B5%D0%BD%D0%B8%201988%20%D1%84%D0%B8%D0%BB%D1%8C%D0%BC","искать")</f>
        <v/>
      </c>
      <c r="N1764" s="3" t="n"/>
      <c r="O1764" s="2" t="n"/>
    </row>
    <row r="1765">
      <c r="A1765" s="2" t="n">
        <v>1764</v>
      </c>
      <c r="B1765" s="2" t="inlineStr">
        <is>
          <t>не сюжет</t>
        </is>
      </c>
      <c r="C1765" s="2" t="n">
        <v>11376</v>
      </c>
      <c r="D1765" s="3" t="inlineStr">
        <is>
          <t>Кола Брюньон</t>
        </is>
      </c>
      <c r="E1765" s="2" t="n">
        <v>1974</v>
      </c>
      <c r="F1765" s="2" t="inlineStr">
        <is>
          <t>фильм-опера/балет</t>
        </is>
      </c>
      <c r="G1765" s="2" t="n"/>
      <c r="H1765" s="2" t="n">
        <v>379</v>
      </c>
      <c r="I1765" s="2" t="inlineStr"/>
      <c r="J1765" s="2" t="inlineStr">
        <is>
          <t>да</t>
        </is>
      </c>
      <c r="K1765" s="3" t="inlineStr">
        <is>
          <t>Телефильм-опера на музыку Дмитрия Кабалевского по мотивам одноименной повести Ромена Роллана, которая считается одним из самых жизнеутверждающих произведений мировой классики. Написанная в манере фольклорной стилизации, книга воссоздает своеобразный быт средневековой Бургундии. Кола Брюньон - носитель народной мудрости, весельчак, страстно любящий жизнь во всех ее проявлениях.</t>
        </is>
      </c>
      <c r="L1765" s="2" t="inlineStr">
        <is>
          <t>Кино_СССР телефильмы и пропуски включить в базу.xlsx</t>
        </is>
      </c>
      <c r="M1765" s="2">
        <f>HYPERLINK("https://ru.wikipedia.org/w/index.php?search=%D0%9A%D0%BE%D0%BB%D0%B0%20%D0%91%D1%80%D1%8E%D0%BD%D1%8C%D0%BE%D0%BD%201974%20%D1%84%D0%B8%D0%BB%D1%8C%D0%BC","искать")</f>
        <v/>
      </c>
      <c r="N1765" s="3" t="n"/>
      <c r="O1765" s="2" t="n"/>
    </row>
    <row r="1766">
      <c r="A1766" s="2" t="n">
        <v>1765</v>
      </c>
      <c r="B1766" s="2" t="inlineStr">
        <is>
          <t>не сюжет</t>
        </is>
      </c>
      <c r="C1766" s="2" t="n">
        <v>7992</v>
      </c>
      <c r="D1766" s="3" t="inlineStr">
        <is>
          <t>Несерьезный человек</t>
        </is>
      </c>
      <c r="E1766" s="2" t="n">
        <v>1980</v>
      </c>
      <c r="F1766" s="2" t="inlineStr">
        <is>
          <t>телефильм</t>
        </is>
      </c>
      <c r="G1766" s="2" t="n"/>
      <c r="H1766" s="2" t="n">
        <v>380</v>
      </c>
      <c r="I1766" s="2" t="inlineStr"/>
      <c r="J1766" s="2" t="inlineStr">
        <is>
          <t>да</t>
        </is>
      </c>
      <c r="K1766" s="3" t="inlineStr">
        <is>
          <t>Образованный и обаятельный мужчина средних лет, любимец всего Сололаки, оказывается выбитым из жизненной коллеи в советской действительности, где каждый занят лучшим устройством своей жизни. Со старым и ослепшим отцом на руках, не востребованным в своей профессии учителя немецкого языка, Нико Мачабели сложно ужиться в окружающем его обществе и по причине своенравного характера.</t>
        </is>
      </c>
      <c r="L1766" s="2" t="inlineStr">
        <is>
          <t>Кино_СССР сводный каталог.xlsx: список телефильмов</t>
        </is>
      </c>
      <c r="M1766" s="2">
        <f>HYPERLINK("https://ru.wikipedia.org/w/index.php?search=%D0%9D%D0%B5%D1%81%D0%B5%D1%80%D1%8C%D0%B5%D0%B7%D0%BD%D1%8B%D0%B9%20%D1%87%D0%B5%D0%BB%D0%BE%D0%B2%D0%B5%D0%BA%201980%20%D1%84%D0%B8%D0%BB%D1%8C%D0%BC","искать")</f>
        <v/>
      </c>
      <c r="N1766" s="3" t="n"/>
      <c r="O1766" s="2" t="n"/>
    </row>
    <row r="1767">
      <c r="A1767" s="2" t="n">
        <v>1766</v>
      </c>
      <c r="B1767" s="2" t="inlineStr">
        <is>
          <t>не сюжет</t>
        </is>
      </c>
      <c r="C1767" s="2" t="n">
        <v>10968</v>
      </c>
      <c r="D1767" s="3" t="inlineStr">
        <is>
          <t>Следы остаются</t>
        </is>
      </c>
      <c r="E1767" s="2" t="n">
        <v>1982</v>
      </c>
      <c r="F1767" s="2" t="inlineStr">
        <is>
          <t>фильм-спектакль</t>
        </is>
      </c>
      <c r="G1767" s="2" t="inlineStr">
        <is>
          <t>Ленинградское телевидение</t>
        </is>
      </c>
      <c r="H1767" s="2" t="n">
        <v>380</v>
      </c>
      <c r="I1767" s="2" t="inlineStr"/>
      <c r="J1767" s="2" t="inlineStr">
        <is>
          <t>да</t>
        </is>
      </c>
      <c r="K1767" s="3" t="inlineStr">
        <is>
          <t>По повести Владимира Чванова "Кража".
О правовом и нравственном воспитании молодежи. В спектакле раскрываются психологические аспекты профессии сотрудника уголовного розыска. Основная мысль - не ужесточение наказаний, а прежде всего борьба с причинами и обстоятельствами, порождающими преступления. Автор делает упор на личную ответственность человека за совершенное преступление.</t>
        </is>
      </c>
      <c r="L1767" s="2" t="inlineStr">
        <is>
          <t>https://www.kino-teatr.ru/teatr/movie/115098/annot/</t>
        </is>
      </c>
      <c r="M1767" s="2">
        <f>HYPERLINK("https://ru.wikipedia.org/w/index.php?search=%D0%A1%D0%BB%D0%B5%D0%B4%D1%8B%20%D0%BE%D1%81%D1%82%D0%B0%D1%8E%D1%82%D1%81%D1%8F%201982%20%D1%84%D0%B8%D0%BB%D1%8C%D0%BC","искать")</f>
        <v/>
      </c>
      <c r="N1767" s="3" t="n"/>
      <c r="O1767" s="2" t="n"/>
    </row>
    <row r="1768">
      <c r="A1768" s="2" t="n">
        <v>1767</v>
      </c>
      <c r="B1768" s="2" t="inlineStr">
        <is>
          <t>не сюжет</t>
        </is>
      </c>
      <c r="C1768" s="2" t="n">
        <v>9683</v>
      </c>
      <c r="D1768" s="3" t="inlineStr">
        <is>
          <t>СЭР</t>
        </is>
      </c>
      <c r="E1768" s="2" t="n">
        <v>1989</v>
      </c>
      <c r="F1768" s="2" t="inlineStr">
        <is>
          <t>кинофильм</t>
        </is>
      </c>
      <c r="G1768" s="2" t="n"/>
      <c r="H1768" s="2" t="n">
        <v>383</v>
      </c>
      <c r="I1768" s="2" t="inlineStr"/>
      <c r="J1768" s="2" t="inlineStr">
        <is>
          <t>да</t>
        </is>
      </c>
      <c r="K1768" s="3" t="inlineStr">
        <is>
          <t>У Саши Григорьева есть две основные ценности, два мифа: свобода, тождественная раю («Свобода — Это Рай», так расшифровывается название фильма и наколка на руке героя), и отец, которого Саша никогда не видел и который сидит в другой тюрьме. Миф об отце, в отличие от мифа о свободе, не объединяет Сашу с другими воспитанниками спецшколы, а напротив, отделяет его от социальной группы.</t>
        </is>
      </c>
      <c r="L1768" s="2" t="inlineStr">
        <is>
          <t>Кино_СССР сводный каталог.xlsx: список фильмов (доп.)</t>
        </is>
      </c>
      <c r="M1768" s="2">
        <f>HYPERLINK("https://ru.wikipedia.org/w/index.php?search=%D0%A1%D0%AD%D0%A0%201989%20%D1%84%D0%B8%D0%BB%D1%8C%D0%BC","искать")</f>
        <v/>
      </c>
      <c r="N1768" s="3" t="n"/>
      <c r="O1768" s="2" t="n"/>
    </row>
    <row r="1769">
      <c r="A1769" s="2" t="n">
        <v>1768</v>
      </c>
      <c r="B1769" s="2" t="inlineStr">
        <is>
          <t>не сюжет</t>
        </is>
      </c>
      <c r="C1769" s="2" t="n">
        <v>10166</v>
      </c>
      <c r="D1769" s="3" t="inlineStr">
        <is>
          <t>Коллекция Капы</t>
        </is>
      </c>
      <c r="E1769" s="2" t="n">
        <v>1966</v>
      </c>
      <c r="F1769" s="2" t="inlineStr">
        <is>
          <t>фильм-спектакль</t>
        </is>
      </c>
      <c r="G1769" s="2" t="n"/>
      <c r="H1769" s="2" t="n">
        <v>383</v>
      </c>
      <c r="I1769" s="2" t="inlineStr"/>
      <c r="J1769" s="2" t="inlineStr">
        <is>
          <t>да</t>
        </is>
      </c>
      <c r="K1769" s="3" t="inlineStr">
        <is>
          <t>Телеспектакль поставлен по сатирическим произведениям известного писателя Виктора Ефимовича Ардова:
"Рассказ о завхозе",
"Всемогущий Гранаткин",
"Ателье: Емельян Пугачев".
А название спектаклю дал рассказ "Коллекция Капы".
Капа - это девушка, с которой писатель познакомился в областном городе, куда его закинула судьба.
Капа немного учится, немного работает и очень любит искусство.</t>
        </is>
      </c>
      <c r="L1769" s="2" t="inlineStr">
        <is>
          <t>https://www.kino-teatr.ru/teatr/movie/101249/annot/</t>
        </is>
      </c>
      <c r="M1769" s="2">
        <f>HYPERLINK("https://ru.wikipedia.org/w/index.php?search=%D0%9A%D0%BE%D0%BB%D0%BB%D0%B5%D0%BA%D1%86%D0%B8%D1%8F%20%D0%9A%D0%B0%D0%BF%D1%8B%201966%20%D1%84%D0%B8%D0%BB%D1%8C%D0%BC","искать")</f>
        <v/>
      </c>
      <c r="N1769" s="3" t="n"/>
      <c r="O1769" s="2" t="n"/>
    </row>
    <row r="1770">
      <c r="A1770" s="2" t="n">
        <v>1769</v>
      </c>
      <c r="B1770" s="2" t="inlineStr">
        <is>
          <t>не сюжет</t>
        </is>
      </c>
      <c r="C1770" s="2" t="n">
        <v>8042</v>
      </c>
      <c r="D1770" s="3" t="inlineStr">
        <is>
          <t>Ольга Сергеевна</t>
        </is>
      </c>
      <c r="E1770" s="2" t="n">
        <v>1975</v>
      </c>
      <c r="F1770" s="2" t="inlineStr">
        <is>
          <t>телефильм</t>
        </is>
      </c>
      <c r="G1770" s="2" t="n"/>
      <c r="H1770" s="2" t="n">
        <v>384</v>
      </c>
      <c r="I1770" s="2" t="inlineStr"/>
      <c r="J1770" s="2" t="inlineStr">
        <is>
          <t>да</t>
        </is>
      </c>
      <c r="K1770" s="3" t="inlineStr">
        <is>
          <t>По телеповести Эдварда Радзинского «Воспоминания...». В центре фильма - история талантливой женщины Ольги Сергеевны, занимающейся проблемами океанологии. "Красивая, но не желанная," - так сказал о ней еще в институте старый учитель профессор Никифоров. И действительно, сквозь всю жизнь Ольга пронесла любовь лишь к одному человеку, с которым ей так и не суждено было обрести счастье.</t>
        </is>
      </c>
      <c r="L1770" s="2" t="inlineStr">
        <is>
          <t>Кино_СССР сводный каталог.xlsx: список телефильмов</t>
        </is>
      </c>
      <c r="M1770" s="2">
        <f>HYPERLINK("https://ru.wikipedia.org/w/index.php?search=%D0%9E%D0%BB%D1%8C%D0%B3%D0%B0%20%D0%A1%D0%B5%D1%80%D0%B3%D0%B5%D0%B5%D0%B2%D0%BD%D0%B0%201975%20%D1%84%D0%B8%D0%BB%D1%8C%D0%BC","искать")</f>
        <v/>
      </c>
      <c r="N1770" s="3" t="n"/>
      <c r="O1770" s="2" t="n"/>
    </row>
    <row r="1771">
      <c r="A1771" s="2" t="n">
        <v>1770</v>
      </c>
      <c r="B1771" s="2" t="inlineStr">
        <is>
          <t>не сюжет</t>
        </is>
      </c>
      <c r="C1771" s="2" t="n">
        <v>8352</v>
      </c>
      <c r="D1771" s="3" t="inlineStr">
        <is>
          <t>Сказки старого волшебника</t>
        </is>
      </c>
      <c r="E1771" s="2" t="n">
        <v>1984</v>
      </c>
      <c r="F1771" s="2" t="inlineStr">
        <is>
          <t>телефильм</t>
        </is>
      </c>
      <c r="G1771" s="2" t="n"/>
      <c r="H1771" s="2" t="n">
        <v>387</v>
      </c>
      <c r="I1771" s="2" t="inlineStr"/>
      <c r="J1771" s="2" t="inlineStr">
        <is>
          <t>да</t>
        </is>
      </c>
      <c r="K1771" s="3" t="inlineStr">
        <is>
          <t>Музыкальная фантазия по мотивам сказок Шарля Перро, рассчитанная больше на взрослых, чем на детей. "Осовремененная" сказка. Песни на стихи Александра Тимофеевского. Самые узнаваемые герои и сюжеты Шарля Перро сплетаются в мире «Сказок старого волшебника», где живет добрая фея и злая колдунья, Золушка и Красная Шапочка, людоед и Синяя Борода, храбрый принц и его возлюбленная принцесса.</t>
        </is>
      </c>
      <c r="L1771" s="2" t="inlineStr">
        <is>
          <t>Кино_СССР сводный каталог.xlsx: список телефильмов</t>
        </is>
      </c>
      <c r="M1771" s="2">
        <f>HYPERLINK("https://ru.wikipedia.org/w/index.php?search=%D0%A1%D0%BA%D0%B0%D0%B7%D0%BA%D0%B8%20%D1%81%D1%82%D0%B0%D1%80%D0%BE%D0%B3%D0%BE%20%D0%B2%D0%BE%D0%BB%D1%88%D0%B5%D0%B1%D0%BD%D0%B8%D0%BA%D0%B0%201984%20%D1%84%D0%B8%D0%BB%D1%8C%D0%BC","искать")</f>
        <v/>
      </c>
      <c r="N1771" s="3" t="n"/>
      <c r="O1771" s="2" t="n"/>
    </row>
    <row r="1772">
      <c r="A1772" s="2" t="n">
        <v>1771</v>
      </c>
      <c r="B1772" s="2" t="inlineStr">
        <is>
          <t>не сюжет</t>
        </is>
      </c>
      <c r="C1772" s="2" t="n">
        <v>8577</v>
      </c>
      <c r="D1772" s="3" t="inlineStr">
        <is>
          <t>Шашмаком</t>
        </is>
      </c>
      <c r="E1772" s="2" t="n">
        <v>1972</v>
      </c>
      <c r="F1772" s="2" t="inlineStr">
        <is>
          <t>телефильм</t>
        </is>
      </c>
      <c r="G1772" s="2" t="n"/>
      <c r="H1772" s="2" t="n">
        <v>387</v>
      </c>
      <c r="I1772" s="2" t="inlineStr"/>
      <c r="J1772" s="2" t="inlineStr">
        <is>
          <t>да</t>
        </is>
      </c>
      <c r="K1772" s="3" t="inlineStr">
        <is>
          <t>«Имеются ли цвета, соответствующие той или иной музыке? Можно ли экранизировать музыку? Музыку надобно только слушать или же можно ее попытаться увидеть?» — такого рода вопросы встают при демонстрации музыкального художественного телевизионного фильма «Шашмаком». Лирико-драматические новеллы, вошедшие в фильм, имеют свои микрокомпозиции, свои образные решения, свой ритм повествования.</t>
        </is>
      </c>
      <c r="L1772" s="2" t="inlineStr">
        <is>
          <t>Кино_СССР сводный каталог.xlsx: список телефильмов</t>
        </is>
      </c>
      <c r="M1772" s="2">
        <f>HYPERLINK("https://ru.wikipedia.org/w/index.php?search=%D0%A8%D0%B0%D1%88%D0%BC%D0%B0%D0%BA%D0%BE%D0%BC%201972%20%D1%84%D0%B8%D0%BB%D1%8C%D0%BC","искать")</f>
        <v/>
      </c>
      <c r="N1772" s="3" t="n"/>
      <c r="O1772" s="2" t="n"/>
    </row>
    <row r="1773">
      <c r="A1773" s="2" t="n">
        <v>1772</v>
      </c>
      <c r="B1773" s="2" t="inlineStr">
        <is>
          <t>не сюжет</t>
        </is>
      </c>
      <c r="C1773" s="2" t="n">
        <v>10559</v>
      </c>
      <c r="D1773" s="3" t="inlineStr">
        <is>
          <t>Дом Островского</t>
        </is>
      </c>
      <c r="E1773" s="2" t="n">
        <v>1974</v>
      </c>
      <c r="F1773" s="2" t="inlineStr">
        <is>
          <t>фильм-спектакль</t>
        </is>
      </c>
      <c r="G1773" s="2" t="n"/>
      <c r="H1773" s="2" t="n">
        <v>389</v>
      </c>
      <c r="I1773" s="2" t="inlineStr"/>
      <c r="J1773" s="2" t="inlineStr">
        <is>
          <t>да</t>
        </is>
      </c>
      <c r="K1773" s="3" t="inlineStr">
        <is>
          <t>Постановка Государственного академического Малого театра.
В фильм-спектакль, посвященный памяти Александра Николаевича Островского, вошли фрагменты спектаклей, поставленных по пьесам драматурга: "Свои люди - сочтемся", "Гроза", "Волки и овцы", "Пучина", "Снегурочка", "Сердце не камень", "Светит, да не греет", "Бешеные деньги", "Правда - хорошо, а счастье лучше", "Не все коту масленица".</t>
        </is>
      </c>
      <c r="L1773" s="2" t="inlineStr">
        <is>
          <t>https://www.kino-teatr.ru/teatr/movie/81728/annot/</t>
        </is>
      </c>
      <c r="M1773" s="2">
        <f>HYPERLINK("https://ru.wikipedia.org/w/index.php?search=%D0%94%D0%BE%D0%BC%20%D0%9E%D1%81%D1%82%D1%80%D0%BE%D0%B2%D1%81%D0%BA%D0%BE%D0%B3%D0%BE%201974%20%D1%84%D0%B8%D0%BB%D1%8C%D0%BC","искать")</f>
        <v/>
      </c>
      <c r="N1773" s="3" t="n"/>
      <c r="O1773" s="2" t="n"/>
    </row>
    <row r="1774">
      <c r="A1774" s="2" t="n">
        <v>1773</v>
      </c>
      <c r="B1774" s="2" t="inlineStr">
        <is>
          <t>не сюжет</t>
        </is>
      </c>
      <c r="C1774" s="2" t="n">
        <v>8125</v>
      </c>
      <c r="D1774" s="3" t="inlineStr">
        <is>
          <t>По следу резвого коня</t>
        </is>
      </c>
      <c r="E1774" s="2" t="n">
        <v>1981</v>
      </c>
      <c r="F1774" s="2" t="inlineStr">
        <is>
          <t>телефильм</t>
        </is>
      </c>
      <c r="G1774" s="2" t="n"/>
      <c r="H1774" s="2" t="n">
        <v>391</v>
      </c>
      <c r="I1774" s="2" t="inlineStr"/>
      <c r="J1774" s="2" t="inlineStr">
        <is>
          <t>да</t>
        </is>
      </c>
      <c r="K1774" s="3" t="inlineStr">
        <is>
          <t>В центре телефильма – судьба двух братьев Ялкина и Турсуна Атаджановых. Старший брат Ялкин – человек неуемной энергии, незаурядных организаторских способностей, одержимый идеей преобразования земли, мечтающий о небывалом урожае хлопка на пустынных землях. Турсун же пытается уйти от опеки старшего брата, найти свой путь в жизни, утвердиться как личность, не зависящая от популярности брата.</t>
        </is>
      </c>
      <c r="L1774" s="2" t="inlineStr">
        <is>
          <t>Кино_СССР сводный каталог.xlsx: список телефильмов</t>
        </is>
      </c>
      <c r="M1774" s="2">
        <f>HYPERLINK("https://ru.wikipedia.org/w/index.php?search=%D0%9F%D0%BE%20%D1%81%D0%BB%D0%B5%D0%B4%D1%83%20%D1%80%D0%B5%D0%B7%D0%B2%D0%BE%D0%B3%D0%BE%20%D0%BA%D0%BE%D0%BD%D1%8F%201981%20%D1%84%D0%B8%D0%BB%D1%8C%D0%BC","искать")</f>
        <v/>
      </c>
      <c r="N1774" s="3" t="n"/>
      <c r="O1774" s="2" t="n"/>
    </row>
    <row r="1775">
      <c r="A1775" s="2" t="n">
        <v>1774</v>
      </c>
      <c r="B1775" s="2" t="inlineStr">
        <is>
          <t>не сюжет</t>
        </is>
      </c>
      <c r="C1775" s="2" t="n">
        <v>10789</v>
      </c>
      <c r="D1775" s="3" t="inlineStr">
        <is>
          <t>Сказка за сказкой (1978-2000)</t>
        </is>
      </c>
      <c r="E1775" s="2" t="n">
        <v>1978</v>
      </c>
      <c r="F1775" s="2" t="inlineStr">
        <is>
          <t>фильм-спектакль</t>
        </is>
      </c>
      <c r="G1775" s="2" t="n"/>
      <c r="H1775" s="2" t="n">
        <v>391</v>
      </c>
      <c r="I1775" s="2" t="inlineStr"/>
      <c r="J1775" s="2" t="inlineStr">
        <is>
          <t>да</t>
        </is>
      </c>
      <c r="K1775" s="3" t="inlineStr">
        <is>
          <t>«Сказка за сказкой» – детская телепередача Ленинградского телевидения, выходившая в эфир более двадцати лет. Программа транслировалась не только на Ленинград, но и другие российские города, а также Польшу и Чехословакию. Это были телевизионные постановки сказок народов мира.
Ведущими передачи по очереди были Петрушка, солдат Иван Варежкин и Чёрт, а также актёр и композитор Роман Рязанцев.</t>
        </is>
      </c>
      <c r="L1775" s="2" t="inlineStr">
        <is>
          <t>https://www.kino-teatr.ru/teatr/movie/93184/annot/</t>
        </is>
      </c>
      <c r="M1775" s="2">
        <f>HYPERLINK("https://ru.wikipedia.org/w/index.php?search=%D0%A1%D0%BA%D0%B0%D0%B7%D0%BA%D0%B0%20%D0%B7%D0%B0%20%D1%81%D0%BA%D0%B0%D0%B7%D0%BA%D0%BE%D0%B9%20%281978-2000%29%201978%20%D1%84%D0%B8%D0%BB%D1%8C%D0%BC","искать")</f>
        <v/>
      </c>
      <c r="N1775" s="3" t="n"/>
      <c r="O1775" s="2" t="n"/>
    </row>
    <row r="1776">
      <c r="A1776" s="2" t="n">
        <v>1775</v>
      </c>
      <c r="B1776" s="2" t="inlineStr">
        <is>
          <t>не сюжет</t>
        </is>
      </c>
      <c r="C1776" s="2" t="n">
        <v>7452</v>
      </c>
      <c r="D1776" s="3" t="inlineStr">
        <is>
          <t>Город над головой</t>
        </is>
      </c>
      <c r="E1776" s="2" t="n">
        <v>1985</v>
      </c>
      <c r="F1776" s="2" t="inlineStr">
        <is>
          <t>телефильм</t>
        </is>
      </c>
      <c r="G1776" s="2" t="n"/>
      <c r="H1776" s="2" t="n">
        <v>392</v>
      </c>
      <c r="I1776" s="2" t="inlineStr"/>
      <c r="J1776" s="2" t="inlineStr">
        <is>
          <t>да</t>
        </is>
      </c>
      <c r="K1776" s="3" t="inlineStr">
        <is>
          <t>Телесериал. Режиссер Геннадий Павлов о фильме: "Проблема преемственности поколений воспринимается в наше время особенно остро. Поэтому сюжет о семейной династии метростроевцев выбран не случайно. Нас вместе со сценаристами Иосифом и Виктором Ольшанскими побудило стремление отдать дань уважения строителям Московского метро и зрителей "заразить" оптимизмом наших героев, одержимых этой идеей.</t>
        </is>
      </c>
      <c r="L1776" s="2" t="inlineStr">
        <is>
          <t>Кино_СССР сводный каталог.xlsx: список телефильмов</t>
        </is>
      </c>
      <c r="M1776" s="2">
        <f>HYPERLINK("https://ru.wikipedia.org/w/index.php?search=%D0%93%D0%BE%D1%80%D0%BE%D0%B4%20%D0%BD%D0%B0%D0%B4%20%D0%B3%D0%BE%D0%BB%D0%BE%D0%B2%D0%BE%D0%B9%201985%20%D1%84%D0%B8%D0%BB%D1%8C%D0%BC","искать")</f>
        <v/>
      </c>
      <c r="N1776" s="3" t="n"/>
      <c r="O1776" s="2" t="n"/>
    </row>
    <row r="1777">
      <c r="A1777" s="2" t="n">
        <v>1776</v>
      </c>
      <c r="B1777" s="2" t="inlineStr">
        <is>
          <t>не сюжет</t>
        </is>
      </c>
      <c r="C1777" s="2" t="n">
        <v>9347</v>
      </c>
      <c r="D1777" s="3" t="inlineStr">
        <is>
          <t>Дохунда</t>
        </is>
      </c>
      <c r="E1777" s="2" t="n">
        <v>1936</v>
      </c>
      <c r="F1777" s="2" t="inlineStr">
        <is>
          <t>кинофильм</t>
        </is>
      </c>
      <c r="G1777" s="2" t="n"/>
      <c r="H1777" s="2" t="n">
        <v>393</v>
      </c>
      <c r="I1777" s="2" t="inlineStr"/>
      <c r="J1777" s="2" t="inlineStr">
        <is>
          <t>да</t>
        </is>
      </c>
      <c r="K1777" s="3" t="inlineStr">
        <is>
          <t>Легендарный фильм Льва Кулешова, экранизация романа Садриддина Айни, который должен был стать первым среднеазиатским полнометражным игровым фильмом, но остался незаконченным. Эта работа сильно повлияла на создание своеобразного стиля среднеазиатского кинематографа советского периода. Восстановлена на основе оригинального режиссёрского сценария, иллюстрированного кадрами актёрских репетиций.</t>
        </is>
      </c>
      <c r="L1777" s="2" t="inlineStr">
        <is>
          <t>Кино_СССР сводный каталог.xlsx: список фильмов (доп.)</t>
        </is>
      </c>
      <c r="M1777" s="2">
        <f>HYPERLINK("https://ru.wikipedia.org/w/index.php?search=%D0%94%D0%BE%D1%85%D1%83%D0%BD%D0%B4%D0%B0%201936%20%D1%84%D0%B8%D0%BB%D1%8C%D0%BC","искать")</f>
        <v/>
      </c>
      <c r="N1777" s="3" t="n"/>
      <c r="O1777" s="2" t="n"/>
    </row>
    <row r="1778">
      <c r="A1778" s="2" t="n">
        <v>1777</v>
      </c>
      <c r="B1778" s="2" t="inlineStr">
        <is>
          <t>не сюжет</t>
        </is>
      </c>
      <c r="C1778" s="2" t="n">
        <v>9664</v>
      </c>
      <c r="D1778" s="3" t="inlineStr">
        <is>
          <t>Сорок сердец</t>
        </is>
      </c>
      <c r="E1778" s="2" t="n">
        <v>1930</v>
      </c>
      <c r="F1778" s="2" t="inlineStr">
        <is>
          <t>кинофильм</t>
        </is>
      </c>
      <c r="G1778" s="2" t="n"/>
      <c r="H1778" s="2" t="n">
        <v>394</v>
      </c>
      <c r="I1778" s="2" t="inlineStr"/>
      <c r="J1778" s="2" t="inlineStr">
        <is>
          <t>да</t>
        </is>
      </c>
      <c r="K1778" s="3" t="inlineStr">
        <is>
          <t>Чёрно-белый немой агитационный фильм. В картине соединены документальные и игровые кадры, а также мультипликационные вставки, выполненные одним из основателей советской мультипликации Иваном Ивановым-Вано. Фильм был снят к 10-летию плана ГОЭЛРО. Сорок сердец — это строящиеся в соответствии с планом сорок районных электростанций, которые будут снабжать энергией социалистическое строительство.</t>
        </is>
      </c>
      <c r="L1778" s="2" t="inlineStr">
        <is>
          <t>Кино_СССР сводный каталог.xlsx: список фильмов (доп.)</t>
        </is>
      </c>
      <c r="M1778" s="2">
        <f>HYPERLINK("https://ru.wikipedia.org/w/index.php?search=%D0%A1%D0%BE%D1%80%D0%BE%D0%BA%20%D1%81%D0%B5%D1%80%D0%B4%D0%B5%D1%86%201930%20%D1%84%D0%B8%D0%BB%D1%8C%D0%BC","искать")</f>
        <v/>
      </c>
      <c r="N1778" s="3" t="n"/>
      <c r="O1778" s="2" t="n"/>
    </row>
    <row r="1779">
      <c r="A1779" s="2" t="n">
        <v>1778</v>
      </c>
      <c r="B1779" s="2" t="inlineStr">
        <is>
          <t>не сюжет</t>
        </is>
      </c>
      <c r="C1779" s="2" t="n">
        <v>10828</v>
      </c>
      <c r="D1779" s="3" t="inlineStr">
        <is>
          <t>Этот фантастический мир. Выпуск 2</t>
        </is>
      </c>
      <c r="E1779" s="2" t="n">
        <v>1979</v>
      </c>
      <c r="F1779" s="2" t="inlineStr">
        <is>
          <t>фильм-спектакль</t>
        </is>
      </c>
      <c r="G1779" s="2" t="inlineStr">
        <is>
          <t>Главная редакция программ для детей и юношества ЦТ</t>
        </is>
      </c>
      <c r="H1779" s="2" t="n">
        <v>396</v>
      </c>
      <c r="I1779" s="2" t="inlineStr"/>
      <c r="J1779" s="2" t="inlineStr">
        <is>
          <t>да</t>
        </is>
      </c>
      <c r="K1779" s="3" t="inlineStr">
        <is>
          <t>Во втором выпуске популярного цикла "Этот фантастический мир" зрителям были представлены фрагменты произведений советских и зарубежных фантастов: "Алло, Парнас!" Валентина Берестова, "Янки при дворе короля Артура" Марка Твена, "Маракотова бездна" Артура Конан Дойля и "Победитель невозможного" Евгения Велтистова.
Начиная с этого выпуска постоянным ведущим передачи стал космонавт Георгий Гречко.</t>
        </is>
      </c>
      <c r="L1779" s="2" t="inlineStr">
        <is>
          <t>https://www.kino-teatr.ru/teatr/movie/16650/annot/</t>
        </is>
      </c>
      <c r="M1779" s="2">
        <f>HYPERLINK("https://ru.wikipedia.org/w/index.php?search=%D0%AD%D1%82%D0%BE%D1%82%20%D1%84%D0%B0%D0%BD%D1%82%D0%B0%D1%81%D1%82%D0%B8%D1%87%D0%B5%D1%81%D0%BA%D0%B8%D0%B9%20%D0%BC%D0%B8%D1%80.%20%D0%92%D1%8B%D0%BF%D1%83%D1%81%D0%BA%202%201979%20%D1%84%D0%B8%D0%BB%D1%8C%D0%BC","искать")</f>
        <v/>
      </c>
      <c r="N1779" s="3" t="n"/>
      <c r="O1779" s="2" t="n"/>
    </row>
    <row r="1780">
      <c r="A1780" s="2" t="n">
        <v>1779</v>
      </c>
      <c r="B1780" s="2" t="inlineStr">
        <is>
          <t>не сюжет</t>
        </is>
      </c>
      <c r="C1780" s="2" t="n">
        <v>8562</v>
      </c>
      <c r="D1780" s="3" t="inlineStr">
        <is>
          <t>Чинара</t>
        </is>
      </c>
      <c r="E1780" s="2" t="n">
        <v>1973</v>
      </c>
      <c r="F1780" s="2" t="inlineStr">
        <is>
          <t>телефильм</t>
        </is>
      </c>
      <c r="G1780" s="2" t="n"/>
      <c r="H1780" s="2" t="n">
        <v>400</v>
      </c>
      <c r="I1780" s="2" t="inlineStr"/>
      <c r="J1780" s="2" t="inlineStr">
        <is>
          <t>да</t>
        </is>
      </c>
      <c r="K1780" s="3" t="inlineStr">
        <is>
          <t>По мотивам одноименного романа Аскада Мухтара. О семье старика Ачила-Бува, о его детях и внуках, живущих в узбекском кишлаке, о старой чинаре, прикрывающей своими ветвями молодую поросль. Старик всегда оказывается в трудную минуту с теми, кому нужны его совет и помощь. И "пока шумит старая чинара своей листвой, будем живы и мы", - так говорил его дед, так будут говорить его внуки, и дети их детей.</t>
        </is>
      </c>
      <c r="L1780" s="2" t="inlineStr">
        <is>
          <t>Кино_СССР сводный каталог.xlsx: список телефильмов</t>
        </is>
      </c>
      <c r="M1780" s="2">
        <f>HYPERLINK("https://ru.wikipedia.org/w/index.php?search=%D0%A7%D0%B8%D0%BD%D0%B0%D1%80%D0%B0%201973%20%D1%84%D0%B8%D0%BB%D1%8C%D0%BC","искать")</f>
        <v/>
      </c>
      <c r="N1780" s="3" t="n"/>
      <c r="O1780" s="2" t="n"/>
    </row>
    <row r="1781">
      <c r="A1781" s="2" t="n">
        <v>1780</v>
      </c>
      <c r="B1781" s="2" t="inlineStr">
        <is>
          <t>не сюжет</t>
        </is>
      </c>
      <c r="C1781" s="2" t="n">
        <v>10857</v>
      </c>
      <c r="D1781" s="3" t="inlineStr">
        <is>
          <t>Патриоты</t>
        </is>
      </c>
      <c r="E1781" s="2" t="n">
        <v>1980</v>
      </c>
      <c r="F1781" s="2" t="inlineStr">
        <is>
          <t>фильм-спектакль</t>
        </is>
      </c>
      <c r="G1781" s="2" t="inlineStr">
        <is>
          <t>Литовское телевидение</t>
        </is>
      </c>
      <c r="H1781" s="2" t="n">
        <v>400</v>
      </c>
      <c r="I1781" s="2" t="inlineStr"/>
      <c r="J1781" s="2" t="inlineStr">
        <is>
          <t>да</t>
        </is>
      </c>
      <c r="K1781" s="3" t="inlineStr">
        <is>
          <t>По одноименной пьесе П.Вайчюлайтиса.
Мошенничество чиновников, жажда денег и хорошей жизни, их аморальность сравнивается с порядочностью интеллигенции, интриги и страх всё потерять, когда меняется власть; создаются комические ситуации только, кажется, не надо верить, что что-то изменится, потому что кресло чиновника меняет и приличных людей.... идея пьесы и спектакля посмеяться над пороками людей.</t>
        </is>
      </c>
      <c r="L1781" s="2" t="inlineStr">
        <is>
          <t>https://www.kino-teatr.ru/teatr/movie/107326/annot/</t>
        </is>
      </c>
      <c r="M1781" s="2">
        <f>HYPERLINK("https://ru.wikipedia.org/w/index.php?search=%D0%9F%D0%B0%D1%82%D1%80%D0%B8%D0%BE%D1%82%D1%8B%201980%20%D1%84%D0%B8%D0%BB%D1%8C%D0%BC","искать")</f>
        <v/>
      </c>
      <c r="N1781" s="3" t="n"/>
      <c r="O1781" s="2" t="n"/>
    </row>
    <row r="1782">
      <c r="A1782" s="2" t="n">
        <v>1781</v>
      </c>
      <c r="B1782" s="2" t="inlineStr">
        <is>
          <t>не сюжет</t>
        </is>
      </c>
      <c r="C1782" s="2" t="n">
        <v>9204</v>
      </c>
      <c r="D1782" s="3" t="inlineStr">
        <is>
          <t>Анна Карамазофф</t>
        </is>
      </c>
      <c r="E1782" s="2" t="n">
        <v>1991</v>
      </c>
      <c r="F1782" s="2" t="inlineStr">
        <is>
          <t>кинофильм</t>
        </is>
      </c>
      <c r="G1782" s="2" t="inlineStr">
        <is>
          <t>«Мосфильм», Киностудия «Круг», «Мосимедиа»; «Victoria film», «Паримедиа»</t>
        </is>
      </c>
      <c r="H1782" s="2" t="n">
        <v>401</v>
      </c>
      <c r="I1782" s="2" t="inlineStr"/>
      <c r="J1782" s="2" t="inlineStr">
        <is>
          <t>да</t>
        </is>
      </c>
      <c r="K1782" s="3" t="inlineStr">
        <is>
          <t>Название "Анна Карамазофф" соответствует представлению иностранцев о России, которые смутно помнят, что это родина Толстого и Достоевского, "Анны Карениной" и "Братьев Карамазовых". Фильм сделан в эстетике немого кино. Здесь пересекаются сны и судьбы героинь предыдущих фильмов Рустама Хамдамова (уничтоженного в 1974 году фильма «Нечаянные радости» и студенческой работы «В горах мое сердце» — 1968).</t>
        </is>
      </c>
      <c r="L1782" s="2" t="inlineStr">
        <is>
          <t>Кино_СССР сводный каталог.xlsx: список фильмов (доп.)</t>
        </is>
      </c>
      <c r="M1782" s="2">
        <f>HYPERLINK("https://ru.wikipedia.org/w/index.php?search=%D0%90%D0%BD%D0%BD%D0%B0%20%D0%9A%D0%B0%D1%80%D0%B0%D0%BC%D0%B0%D0%B7%D0%BE%D1%84%D1%84%201991%20%D1%84%D0%B8%D0%BB%D1%8C%D0%BC","искать")</f>
        <v/>
      </c>
      <c r="N1782" s="3" t="n"/>
      <c r="O1782" s="2" t="n"/>
    </row>
    <row r="1783">
      <c r="A1783" s="2" t="n">
        <v>1782</v>
      </c>
      <c r="B1783" s="2" t="inlineStr">
        <is>
          <t>не сюжет</t>
        </is>
      </c>
      <c r="C1783" s="2" t="n">
        <v>10735</v>
      </c>
      <c r="D1783" s="3" t="inlineStr">
        <is>
          <t>Господа Головлёвы</t>
        </is>
      </c>
      <c r="E1783" s="2" t="n">
        <v>1978</v>
      </c>
      <c r="F1783" s="2" t="inlineStr">
        <is>
          <t>фильм-спектакль</t>
        </is>
      </c>
      <c r="G1783" s="2" t="inlineStr">
        <is>
          <t>Творческое объединение "Экран"</t>
        </is>
      </c>
      <c r="H1783" s="2" t="n">
        <v>401</v>
      </c>
      <c r="I1783" s="2" t="inlineStr"/>
      <c r="J1783" s="2" t="inlineStr">
        <is>
          <t>да</t>
        </is>
      </c>
      <c r="K1783" s="3" t="inlineStr">
        <is>
          <t>По одноименному роману М. Е. Салтыкова-Щедрина в постановке Государственного академического Малого театра Союза ССР.
Спектакль «Господа Головлевы» по роману Салтыкова-Щедрина ярко, образно и с большим мастерством преподносит нам дух той эпохи, которую Н. Некрасов определил как: «Бывали хуже времена, но не было подлей». Отчетливо проступает образ нынешней России, хотя произведению уже более 130 лет.</t>
        </is>
      </c>
      <c r="L1783" s="2" t="inlineStr">
        <is>
          <t>https://www.kino-teatr.ru/teatr/movie/79996/annot/</t>
        </is>
      </c>
      <c r="M1783" s="2">
        <f>HYPERLINK("https://ru.wikipedia.org/w/index.php?search=%D0%93%D0%BE%D1%81%D0%BF%D0%BE%D0%B4%D0%B0%20%D0%93%D0%BE%D0%BB%D0%BE%D0%B2%D0%BB%D1%91%D0%B2%D1%8B%201978%20%D1%84%D0%B8%D0%BB%D1%8C%D0%BC","искать")</f>
        <v/>
      </c>
      <c r="N1783" s="3" t="n"/>
      <c r="O1783" s="2" t="n"/>
    </row>
    <row r="1784">
      <c r="A1784" s="2" t="n">
        <v>1783</v>
      </c>
      <c r="B1784" s="2" t="inlineStr">
        <is>
          <t>не сюжет</t>
        </is>
      </c>
      <c r="C1784" s="2" t="n">
        <v>7369</v>
      </c>
      <c r="D1784" s="3" t="inlineStr">
        <is>
          <t>Волшебный камень</t>
        </is>
      </c>
      <c r="E1784" s="2" t="n">
        <v>1979</v>
      </c>
      <c r="F1784" s="2" t="inlineStr">
        <is>
          <t>телефильм</t>
        </is>
      </c>
      <c r="G1784" s="2" t="n"/>
      <c r="H1784" s="2" t="n">
        <v>402</v>
      </c>
      <c r="I1784" s="2" t="inlineStr"/>
      <c r="J1784" s="2" t="inlineStr">
        <is>
          <t>да</t>
        </is>
      </c>
      <c r="K1784" s="3" t="inlineStr">
        <is>
          <t>Веселую и немного страшную историю написала эстонская советская писательница Хельо Мянд (1926-2020). В одном, казалось бы, довольно обычном лесу живут бабушка-кролик Сабине, бабушка-волк Суси Зуузи и бабушка-медведь Адельхейд вместе со своими внуками Мааре, Суло и Тайси. Неподалеку от их домов посреди лесной поляны стоит серый мшистый камень, который ничем не предаст свою тайну случайному прохожему.</t>
        </is>
      </c>
      <c r="L1784" s="2" t="inlineStr">
        <is>
          <t>Кино_СССР сводный каталог.xlsx: список телефильмов</t>
        </is>
      </c>
      <c r="M1784" s="2">
        <f>HYPERLINK("https://ru.wikipedia.org/w/index.php?search=%D0%92%D0%BE%D0%BB%D1%88%D0%B5%D0%B1%D0%BD%D1%8B%D0%B9%20%D0%BA%D0%B0%D0%BC%D0%B5%D0%BD%D1%8C%201979%20%D1%84%D0%B8%D0%BB%D1%8C%D0%BC","искать")</f>
        <v/>
      </c>
      <c r="N1784" s="3" t="n"/>
      <c r="O1784" s="2" t="n"/>
    </row>
    <row r="1785">
      <c r="A1785" s="2" t="n">
        <v>1784</v>
      </c>
      <c r="B1785" s="2" t="inlineStr">
        <is>
          <t>не сюжет</t>
        </is>
      </c>
      <c r="C1785" s="2" t="n">
        <v>11218</v>
      </c>
      <c r="D1785" s="3" t="inlineStr">
        <is>
          <t>Новоселье в старом доме</t>
        </is>
      </c>
      <c r="E1785" s="2" t="n">
        <v>1988</v>
      </c>
      <c r="F1785" s="2" t="inlineStr">
        <is>
          <t>фильм-спектакль</t>
        </is>
      </c>
      <c r="G1785" s="2" t="inlineStr">
        <is>
          <t>Главная редакция литературно-драматических программ ЦТ</t>
        </is>
      </c>
      <c r="H1785" s="2" t="n">
        <v>402</v>
      </c>
      <c r="I1785" s="2" t="inlineStr"/>
      <c r="J1785" s="2" t="inlineStr">
        <is>
          <t>да</t>
        </is>
      </c>
      <c r="K1785" s="3" t="inlineStr">
        <is>
          <t>По одноименной пьесе Александра Кравцова в постановке Московского драматического театра имени К.С. Станиславского.
Героини спектакля - Дарья Власьевна и Никодимовна - живут в одной коммунальной квартире. Тяжелые испытания в годы Великой Отечественной войны выпали на долю этих женщин. Однако на всю жизнь они сохранили веру в добро и справедливость, готовность в любую минуту придти на помощь ближнему.</t>
        </is>
      </c>
      <c r="L1785" s="2" t="inlineStr">
        <is>
          <t>https://www.kino-teatr.ru/teatr/movie/81692/annot/</t>
        </is>
      </c>
      <c r="M1785" s="2">
        <f>HYPERLINK("https://ru.wikipedia.org/w/index.php?search=%D0%9D%D0%BE%D0%B2%D0%BE%D1%81%D0%B5%D0%BB%D1%8C%D0%B5%20%D0%B2%20%D1%81%D1%82%D0%B0%D1%80%D0%BE%D0%BC%20%D0%B4%D0%BE%D0%BC%D0%B5%201988%20%D1%84%D0%B8%D0%BB%D1%8C%D0%BC","искать")</f>
        <v/>
      </c>
      <c r="N1785" s="3" t="n"/>
      <c r="O1785" s="2" t="n"/>
    </row>
    <row r="1786">
      <c r="A1786" s="2" t="n">
        <v>1785</v>
      </c>
      <c r="B1786" s="2" t="inlineStr">
        <is>
          <t>не сюжет</t>
        </is>
      </c>
      <c r="C1786" s="2" t="n">
        <v>7594</v>
      </c>
      <c r="D1786" s="3" t="inlineStr">
        <is>
          <t>Жертва науки</t>
        </is>
      </c>
      <c r="E1786" s="2" t="n">
        <v>1981</v>
      </c>
      <c r="F1786" s="2" t="inlineStr">
        <is>
          <t>телефильм</t>
        </is>
      </c>
      <c r="G1786" s="2" t="n"/>
      <c r="H1786" s="2" t="n">
        <v>403</v>
      </c>
      <c r="I1786" s="2" t="inlineStr"/>
      <c r="J1786" s="2" t="inlineStr">
        <is>
          <t>да</t>
        </is>
      </c>
      <c r="K1786" s="3" t="inlineStr">
        <is>
          <t>По мотивам одноименной новеллы известного югославского писателя Бранислава Нушича. Сатирическая кинокомедия об однообразной, скучной и во многом бессмысленной жизни мелких чиновников в неком провинциальном городе. Действие фильма происходит в начале XX столетия. Господин Паё - бесценный работник канцелярии уездной управы, он может наизусть назвать номер и число издания любого приказа и постановления.</t>
        </is>
      </c>
      <c r="L1786" s="2" t="inlineStr">
        <is>
          <t>Кино_СССР сводный каталог.xlsx: список телефильмов</t>
        </is>
      </c>
      <c r="M1786" s="2">
        <f>HYPERLINK("https://ru.wikipedia.org/w/index.php?search=%D0%96%D0%B5%D1%80%D1%82%D0%B2%D0%B0%20%D0%BD%D0%B0%D1%83%D0%BA%D0%B8%201981%20%D1%84%D0%B8%D0%BB%D1%8C%D0%BC","искать")</f>
        <v/>
      </c>
      <c r="N1786" s="3" t="n"/>
      <c r="O1786" s="2" t="n"/>
    </row>
    <row r="1787">
      <c r="A1787" s="2" t="n">
        <v>1786</v>
      </c>
      <c r="B1787" s="2" t="inlineStr">
        <is>
          <t>не сюжет</t>
        </is>
      </c>
      <c r="C1787" s="2" t="n">
        <v>10880</v>
      </c>
      <c r="D1787" s="3" t="inlineStr">
        <is>
          <t>Доходное место</t>
        </is>
      </c>
      <c r="E1787" s="2" t="n">
        <v>1981</v>
      </c>
      <c r="F1787" s="2" t="inlineStr">
        <is>
          <t>фильм-спектакль</t>
        </is>
      </c>
      <c r="G1787" s="2" t="n"/>
      <c r="H1787" s="2" t="n">
        <v>403</v>
      </c>
      <c r="I1787" s="2" t="inlineStr"/>
      <c r="J1787" s="2" t="inlineStr">
        <is>
          <t>да</t>
        </is>
      </c>
      <c r="K1787" s="3" t="inlineStr">
        <is>
          <t>Знаменитый спектакль Малого театра в постановке Михаила Царева. Из всех великих комедий Островского «Доходное место» меньше других располагает к умилению стариной или заковыристыми русскими словечками. Тут не до благолепия: речь идет о том, как реальная жизнь буквально выворачивает молодому человеку руки и вправляет ему мозги, а значит, заставляет забыть о высоких книжных идеалах чести и достоинства.</t>
        </is>
      </c>
      <c r="L1787" s="2" t="inlineStr">
        <is>
          <t>https://www.kino-teatr.ru/teatr/movie/81729/annot/</t>
        </is>
      </c>
      <c r="M1787" s="2">
        <f>HYPERLINK("https://ru.wikipedia.org/w/index.php?search=%D0%94%D0%BE%D1%85%D0%BE%D0%B4%D0%BD%D0%BE%D0%B5%20%D0%BC%D0%B5%D1%81%D1%82%D0%BE%201981%20%D1%84%D0%B8%D0%BB%D1%8C%D0%BC","искать")</f>
        <v/>
      </c>
      <c r="N1787" s="3" t="n"/>
      <c r="O1787" s="2" t="n"/>
    </row>
    <row r="1788">
      <c r="A1788" s="2" t="n">
        <v>1787</v>
      </c>
      <c r="B1788" s="2" t="inlineStr">
        <is>
          <t>не сюжет</t>
        </is>
      </c>
      <c r="C1788" s="2" t="n">
        <v>9454</v>
      </c>
      <c r="D1788" s="3" t="inlineStr">
        <is>
          <t>Линия смерти</t>
        </is>
      </c>
      <c r="E1788" s="2" t="n">
        <v>1991</v>
      </c>
      <c r="F1788" s="2" t="inlineStr">
        <is>
          <t>кинофильм</t>
        </is>
      </c>
      <c r="G1788" s="2" t="n"/>
      <c r="H1788" s="2" t="n">
        <v>404</v>
      </c>
      <c r="I1788" s="2" t="inlineStr"/>
      <c r="J1788" s="2" t="inlineStr">
        <is>
          <t>да</t>
        </is>
      </c>
      <c r="K1788" s="3" t="inlineStr">
        <is>
          <t>По мотивам романа Виктора Черняка "Правила Рори". Герой фильма, талантливый мастер-стеклодув Никольский, чьи произведения выставляются на вернисажах, одинокий человек, живущий в изысканно обставленной квартире с овчаркой по кличке Питер. Но это - одна сторона его жизни. С другой стороны, Сергей Сергеевич - виртуозный убийца-профессионал, оправдывающий свои преступления тем, что убивает только "мразь".</t>
        </is>
      </c>
      <c r="L1788" s="2" t="inlineStr">
        <is>
          <t>Кино_СССР сводный каталог.xlsx: список фильмов (доп.)</t>
        </is>
      </c>
      <c r="M1788" s="2">
        <f>HYPERLINK("https://ru.wikipedia.org/w/index.php?search=%D0%9B%D0%B8%D0%BD%D0%B8%D1%8F%20%D1%81%D0%BC%D0%B5%D1%80%D1%82%D0%B8%201991%20%D1%84%D0%B8%D0%BB%D1%8C%D0%BC","искать")</f>
        <v/>
      </c>
      <c r="N1788" s="3" t="n"/>
      <c r="O1788" s="2" t="n"/>
    </row>
    <row r="1789">
      <c r="A1789" s="2" t="n">
        <v>1788</v>
      </c>
      <c r="B1789" s="2" t="inlineStr">
        <is>
          <t>не сюжет</t>
        </is>
      </c>
      <c r="C1789" s="2" t="n">
        <v>10865</v>
      </c>
      <c r="D1789" s="3" t="inlineStr">
        <is>
          <t>Р РµРІРЅРёРІР°СЏ Рє СЃРµР±Рµ СЃР°РјРѕР№</t>
        </is>
      </c>
      <c r="E1789" s="2" t="n">
        <v>1980</v>
      </c>
      <c r="F1789" s="2" t="inlineStr">
        <is>
          <t>фильм-спектакль</t>
        </is>
      </c>
      <c r="G1789" s="2" t="n"/>
      <c r="H1789" s="2" t="n">
        <v>404</v>
      </c>
      <c r="I1789" s="2" t="inlineStr"/>
      <c r="J1789" s="2" t="inlineStr">
        <is>
          <t>да</t>
        </is>
      </c>
      <c r="K1789" s="3" t="inlineStr">
        <is>
          <t>РџРѕ РѕРґРЅРѕРёРјРµРЅРЅРѕР№ РєРѕРјРµРґРёРё РўРёСЂСЃРѕ РґРµ РњРѕР»РёРЅС‹ РІ РїРѕСЃС‚Р°РЅРѕРІРєРµ Р“РѕСЃСѓРґР°СЂСЃС‚РІРµРЅРЅРѕРіРѕ Р°РєР°РґРµРјРёС‡РµСЃРєРѕРіРѕ РњР°Р»РѕРіРѕ С‚РµР°С‚СЂР° РЎРѕСЋР·Р° РЎРЎР . РЎСЋР¶РµС‚ РїРѕСЃС‚СЂРѕРµРЅ РЅР° РјРЅРѕР¶РµСЃС‚РІРµ С‡РёСЃС‚Рѕ С‚РµР°С‚СЂР°Р»СЊРЅС‹С… СѓСЃР»РѕРІРЅРѕСЃС‚РµР№, С…Р°СЂР°РєС‚РµСЂРЅС‹С… РґР»СЏ РёСЃРїР°РЅСЃРєРёС… РєРѕРјРµРґРёР№ "РїР»Р°С‰Р° Рё С€РїР°РіРё".</t>
        </is>
      </c>
      <c r="L1789" s="2" t="inlineStr">
        <is>
          <t>https://www.kino-teatr.ru/teatr/movie/37784/annot/</t>
        </is>
      </c>
      <c r="M1789" s="2">
        <f>HYPERLINK("https://ru.wikipedia.org/w/index.php?search=%D0%A0%20%D0%A0%C2%B5%D0%A0%D0%86%D0%A0%D0%85%D0%A0%D1%91%D0%A0%D0%86%D0%A0%C2%B0%D0%A1%D0%8F%20%D0%A0%D1%94%20%D0%A1%D0%83%D0%A0%C2%B5%D0%A0%C2%B1%D0%A0%C2%B5%20%D0%A1%D0%83%D0%A0%C2%B0%D0%A0%D1%98%D0%A0%D1%95%D0%A0%E2%84%96%201980%20%D1%84%D0%B8%D0%BB%D1%8C%D0%BC","искать")</f>
        <v/>
      </c>
      <c r="N1789" s="3" t="n"/>
      <c r="O1789" s="2" t="n"/>
    </row>
    <row r="1790">
      <c r="A1790" s="2" t="n">
        <v>1789</v>
      </c>
      <c r="B1790" s="2" t="inlineStr">
        <is>
          <t>не сюжет</t>
        </is>
      </c>
      <c r="C1790" s="2" t="n">
        <v>8297</v>
      </c>
      <c r="D1790" s="3" t="inlineStr">
        <is>
          <t>Самые быстрые в мире</t>
        </is>
      </c>
      <c r="E1790" s="2" t="n">
        <v>1985</v>
      </c>
      <c r="F1790" s="2" t="inlineStr">
        <is>
          <t>телефильм</t>
        </is>
      </c>
      <c r="G1790" s="2" t="n"/>
      <c r="H1790" s="2" t="n">
        <v>408</v>
      </c>
      <c r="I1790" s="2" t="inlineStr"/>
      <c r="J1790" s="2" t="inlineStr">
        <is>
          <t>да</t>
        </is>
      </c>
      <c r="K1790" s="3" t="inlineStr">
        <is>
          <t>ყველაზე სწრაფებ&amp; Сборник коротких юмористических историй. Основан на анекдотах, связанных со свойствами и обычаями населяющих Грузию народностей и в первую очередь жителей района Рача. Рача находится в центральной Грузии, на западе она отделена от Имеретии Рачинским хребтом, на востоке от Картли Лихским хребтом и на севере упирается в отроги Большого Кавказского хребта, крупнейшие города Они и Амбролаури.</t>
        </is>
      </c>
      <c r="L1790" s="2" t="inlineStr">
        <is>
          <t>Кино_СССР сводный каталог.xlsx: список телефильмов</t>
        </is>
      </c>
      <c r="M1790" s="2">
        <f>HYPERLINK("https://ru.wikipedia.org/w/index.php?search=%D0%A1%D0%B0%D0%BC%D1%8B%D0%B5%20%D0%B1%D1%8B%D1%81%D1%82%D1%80%D1%8B%D0%B5%20%D0%B2%20%D0%BC%D0%B8%D1%80%D0%B5%201985%20%D1%84%D0%B8%D0%BB%D1%8C%D0%BC","искать")</f>
        <v/>
      </c>
      <c r="N1790" s="3" t="n"/>
      <c r="O1790" s="2" t="n"/>
    </row>
    <row r="1791">
      <c r="A1791" s="2" t="n">
        <v>1790</v>
      </c>
      <c r="B1791" s="2" t="inlineStr">
        <is>
          <t>не сюжет</t>
        </is>
      </c>
      <c r="C1791" s="2" t="n">
        <v>9047</v>
      </c>
      <c r="D1791" s="3" t="inlineStr">
        <is>
          <t>Сломанный свет</t>
        </is>
      </c>
      <c r="E1791" s="2" t="n">
        <v>1990</v>
      </c>
      <c r="F1791" s="2" t="inlineStr">
        <is>
          <t>кинофильм</t>
        </is>
      </c>
      <c r="G1791" s="2" t="n"/>
      <c r="H1791" s="2" t="n">
        <v>409</v>
      </c>
      <c r="I1791" s="2" t="inlineStr"/>
      <c r="J1791" s="2" t="inlineStr">
        <is>
          <t>да</t>
        </is>
      </c>
      <c r="K1791" s="3" t="inlineStr">
        <is>
          <t>Фильм-притча, фильм предвидение. Посвящен судьбе творческих людей в СССР в конце 1980-х годов. Одна из немногих лент, рассказывающих о первых признаках великой трагедии великой империи под названием "СССР"... В прокат фильм не вышел - не решен вопрос с правами на фильм. Студия "Эдельвейс", где он был снят, распалась в начале 1990-х годов, фильм никому не был продан, и владельцев ленты уже невозможно найти.</t>
        </is>
      </c>
      <c r="L1791" s="2" t="inlineStr">
        <is>
          <t>Кино_СССР сводный каталог.xlsx: список фильмов (доп.)</t>
        </is>
      </c>
      <c r="M1791" s="2">
        <f>HYPERLINK("https://ru.wikipedia.org/w/index.php?search=%D0%A1%D0%BB%D0%BE%D0%BC%D0%B0%D0%BD%D0%BD%D1%8B%D0%B9%20%D1%81%D0%B2%D0%B5%D1%82%201990%20%D1%84%D0%B8%D0%BB%D1%8C%D0%BC","искать")</f>
        <v/>
      </c>
      <c r="N1791" s="3" t="n"/>
      <c r="O1791" s="2" t="n"/>
    </row>
    <row r="1792">
      <c r="A1792" s="2" t="n">
        <v>1791</v>
      </c>
      <c r="B1792" s="2" t="inlineStr">
        <is>
          <t>не сюжет</t>
        </is>
      </c>
      <c r="C1792" s="2" t="n">
        <v>10401</v>
      </c>
      <c r="D1792" s="3" t="inlineStr">
        <is>
          <t>Конкурс продолжается. Иоганн Себастьян Бах</t>
        </is>
      </c>
      <c r="E1792" s="2" t="n">
        <v>1971</v>
      </c>
      <c r="F1792" s="2" t="inlineStr">
        <is>
          <t>фильм-спектакль</t>
        </is>
      </c>
      <c r="G1792" s="2" t="n"/>
      <c r="H1792" s="2" t="n">
        <v>411</v>
      </c>
      <c r="I1792" s="2" t="inlineStr"/>
      <c r="J1792" s="2" t="inlineStr">
        <is>
          <t>да</t>
        </is>
      </c>
      <c r="K1792" s="3" t="inlineStr">
        <is>
          <t>В послевоенные годы, в Советском Союзе в срочном порядке начали вспоминать. Вспоминать мирное время, возрождать культуру, в том числе и музыкальную...
Одним из таких отрывков памяти и явился телеспектакль «Конкурс продолжается. Иоганн Себастьян Бах» о жизни и творчестве великого немецкого композитора. В телеспектакль включены музыкальные номера в исполнении Д.Ойстраха, С.Рихтера, З.Долухановой, В.Третьякова.</t>
        </is>
      </c>
      <c r="L1792" s="2" t="inlineStr">
        <is>
          <t>https://www.kino-teatr.ru/teatr/movie/88870/annot/</t>
        </is>
      </c>
      <c r="M1792" s="2">
        <f>HYPERLINK("https://ru.wikipedia.org/w/index.php?search=%D0%9A%D0%BE%D0%BD%D0%BA%D1%83%D1%80%D1%81%20%D0%BF%D1%80%D0%BE%D0%B4%D0%BE%D0%BB%D0%B6%D0%B0%D0%B5%D1%82%D1%81%D1%8F.%20%D0%98%D0%BE%D0%B3%D0%B0%D0%BD%D0%BD%20%D0%A1%D0%B5%D0%B1%D0%B0%D1%81%D1%82%D1%8C%D1%8F%D0%BD%20%D0%91%D0%B0%D1%85%201971%20%D1%84%D0%B8%D0%BB%D1%8C%D0%BC","искать")</f>
        <v/>
      </c>
      <c r="N1792" s="3" t="n"/>
      <c r="O1792" s="2" t="n"/>
    </row>
    <row r="1793">
      <c r="A1793" s="2" t="n">
        <v>1792</v>
      </c>
      <c r="B1793" s="2" t="inlineStr">
        <is>
          <t>не сюжет</t>
        </is>
      </c>
      <c r="C1793" s="2" t="n">
        <v>8145</v>
      </c>
      <c r="D1793" s="3" t="inlineStr">
        <is>
          <t>Поездка через город (киноальманах)</t>
        </is>
      </c>
      <c r="E1793" s="2" t="n">
        <v>1979</v>
      </c>
      <c r="F1793" s="2" t="inlineStr">
        <is>
          <t>телефильм</t>
        </is>
      </c>
      <c r="G1793" s="2" t="n"/>
      <c r="H1793" s="2" t="n">
        <v>412</v>
      </c>
      <c r="I1793" s="2" t="inlineStr"/>
      <c r="J1793" s="2" t="inlineStr">
        <is>
          <t>да</t>
        </is>
      </c>
      <c r="K1793" s="3" t="inlineStr">
        <is>
          <t>Комедия про ответственность людей за свои поступки...
Если бы водитель Петров не повез свой грохочущий багаж через ночной город, вряд ли кому-то бы пришло в голову устраивать среди ночи скандал за скандалом...
Комедия о современном Дон-Жуане, в которой смешное и грустное переплетаются заставляя героев задуматься о жизни...
Подробнее на Кино-Театр.РУ https://www.kino-teatr.ru/kino/movie/sov/14890/annot/s849/</t>
        </is>
      </c>
      <c r="L1793" s="2" t="inlineStr">
        <is>
          <t>Кино_СССР сводный каталог.xlsx: список телефильмов</t>
        </is>
      </c>
      <c r="M1793" s="2">
        <f>HYPERLINK("https://ru.wikipedia.org/w/index.php?search=%D0%9F%D0%BE%D0%B5%D0%B7%D0%B4%D0%BA%D0%B0%20%D1%87%D0%B5%D1%80%D0%B5%D0%B7%20%D0%B3%D0%BE%D1%80%D0%BE%D0%B4%20%28%D0%BA%D0%B8%D0%BD%D0%BE%D0%B0%D0%BB%D1%8C%D0%BC%D0%B0%D0%BD%D0%B0%D1%85%29%201979%20%D1%84%D0%B8%D0%BB%D1%8C%D0%BC","искать")</f>
        <v/>
      </c>
      <c r="N1793" s="3" t="n"/>
      <c r="O1793" s="2" t="n"/>
    </row>
    <row r="1794">
      <c r="A1794" s="2" t="n">
        <v>1793</v>
      </c>
      <c r="B1794" s="2" t="inlineStr">
        <is>
          <t>не сюжет</t>
        </is>
      </c>
      <c r="C1794" s="2" t="n">
        <v>11103</v>
      </c>
      <c r="D1794" s="3" t="inlineStr">
        <is>
          <t>Гибель поэта</t>
        </is>
      </c>
      <c r="E1794" s="2" t="n">
        <v>1986</v>
      </c>
      <c r="F1794" s="2" t="inlineStr">
        <is>
          <t>фильм-спектакль</t>
        </is>
      </c>
      <c r="G1794" s="2" t="inlineStr">
        <is>
          <t>Гл. ред. лит-драм программ</t>
        </is>
      </c>
      <c r="H1794" s="2" t="n">
        <v>415</v>
      </c>
      <c r="I1794" s="2" t="inlineStr"/>
      <c r="J1794" s="2" t="inlineStr">
        <is>
          <t>да</t>
        </is>
      </c>
      <c r="K1794" s="3" t="inlineStr">
        <is>
          <t>О жизни, творчестве и гибели выдающегося испанского поэта Федерико Гарсиа Лорки. В телеспектакль включены стихотворения и отрывки из пьес Ф. Гарсиа Лорки: "Драма без названия", "Мариана Пинеда", "Кровавая свадьба", а также стихотворения Роберта Рождественского "Гитара Гарсиа Лорки" и Николая Асеева "Песнь о Гарсиа Лорке", документальная запись выступления Рафаэля Альберти - испанского поэта, друга Гарисиа Лорки.</t>
        </is>
      </c>
      <c r="L1794" s="2" t="inlineStr">
        <is>
          <t>https://www.kino-teatr.ru/teatr/movie/17229/annot/</t>
        </is>
      </c>
      <c r="M1794" s="2">
        <f>HYPERLINK("https://ru.wikipedia.org/w/index.php?search=%D0%93%D0%B8%D0%B1%D0%B5%D0%BB%D1%8C%20%D0%BF%D0%BE%D1%8D%D1%82%D0%B0%201986%20%D1%84%D0%B8%D0%BB%D1%8C%D0%BC","искать")</f>
        <v/>
      </c>
      <c r="N1794" s="3" t="n"/>
      <c r="O1794" s="2" t="n"/>
    </row>
    <row r="1795">
      <c r="A1795" s="2" t="n">
        <v>1794</v>
      </c>
      <c r="B1795" s="2" t="inlineStr">
        <is>
          <t>не сюжет</t>
        </is>
      </c>
      <c r="C1795" s="2" t="n">
        <v>9606</v>
      </c>
      <c r="D1795" s="3" t="inlineStr">
        <is>
          <t>Пустыня</t>
        </is>
      </c>
      <c r="E1795" s="2" t="n">
        <v>1991</v>
      </c>
      <c r="F1795" s="2" t="inlineStr">
        <is>
          <t>кинофильм</t>
        </is>
      </c>
      <c r="G1795" s="2" t="n"/>
      <c r="H1795" s="2" t="n">
        <v>418</v>
      </c>
      <c r="I1795" s="2" t="inlineStr"/>
      <c r="J1795" s="2" t="inlineStr">
        <is>
          <t>да</t>
        </is>
      </c>
      <c r="K1795" s="3" t="inlineStr">
        <is>
          <t>Сюжет фильма - история жизни Иисуса, его роль в духовной жизни человечества, взаимоотношения с Иудой, отношения с властью - строится на библейских мотивах и версиях рассказов Леонида Андреева "Иуда Искариот" и "Елеазар". Населяя картину полуреальными, полусимволическими персонажами - вместе с тем исторически понятными зрителю, режиссер представляет нам два мира, обреченных на постоянное болезненное соприкосновение.</t>
        </is>
      </c>
      <c r="L1795" s="2" t="inlineStr">
        <is>
          <t>Кино_СССР сводный каталог.xlsx: список фильмов (доп.)</t>
        </is>
      </c>
      <c r="M1795" s="2">
        <f>HYPERLINK("https://ru.wikipedia.org/w/index.php?search=%D0%9F%D1%83%D1%81%D1%82%D1%8B%D0%BD%D1%8F%201991%20%D1%84%D0%B8%D0%BB%D1%8C%D0%BC","искать")</f>
        <v/>
      </c>
      <c r="N1795" s="3" t="n"/>
      <c r="O1795" s="2" t="n"/>
    </row>
    <row r="1796">
      <c r="A1796" s="2" t="n">
        <v>1795</v>
      </c>
      <c r="B1796" s="2" t="inlineStr">
        <is>
          <t>не сюжет</t>
        </is>
      </c>
      <c r="C1796" s="2" t="n">
        <v>9310</v>
      </c>
      <c r="D1796" s="3" t="inlineStr">
        <is>
          <t>Голубое и розовое</t>
        </is>
      </c>
      <c r="E1796" s="2" t="n">
        <v>1938</v>
      </c>
      <c r="F1796" s="2" t="inlineStr">
        <is>
          <t>кинофильм</t>
        </is>
      </c>
      <c r="G1796" s="2" t="n"/>
      <c r="H1796" s="2" t="n">
        <v>419</v>
      </c>
      <c r="I1796" s="2" t="inlineStr"/>
      <c r="J1796" s="2" t="inlineStr">
        <is>
          <t>да</t>
        </is>
      </c>
      <c r="K1796" s="3" t="inlineStr">
        <is>
          <t>Из книги Янины Жеймо "Длинный путь от барабанщицы в цирке до Золушки в кино": "Также закрыли картину "Голубое и розовое" по пьесе Александры Бруштейн, хотя осталось снять всего пару сцен, - приказ того же наркома кинематографии Дукельского. Когда режиссер фильма Владимир Юренев попытался выяснить причину, Дукельский ответил: "Кому нужна эта детская картина, если пьесу "Голубое и розовое" можно посмотреть в театре?".</t>
        </is>
      </c>
      <c r="L1796" s="2" t="inlineStr">
        <is>
          <t>Кино_СССР сводный каталог.xlsx: список фильмов (доп.)</t>
        </is>
      </c>
      <c r="M1796" s="2">
        <f>HYPERLINK("https://ru.wikipedia.org/w/index.php?search=%D0%93%D0%BE%D0%BB%D1%83%D0%B1%D0%BE%D0%B5%20%D0%B8%20%D1%80%D0%BE%D0%B7%D0%BE%D0%B2%D0%BE%D0%B5%201938%20%D1%84%D0%B8%D0%BB%D1%8C%D0%BC","искать")</f>
        <v/>
      </c>
      <c r="N1796" s="3" t="n"/>
      <c r="O1796" s="2" t="n"/>
    </row>
    <row r="1797">
      <c r="A1797" s="2" t="n">
        <v>1796</v>
      </c>
      <c r="B1797" s="2" t="inlineStr">
        <is>
          <t>не сюжет</t>
        </is>
      </c>
      <c r="C1797" s="2" t="n">
        <v>11078</v>
      </c>
      <c r="D1797" s="3" t="inlineStr">
        <is>
          <t>Рђ.Рџ. Р§РµС…РѕРІ. Р Р°СЃСЃРєР°Р·С‹</t>
        </is>
      </c>
      <c r="E1797" s="2" t="n">
        <v>1985</v>
      </c>
      <c r="F1797" s="2" t="inlineStr">
        <is>
          <t>фильм-спектакль</t>
        </is>
      </c>
      <c r="G1797" s="2" t="n"/>
      <c r="H1797" s="2" t="n">
        <v>422</v>
      </c>
      <c r="I1797" s="2" t="inlineStr"/>
      <c r="J1797" s="2" t="inlineStr">
        <is>
          <t>да</t>
        </is>
      </c>
      <c r="K1797" s="3" t="inlineStr">
        <is>
          <t>Р’ РјРѕРЅРѕСЃРїРµРєС‚Р°РєР»Рµ РІРЅРёРјР°РЅРёСЋ Р·СЂРёС‚РµР»СЏ РїСЂРµРґР»Р°РіР°СЋС‚СЃСЏ СЂР°СЃСЃРєР°Р·С‹ РђРЅС‚РѕРЅР° РџР°РІР»РѕРІРёС‡Р° Р§РµС…РѕРІР° "РђРЅРЅР° РЅР° С€РµРµ" Рё "Рћ Р»СЋР±РІРё" РІ РёСЃРїРѕР»РЅРµРЅРёРё РёР·РІРµСЃС‚РЅРѕРіРѕ Р°РєС‚РµСЂР°, РїСЂРёР·РЅР°РЅРЅРѕРіРѕ РјР°СЃС‚РµСЂР° С…СѓРґРѕР¶РµСЃС‚РІРµРЅРЅРѕРіРѕ СЃР»РѕРІР°, РЅР°СЂРѕРґРЅРѕРіРѕ Р°СЂС‚РёСЃС‚Р° РЎРЎРЎР Р РѕСЃС‚РёСЃР»Р°РІР° РЇРЅРѕРІРёС‡Р° РџР»СЏС‚С‚Р°.</t>
        </is>
      </c>
      <c r="L1797" s="2" t="inlineStr">
        <is>
          <t>https://www.kino-teatr.ru/teatr/movie/102275/annot/</t>
        </is>
      </c>
      <c r="M1797" s="2">
        <f>HYPERLINK("https://ru.wikipedia.org/w/index.php?search=%D0%A0%D1%92.%D0%A0%D1%9F.%20%D0%A0%C2%A7%D0%A0%C2%B5%D0%A1%E2%80%A6%D0%A0%D1%95%D0%A0%D0%86.%20%D0%A0%20%D0%A0%C2%B0%D0%A1%D0%83%D0%A1%D0%83%D0%A0%D1%94%D0%A0%C2%B0%D0%A0%C2%B7%D0%A1%E2%80%B9%201985%20%D1%84%D0%B8%D0%BB%D1%8C%D0%BC","искать")</f>
        <v/>
      </c>
      <c r="N1797" s="3" t="n"/>
      <c r="O1797" s="2" t="n"/>
    </row>
    <row r="1798">
      <c r="A1798" s="2" t="n">
        <v>1797</v>
      </c>
      <c r="B1798" s="2" t="inlineStr">
        <is>
          <t>не сюжет</t>
        </is>
      </c>
      <c r="C1798" s="2" t="n">
        <v>10018</v>
      </c>
      <c r="D1798" s="3" t="inlineStr">
        <is>
          <t>Двое</t>
        </is>
      </c>
      <c r="E1798" s="2" t="n">
        <v>1987</v>
      </c>
      <c r="F1798" s="2" t="inlineStr">
        <is>
          <t>телефильм</t>
        </is>
      </c>
      <c r="G1798" s="2" t="inlineStr">
        <is>
          <t>"Таллинфильм" по заказу Гостелерадио СССР</t>
        </is>
      </c>
      <c r="H1798" s="2" t="n">
        <v>425</v>
      </c>
      <c r="I1798" s="2" t="inlineStr"/>
      <c r="J1798" s="2" t="inlineStr">
        <is>
          <t>да</t>
        </is>
      </c>
      <c r="K1798" s="3" t="inlineStr">
        <is>
          <t>По мотивам новеллы эстонского писателя Арво Валтона "Мустамяэская любовь".
Жители большого современного города зачастую не знакомы со своими соседями, хотя прожили под одной крышей с ними много лет. Герои фильма, мужчина и женщина, мечтающие о семье и детях, живут совсем рядом. Они вполне могли бы познакомиться и полюбить друг друга. Все их мечты могли бы осуществиться, но встреча двух одиноких сердец так и не состоялась.</t>
        </is>
      </c>
      <c r="L1798" s="2" t="inlineStr">
        <is>
          <t>https://www.kino-teatr.ru/short/movie/sov/81128/annot/</t>
        </is>
      </c>
      <c r="M1798" s="2">
        <f>HYPERLINK("https://ru.wikipedia.org/w/index.php?search=%D0%94%D0%B2%D0%BE%D0%B5%201987%20%D1%84%D0%B8%D0%BB%D1%8C%D0%BC","искать")</f>
        <v/>
      </c>
      <c r="N1798" s="3" t="n"/>
      <c r="O1798" s="2" t="n"/>
    </row>
    <row r="1799">
      <c r="A1799" s="2" t="n">
        <v>1798</v>
      </c>
      <c r="B1799" s="2" t="inlineStr">
        <is>
          <t>не сюжет</t>
        </is>
      </c>
      <c r="C1799" s="2" t="n">
        <v>9698</v>
      </c>
      <c r="D1799" s="3" t="inlineStr">
        <is>
          <t>Трое</t>
        </is>
      </c>
      <c r="E1799" s="2" t="n">
        <v>1988</v>
      </c>
      <c r="F1799" s="2" t="inlineStr">
        <is>
          <t>кинофильм</t>
        </is>
      </c>
      <c r="G1799" s="2" t="n"/>
      <c r="H1799" s="2" t="n">
        <v>428</v>
      </c>
      <c r="I1799" s="2" t="inlineStr"/>
      <c r="J1799" s="2" t="inlineStr">
        <is>
          <t>да</t>
        </is>
      </c>
      <c r="K1799" s="3" t="inlineStr">
        <is>
          <t>Приютились на берегу Иссык-Куля, под раскаленным солнцем трое представителей социального дна. Нет у них ни дома, ни денег, ни продуктов, ни одежды, ни светлого будущего. А рядом с ними, с изгоями, настоящие люди, у которых все как у людей. Археологическая партия, куда они нанялись рыть какую-то траншею, жратва на продовольственном «складе», охраняемом могучим, упитанным жлобом с разомлевшим от жары взглядом и крестом на шее.</t>
        </is>
      </c>
      <c r="L1799" s="2" t="inlineStr">
        <is>
          <t>Кино_СССР сводный каталог.xlsx: список фильмов (доп.)</t>
        </is>
      </c>
      <c r="M1799" s="2">
        <f>HYPERLINK("https://ru.wikipedia.org/w/index.php?search=%D0%A2%D1%80%D0%BE%D0%B5%201988%20%D1%84%D0%B8%D0%BB%D1%8C%D0%BC","искать")</f>
        <v/>
      </c>
      <c r="N1799" s="3" t="n"/>
      <c r="O1799" s="2" t="n"/>
    </row>
    <row r="1800">
      <c r="A1800" s="2" t="n">
        <v>1799</v>
      </c>
      <c r="B1800" s="2" t="inlineStr">
        <is>
          <t>не сюжет</t>
        </is>
      </c>
      <c r="C1800" s="2" t="n">
        <v>10533</v>
      </c>
      <c r="D1800" s="3" t="inlineStr">
        <is>
          <t>Хроника одной репетиции</t>
        </is>
      </c>
      <c r="E1800" s="2" t="n">
        <v>1973</v>
      </c>
      <c r="F1800" s="2" t="inlineStr">
        <is>
          <t>фильм-спектакль</t>
        </is>
      </c>
      <c r="G1800" s="2" t="n"/>
      <c r="H1800" s="2" t="n">
        <v>429</v>
      </c>
      <c r="I1800" s="2" t="inlineStr"/>
      <c r="J1800" s="2" t="inlineStr">
        <is>
          <t>да</t>
        </is>
      </c>
      <c r="K1800" s="3" t="inlineStr">
        <is>
          <t>Знакомство с творчеством артиста Ленинградского академического Большого драматического театра им. М.Горького О.В.Басилашвили. В фильме использованы фрагменты телеспектакля "Аввакум Захов" по произведениям Андрея Гуляшки и спектаклей БДТ: "Ревизор" по комедии Н.Гоголя, "Лиса и виноград" по пьесе Г.Фигейреду, "Мольер" по пьесе М.Булгакова, "Три сестры" по пьесе А.Чехова и "104 страницы про любовь" по произведению Э.Радзинского.</t>
        </is>
      </c>
      <c r="L1800" s="2" t="inlineStr">
        <is>
          <t>https://www.kino-teatr.ru/teatr/movie/108516/annot/</t>
        </is>
      </c>
      <c r="M1800" s="2">
        <f>HYPERLINK("https://ru.wikipedia.org/w/index.php?search=%D0%A5%D1%80%D0%BE%D0%BD%D0%B8%D0%BA%D0%B0%20%D0%BE%D0%B4%D0%BD%D0%BE%D0%B9%20%D1%80%D0%B5%D0%BF%D0%B5%D1%82%D0%B8%D1%86%D0%B8%D0%B8%201973%20%D1%84%D0%B8%D0%BB%D1%8C%D0%BC","искать")</f>
        <v/>
      </c>
      <c r="N1800" s="3" t="n"/>
      <c r="O1800" s="2" t="n"/>
    </row>
    <row r="1801">
      <c r="A1801" s="2" t="n">
        <v>1800</v>
      </c>
      <c r="B1801" s="2" t="inlineStr">
        <is>
          <t>не сюжет</t>
        </is>
      </c>
      <c r="C1801" s="2" t="n">
        <v>7356</v>
      </c>
      <c r="D1801" s="3" t="inlineStr">
        <is>
          <t>Возвращение Коста</t>
        </is>
      </c>
      <c r="E1801" s="2" t="n">
        <v>1967</v>
      </c>
      <c r="F1801" s="2" t="inlineStr">
        <is>
          <t>телефильм</t>
        </is>
      </c>
      <c r="G1801" s="2" t="n"/>
      <c r="H1801" s="2" t="n">
        <v>434</v>
      </c>
      <c r="I1801" s="2" t="inlineStr"/>
      <c r="J1801" s="2" t="inlineStr">
        <is>
          <t>да</t>
        </is>
      </c>
      <c r="K1801" s="3" t="inlineStr">
        <is>
          <t>Первый художественный фильм, созданный в республике, посвящен великому осетинскому поэту Коста Хетагурову, названному Всемирным Советом Мира в числе лучших писателей, поэтов, мыслителей истории. Создатели фильма назвали его "музыкальной поэмой". Это - точное обозначение жанра произведения, в котором арии и народные хоры органически сплетаются с монологами Коста - его раздумьями о жизни и поэзии, с подлинными стихотворениями поэта.</t>
        </is>
      </c>
      <c r="L1801" s="2" t="inlineStr">
        <is>
          <t>Кино_СССР сводный каталог.xlsx: список телефильмов</t>
        </is>
      </c>
      <c r="M1801" s="2">
        <f>HYPERLINK("https://ru.wikipedia.org/w/index.php?search=%D0%92%D0%BE%D0%B7%D0%B2%D1%80%D0%B0%D1%89%D0%B5%D0%BD%D0%B8%D0%B5%20%D0%9A%D0%BE%D1%81%D1%82%D0%B0%201967%20%D1%84%D0%B8%D0%BB%D1%8C%D0%BC","искать")</f>
        <v/>
      </c>
      <c r="N1801" s="3" t="n"/>
      <c r="O1801" s="2" t="n"/>
    </row>
    <row r="1802">
      <c r="A1802" s="2" t="n">
        <v>1801</v>
      </c>
      <c r="B1802" s="2" t="inlineStr">
        <is>
          <t>не сюжет</t>
        </is>
      </c>
      <c r="C1802" s="2" t="n">
        <v>9340</v>
      </c>
      <c r="D1802" s="3" t="inlineStr">
        <is>
          <t>Дни затмения</t>
        </is>
      </c>
      <c r="E1802" s="2" t="n">
        <v>1988</v>
      </c>
      <c r="F1802" s="2" t="inlineStr">
        <is>
          <t>кинофильм</t>
        </is>
      </c>
      <c r="G1802" s="2" t="n"/>
      <c r="H1802" s="2" t="n">
        <v>435</v>
      </c>
      <c r="I1802" s="2" t="inlineStr"/>
      <c r="J1802" s="2" t="inlineStr">
        <is>
          <t>да</t>
        </is>
      </c>
      <c r="K1802" s="3" t="inlineStr">
        <is>
          <t>Фильм "Дни затмения" снят по мотивам повести А. и Б.Стругацких "За миллиард лет до конца света". В картине сохранена основная идея литературного прототипа о том, как трудно творческому человеку в мире тоталитарного мышления и административного давления. Молодой врач работает в небольшом среднеазиатском городке, где причудливое соседство древней экзотики, многоукладного быта и разноязыкой среды слагаются в особенный необяснимый мир.</t>
        </is>
      </c>
      <c r="L1802" s="2" t="inlineStr">
        <is>
          <t>Кино_СССР сводный каталог.xlsx: список фильмов (доп.)</t>
        </is>
      </c>
      <c r="M1802" s="2">
        <f>HYPERLINK("https://ru.wikipedia.org/w/index.php?search=%D0%94%D0%BD%D0%B8%20%D0%B7%D0%B0%D1%82%D0%BC%D0%B5%D0%BD%D0%B8%D1%8F%201988%20%D1%84%D0%B8%D0%BB%D1%8C%D0%BC","искать")</f>
        <v/>
      </c>
      <c r="N1802" s="3" t="n"/>
      <c r="O1802" s="2" t="n"/>
    </row>
    <row r="1803">
      <c r="A1803" s="2" t="n">
        <v>1802</v>
      </c>
      <c r="B1803" s="2" t="inlineStr">
        <is>
          <t>не сюжет</t>
        </is>
      </c>
      <c r="C1803" s="2" t="n">
        <v>10811</v>
      </c>
      <c r="D1803" s="3" t="inlineStr">
        <is>
          <t>Молодая хозяйка Нискавуори</t>
        </is>
      </c>
      <c r="E1803" s="2" t="n">
        <v>1979</v>
      </c>
      <c r="F1803" s="2" t="inlineStr">
        <is>
          <t>фильм-спектакль</t>
        </is>
      </c>
      <c r="G1803" s="2" t="n"/>
      <c r="H1803" s="2" t="n">
        <v>439</v>
      </c>
      <c r="I1803" s="2" t="inlineStr"/>
      <c r="J1803" s="2" t="inlineStr">
        <is>
          <t>да</t>
        </is>
      </c>
      <c r="K1803" s="3" t="inlineStr">
        <is>
          <t>Самое известное из произведений замечательного классика финской литературы Хеллы Вуолийоки - сага о семье Нискавуори - состоит из пяти пьес. Первая из них, “Молодая хозяйка Нискавуори”, отображающая финский национальный характер, повествует о любви, переменах в жизни, разочарованиях и взглядах на нравственность откровенных, упрямых людей из глубинки, которым нужно приспособиться к новым обстоятельствам. Действие происходит в 1880 году.</t>
        </is>
      </c>
      <c r="L1803" s="2" t="inlineStr">
        <is>
          <t>https://www.kino-teatr.ru/teatr/movie/80218/annot/</t>
        </is>
      </c>
      <c r="M1803" s="2">
        <f>HYPERLINK("https://ru.wikipedia.org/w/index.php?search=%D0%9C%D0%BE%D0%BB%D0%BE%D0%B4%D0%B0%D1%8F%20%D1%85%D0%BE%D0%B7%D1%8F%D0%B9%D0%BA%D0%B0%20%D0%9D%D0%B8%D1%81%D0%BA%D0%B0%D0%B2%D1%83%D0%BE%D1%80%D0%B8%201979%20%D1%84%D0%B8%D0%BB%D1%8C%D0%BC","искать")</f>
        <v/>
      </c>
      <c r="N1803" s="3" t="n"/>
      <c r="O1803" s="2" t="n"/>
    </row>
    <row r="1804">
      <c r="A1804" s="2" t="n">
        <v>1803</v>
      </c>
      <c r="B1804" s="2" t="inlineStr">
        <is>
          <t>не сюжет</t>
        </is>
      </c>
      <c r="C1804" s="2" t="n">
        <v>11241</v>
      </c>
      <c r="D1804" s="3" t="inlineStr">
        <is>
          <t>Я знаю силу слов</t>
        </is>
      </c>
      <c r="E1804" s="2" t="n">
        <v>1988</v>
      </c>
      <c r="F1804" s="2" t="inlineStr">
        <is>
          <t>фильм-спектакль</t>
        </is>
      </c>
      <c r="G1804" s="2" t="inlineStr">
        <is>
          <t>Главная редакция литературно-драматических программ ЦТ</t>
        </is>
      </c>
      <c r="H1804" s="2" t="n">
        <v>440</v>
      </c>
      <c r="I1804" s="2" t="inlineStr"/>
      <c r="J1804" s="2" t="inlineStr">
        <is>
          <t>да</t>
        </is>
      </c>
      <c r="K1804" s="3" t="inlineStr">
        <is>
          <t>По сценической композиции Юрия Астафьева в постановке Московского театра имени Ленинского комсомола.
Спектакль построен в форме монолога о Владимире Маяковском в виде новелл, каждая из которых - о конкретном периоде жизни поэта. Время действия - 20-е, 30-е годы. Составлен по воспоминаниям современников В.Маяковского - Н. Асеева, Л. Брик, М. Горького, В. Каменского, Л. Кассиля, В. Катаева, П. Лавута, Б. Пастернака. М. Цветаевой и других.</t>
        </is>
      </c>
      <c r="L1804" s="2" t="inlineStr">
        <is>
          <t>https://www.kino-teatr.ru/teatr/movie/82088/annot/</t>
        </is>
      </c>
      <c r="M1804" s="2">
        <f>HYPERLINK("https://ru.wikipedia.org/w/index.php?search=%D0%AF%20%D0%B7%D0%BD%D0%B0%D1%8E%20%D1%81%D0%B8%D0%BB%D1%83%20%D1%81%D0%BB%D0%BE%D0%B2%201988%20%D1%84%D0%B8%D0%BB%D1%8C%D0%BC","искать")</f>
        <v/>
      </c>
      <c r="N1804" s="3" t="n"/>
      <c r="O1804" s="2" t="n"/>
    </row>
    <row r="1805">
      <c r="A1805" s="2" t="n">
        <v>1804</v>
      </c>
      <c r="B1805" s="2" t="inlineStr">
        <is>
          <t>не сюжет</t>
        </is>
      </c>
      <c r="C1805" s="2" t="n">
        <v>8353</v>
      </c>
      <c r="D1805" s="3" t="inlineStr">
        <is>
          <t>Скандальное происшествие в Брикмилле</t>
        </is>
      </c>
      <c r="E1805" s="2" t="n">
        <v>1980</v>
      </c>
      <c r="F1805" s="2" t="inlineStr">
        <is>
          <t>телефильм</t>
        </is>
      </c>
      <c r="G1805" s="2" t="n"/>
      <c r="H1805" s="2" t="n">
        <v>443</v>
      </c>
      <c r="I1805" s="2" t="inlineStr"/>
      <c r="J1805" s="2" t="inlineStr">
        <is>
          <t>да</t>
        </is>
      </c>
      <c r="K1805" s="3" t="inlineStr">
        <is>
          <t>Телефильм по пьесе английского писателя и драматурга Джона Бойнтона Пристли "Скандальное проистшествие с мистером Кэттлом и миссис Мун". У мистера Кэттла, управляющего единственным банком в небольшом провинциальном английском городе Брикмилле, жизнь очень строго организована: в 7:00 подъем, потом завтрак, в 9:00 он уже на работе в банке, с 13:00 обед, потом снова работа, в 18:00 конец рабочего дня, иногда клуб, дом, сон, и так каждый день.</t>
        </is>
      </c>
      <c r="L1805" s="2" t="inlineStr">
        <is>
          <t>Кино_СССР сводный каталог.xlsx: список телефильмов</t>
        </is>
      </c>
      <c r="M1805" s="2">
        <f>HYPERLINK("https://ru.wikipedia.org/w/index.php?search=%D0%A1%D0%BA%D0%B0%D0%BD%D0%B4%D0%B0%D0%BB%D1%8C%D0%BD%D0%BE%D0%B5%20%D0%BF%D1%80%D0%BE%D0%B8%D1%81%D1%88%D0%B5%D1%81%D1%82%D0%B2%D0%B8%D0%B5%20%D0%B2%20%D0%91%D1%80%D0%B8%D0%BA%D0%BC%D0%B8%D0%BB%D0%BB%D0%B5%201980%20%D1%84%D0%B8%D0%BB%D1%8C%D0%BC","искать")</f>
        <v/>
      </c>
      <c r="N1805" s="3" t="n"/>
      <c r="O1805" s="2" t="n"/>
    </row>
    <row r="1806">
      <c r="A1806" s="2" t="n">
        <v>1805</v>
      </c>
      <c r="B1806" s="2" t="inlineStr">
        <is>
          <t>не сюжет</t>
        </is>
      </c>
      <c r="C1806" s="2" t="n">
        <v>9439</v>
      </c>
      <c r="D1806" s="3" t="inlineStr">
        <is>
          <t>Кремлёвские тайны шестнадцатого века</t>
        </is>
      </c>
      <c r="E1806" s="2" t="n">
        <v>1991</v>
      </c>
      <c r="F1806" s="2" t="inlineStr">
        <is>
          <t>кинофильм</t>
        </is>
      </c>
      <c r="G1806" s="2" t="n"/>
      <c r="H1806" s="2" t="n">
        <v>443</v>
      </c>
      <c r="I1806" s="2" t="inlineStr"/>
      <c r="J1806" s="2" t="inlineStr">
        <is>
          <t>да</t>
        </is>
      </c>
      <c r="K1806" s="3" t="inlineStr">
        <is>
          <t>Алексей Константинович Толстой был не прав, придумав одной из трагедий такой невыразительный заголовок - "Смерть Иоанна Грозного". Кто такой Иоанн? Кому он нужен в наше время со своей "чеченской" фамилией? Экранной версии той же самой пьесы дали эффектное название - "Кремлевские тайны шестнадцатого века"! В духе журналистских расследований эпохи горбачевской гласности, разоблачающих падение нравов в высших сферах власти брежневских времен.</t>
        </is>
      </c>
      <c r="L1806" s="2" t="inlineStr">
        <is>
          <t>Кино_СССР сводный каталог.xlsx: список фильмов (доп.)</t>
        </is>
      </c>
      <c r="M1806" s="2">
        <f>HYPERLINK("https://ru.wikipedia.org/w/index.php?search=%D0%9A%D1%80%D0%B5%D0%BC%D0%BB%D1%91%D0%B2%D1%81%D0%BA%D0%B8%D0%B5%20%D1%82%D0%B0%D0%B9%D0%BD%D1%8B%20%D1%88%D0%B5%D1%81%D1%82%D0%BD%D0%B0%D0%B4%D1%86%D0%B0%D1%82%D0%BE%D0%B3%D0%BE%20%D0%B2%D0%B5%D0%BA%D0%B0%201991%20%D1%84%D0%B8%D0%BB%D1%8C%D0%BC","искать")</f>
        <v/>
      </c>
      <c r="N1806" s="3" t="n"/>
      <c r="O1806" s="2" t="n"/>
    </row>
    <row r="1807">
      <c r="A1807" s="2" t="n">
        <v>1806</v>
      </c>
      <c r="B1807" s="2" t="inlineStr">
        <is>
          <t>не сюжет</t>
        </is>
      </c>
      <c r="C1807" s="2" t="n">
        <v>7232</v>
      </c>
      <c r="D1807" s="3" t="inlineStr">
        <is>
          <t>Бал в Савойе</t>
        </is>
      </c>
      <c r="E1807" s="2" t="n">
        <v>1985</v>
      </c>
      <c r="F1807" s="2" t="inlineStr">
        <is>
          <t>телефильм</t>
        </is>
      </c>
      <c r="G1807" s="2" t="n"/>
      <c r="H1807" s="2" t="n">
        <v>448</v>
      </c>
      <c r="I1807" s="2" t="inlineStr"/>
      <c r="J1807" s="2" t="inlineStr">
        <is>
          <t>да</t>
        </is>
      </c>
      <c r="K1807" s="3" t="inlineStr">
        <is>
          <t>Телефильм по одноименной оперетте венгерского композитора Пала Абрахама.
Легко запоминающиеся мелодии, энергичные танцевальные ритмы, веселые и остроумные повороты сюжета и сегодня привлекают и радуют зрителей всего мира. Итак, персонажи оперетты - очаровательная Мадлен и находчивая Дези, беспечный Жестен и неунывающий Мустафа-бей - приглашают на "Бал в "Савойе"!
Подробнее на Кино-Театр.РУ https://www.kino-teatr.ru/kino/movie/sov/17094/annot/</t>
        </is>
      </c>
      <c r="L1807" s="2" t="inlineStr">
        <is>
          <t>Кино_СССР сводный каталог.xlsx: список телефильмов</t>
        </is>
      </c>
      <c r="M1807" s="2">
        <f>HYPERLINK("https://ru.wikipedia.org/w/index.php?search=%D0%91%D0%B0%D0%BB%20%D0%B2%20%D0%A1%D0%B0%D0%B2%D0%BE%D0%B9%D0%B5%201985%20%D1%84%D0%B8%D0%BB%D1%8C%D0%BC","искать")</f>
        <v/>
      </c>
      <c r="N1807" s="3" t="n"/>
      <c r="O1807" s="2" t="n"/>
    </row>
    <row r="1808">
      <c r="A1808" s="2" t="n">
        <v>1807</v>
      </c>
      <c r="B1808" s="2" t="inlineStr">
        <is>
          <t>не сюжет</t>
        </is>
      </c>
      <c r="C1808" s="2" t="n">
        <v>10430</v>
      </c>
      <c r="D1808" s="3" t="inlineStr">
        <is>
          <t>Бертольт Брехт. Песни и баллады</t>
        </is>
      </c>
      <c r="E1808" s="2" t="n">
        <v>1972</v>
      </c>
      <c r="F1808" s="2" t="inlineStr">
        <is>
          <t>фильм-спектакль</t>
        </is>
      </c>
      <c r="G1808" s="2" t="inlineStr">
        <is>
          <t>Центральное телевидение</t>
        </is>
      </c>
      <c r="H1808" s="2" t="n">
        <v>449</v>
      </c>
      <c r="I1808" s="2" t="inlineStr"/>
      <c r="J1808" s="2" t="inlineStr">
        <is>
          <t>да</t>
        </is>
      </c>
      <c r="K1808" s="3" t="inlineStr">
        <is>
          <t>В фильме исполнялись произведения Бертольта Брехта:
- Легенда о мертвом солдате
- Непобедимая надпись
- Песня штурмовика
- Баллада о матери и солдате
- Крестовый поход детей
- Бараний марш
- Все или никто
Песни из "Трехгрошевой оперы":
- Рассказы о Господине Койнере
- Две песни из пьесы "Хэппи энд"
- Буковские эллегии
- Содатская песня
Использовалась музыка композиторов: Ганса Эйслера, Курта Вайля, Кирилла Акимова в инструментовке М.Дунаевского.</t>
        </is>
      </c>
      <c r="L1808" s="2" t="inlineStr">
        <is>
          <t>https://www.kino-teatr.ru/teatr/movie/106491/annot/</t>
        </is>
      </c>
      <c r="M1808" s="2">
        <f>HYPERLINK("https://ru.wikipedia.org/w/index.php?search=%D0%91%D0%B5%D1%80%D1%82%D0%BE%D0%BB%D1%8C%D1%82%20%D0%91%D1%80%D0%B5%D1%85%D1%82.%20%D0%9F%D0%B5%D1%81%D0%BD%D0%B8%20%D0%B8%20%D0%B1%D0%B0%D0%BB%D0%BB%D0%B0%D0%B4%D1%8B%201972%20%D1%84%D0%B8%D0%BB%D1%8C%D0%BC","искать")</f>
        <v/>
      </c>
      <c r="N1808" s="3" t="n"/>
      <c r="O1808" s="2" t="n"/>
    </row>
    <row r="1809">
      <c r="A1809" s="2" t="n">
        <v>1808</v>
      </c>
      <c r="B1809" s="2" t="inlineStr">
        <is>
          <t>не сюжет</t>
        </is>
      </c>
      <c r="C1809" s="2" t="n">
        <v>10107</v>
      </c>
      <c r="D1809" s="3" t="inlineStr">
        <is>
          <t>Зима тревоги нашей</t>
        </is>
      </c>
      <c r="E1809" s="2" t="n">
        <v>1963</v>
      </c>
      <c r="F1809" s="2" t="inlineStr">
        <is>
          <t>фильм-спектакль</t>
        </is>
      </c>
      <c r="G1809" s="2" t="inlineStr">
        <is>
          <t>Ленинградское телевидение</t>
        </is>
      </c>
      <c r="H1809" s="2" t="n">
        <v>452</v>
      </c>
      <c r="I1809" s="2" t="inlineStr"/>
      <c r="J1809" s="2" t="inlineStr">
        <is>
          <t>да</t>
        </is>
      </c>
      <c r="K1809" s="3" t="inlineStr">
        <is>
          <t>По одноименному роману Дж. Стейнбека о переживаниях человека, поступившегося своими принципами.
Итен Аллен Хоули, потомок могущественного семейства, получивший высшее образование, знаток истории и литературы, поклонник латыни, вынужден работать продавцом в лавке какого-то макаронника Марулло. Репутация Итена безупречна, но подобно змее, он сбрасывает старую кожу, чтобы явиться в образе чудовища, перед которым будут трепетать даже городские магнаты.</t>
        </is>
      </c>
      <c r="L1809" s="2" t="inlineStr">
        <is>
          <t>https://www.kino-teatr.ru/teatr/movie/17105/annot/</t>
        </is>
      </c>
      <c r="M1809" s="2">
        <f>HYPERLINK("https://ru.wikipedia.org/w/index.php?search=%D0%97%D0%B8%D0%BC%D0%B0%20%D1%82%D1%80%D0%B5%D0%B2%D0%BE%D0%B3%D0%B8%20%D0%BD%D0%B0%D1%88%D0%B5%D0%B9%201963%20%D1%84%D0%B8%D0%BB%D1%8C%D0%BC","искать")</f>
        <v/>
      </c>
      <c r="N1809" s="3" t="n"/>
      <c r="O1809" s="2" t="n"/>
    </row>
    <row r="1810">
      <c r="A1810" s="2" t="n">
        <v>1809</v>
      </c>
      <c r="B1810" s="2" t="inlineStr">
        <is>
          <t>не сюжет</t>
        </is>
      </c>
      <c r="C1810" s="2" t="n">
        <v>11323</v>
      </c>
      <c r="D1810" s="3" t="inlineStr">
        <is>
          <t>Смерть Калошина</t>
        </is>
      </c>
      <c r="E1810" s="2" t="n">
        <v>1990</v>
      </c>
      <c r="F1810" s="2" t="inlineStr">
        <is>
          <t>фильм-спектакль</t>
        </is>
      </c>
      <c r="G1810" s="2" t="inlineStr">
        <is>
          <t>Ленинградское ТВ</t>
        </is>
      </c>
      <c r="H1810" s="2" t="n">
        <v>457</v>
      </c>
      <c r="I1810" s="2" t="inlineStr"/>
      <c r="J1810" s="2" t="inlineStr">
        <is>
          <t>да</t>
        </is>
      </c>
      <c r="K1810" s="3" t="inlineStr">
        <is>
          <t>Телевизионный творческий центр "Лира" предлагает вашему вниманию премьеру спектакля, поставленного на Ленинградском телевидении известным театральным режиссером з.д.и. РСФСР Ефимом Падве по мотивам рассказов и пьесы "История с метранпажем" талантливого советского драматурга и прозаика Александра Вампилова.
Вас ждет встреча с интересным прочтением его произведений, тем более, что Е.Падве известен как один из глубоких интерпретаторов творчества Вампилова.</t>
        </is>
      </c>
      <c r="L1810" s="2" t="inlineStr">
        <is>
          <t>https://www.kino-teatr.ru/teatr/movie/79769/annot/</t>
        </is>
      </c>
      <c r="M1810" s="2">
        <f>HYPERLINK("https://ru.wikipedia.org/w/index.php?search=%D0%A1%D0%BC%D0%B5%D1%80%D1%82%D1%8C%20%D0%9A%D0%B0%D0%BB%D0%BE%D1%88%D0%B8%D0%BD%D0%B0%201990%20%D1%84%D0%B8%D0%BB%D1%8C%D0%BC","искать")</f>
        <v/>
      </c>
      <c r="N1810" s="3" t="n"/>
      <c r="O1810" s="2" t="n"/>
    </row>
    <row r="1811">
      <c r="A1811" s="2" t="n">
        <v>1810</v>
      </c>
      <c r="B1811" s="2" t="inlineStr">
        <is>
          <t>не сюжет</t>
        </is>
      </c>
      <c r="C1811" s="2" t="n">
        <v>8766</v>
      </c>
      <c r="D1811" s="3" t="inlineStr">
        <is>
          <t>Клоунада</t>
        </is>
      </c>
      <c r="E1811" s="2" t="n">
        <v>1989</v>
      </c>
      <c r="F1811" s="2" t="inlineStr">
        <is>
          <t>кинофильм</t>
        </is>
      </c>
      <c r="G1811" s="2" t="n"/>
      <c r="H1811" s="2" t="n">
        <v>464</v>
      </c>
      <c r="I1811" s="2" t="inlineStr"/>
      <c r="J1811" s="2" t="inlineStr">
        <is>
          <t>да</t>
        </is>
      </c>
      <c r="K1811" s="3" t="inlineStr">
        <is>
          <t>К 100-летию Даниила Хармса. Трагикомедия абсурда, снятая по мотивам произведений Даниила Хармса (1905-1942). Пытаясь воссоздать реалии 30-х годов, на которое пришелся расцвет творчества Хармса, режиссер воспроизводит манеру съемок, актерской игры того времени и вводит в картину «состаренный» звук. Тем самым ему удается добиться максимальной достоверности звучания авторского теста и помочь зрителю погрузиться в атмосферу, в которой жил и творил классик абсурда.</t>
        </is>
      </c>
      <c r="L1811" s="2" t="inlineStr">
        <is>
          <t>Кино_СССР сводный каталог.xlsx: список фильмов (доп.)</t>
        </is>
      </c>
      <c r="M1811" s="2">
        <f>HYPERLINK("https://ru.wikipedia.org/w/index.php?search=%D0%9A%D0%BB%D0%BE%D1%83%D0%BD%D0%B0%D0%B4%D0%B0%201989%20%D1%84%D0%B8%D0%BB%D1%8C%D0%BC","искать")</f>
        <v/>
      </c>
      <c r="N1811" s="3" t="n"/>
      <c r="O1811" s="2" t="n"/>
    </row>
    <row r="1812">
      <c r="A1812" s="2" t="n">
        <v>1811</v>
      </c>
      <c r="B1812" s="2" t="inlineStr">
        <is>
          <t>не сюжет</t>
        </is>
      </c>
      <c r="C1812" s="2" t="n">
        <v>11277</v>
      </c>
      <c r="D1812" s="3" t="inlineStr">
        <is>
          <t>Сад без земли</t>
        </is>
      </c>
      <c r="E1812" s="2" t="n">
        <v>1989</v>
      </c>
      <c r="F1812" s="2" t="inlineStr">
        <is>
          <t>фильм-спектакль</t>
        </is>
      </c>
      <c r="G1812" s="2" t="inlineStr">
        <is>
          <t>Главная редакция литературно-драматических программ ЦТ</t>
        </is>
      </c>
      <c r="H1812" s="2" t="n">
        <v>474</v>
      </c>
      <c r="I1812" s="2" t="inlineStr"/>
      <c r="J1812" s="2" t="inlineStr">
        <is>
          <t>да</t>
        </is>
      </c>
      <c r="K1812" s="3" t="inlineStr">
        <is>
          <t>По одноименной пьесе Людмилы Разумовской в постановке Ташкентского государственного русского академического театра драмы имени М. Горького.
Неустроенность судеб молодых героев заставляет задуматься над причинами жизненных неудач не только действующих лиц, но и зрителей. Неразумно обвинять в своих нестчастьях окружающих людей или обстоятельства. Надо иметь мужество заглянуть в самих себя и попробовать осознать, в чем ты виноват сам и не нарушил ли ты нравственные законы.</t>
        </is>
      </c>
      <c r="L1812" s="2" t="inlineStr">
        <is>
          <t>https://www.kino-teatr.ru/teatr/movie/103953/annot/</t>
        </is>
      </c>
      <c r="M1812" s="2">
        <f>HYPERLINK("https://ru.wikipedia.org/w/index.php?search=%D0%A1%D0%B0%D0%B4%20%D0%B1%D0%B5%D0%B7%20%D0%B7%D0%B5%D0%BC%D0%BB%D0%B8%201989%20%D1%84%D0%B8%D0%BB%D1%8C%D0%BC","искать")</f>
        <v/>
      </c>
      <c r="N1812" s="3" t="n"/>
      <c r="O1812" s="2" t="n"/>
    </row>
    <row r="1813">
      <c r="A1813" s="2" t="n">
        <v>1812</v>
      </c>
      <c r="B1813" s="2" t="inlineStr">
        <is>
          <t>не сюжет</t>
        </is>
      </c>
      <c r="C1813" s="2" t="n">
        <v>11272</v>
      </c>
      <c r="D1813" s="3" t="inlineStr">
        <is>
          <t>Победительница</t>
        </is>
      </c>
      <c r="E1813" s="2" t="n">
        <v>1989</v>
      </c>
      <c r="F1813" s="2" t="inlineStr">
        <is>
          <t>фильм-спектакль</t>
        </is>
      </c>
      <c r="G1813" s="2" t="inlineStr">
        <is>
          <t>Главная редакция литературно-драматических программ ЦТ</t>
        </is>
      </c>
      <c r="H1813" s="2" t="n">
        <v>475</v>
      </c>
      <c r="I1813" s="2" t="inlineStr"/>
      <c r="J1813" s="2" t="inlineStr">
        <is>
          <t>да</t>
        </is>
      </c>
      <c r="K1813" s="3" t="inlineStr">
        <is>
          <t>По одноименной пьесе А.Арбузова в постановке Ленинградского государственного академического драматического театра имени Ленсовета.
День сорокалетия Майи Александровны Алейниковой стал для нее днем подведения итогов. Вглядываясь в прошлое, она понимает, что прожила жизнь, в которой все было подчинено одной цели - любой ценой добиться высокого общественного положения. Перед судом своей собственной совести она осознает, что все победы обернулись в конечном счете поражением.</t>
        </is>
      </c>
      <c r="L1813" s="2" t="inlineStr">
        <is>
          <t>https://www.kino-teatr.ru/teatr/movie/81500/annot/</t>
        </is>
      </c>
      <c r="M1813" s="2">
        <f>HYPERLINK("https://ru.wikipedia.org/w/index.php?search=%D0%9F%D0%BE%D0%B1%D0%B5%D0%B4%D0%B8%D1%82%D0%B5%D0%BB%D1%8C%D0%BD%D0%B8%D1%86%D0%B0%201989%20%D1%84%D0%B8%D0%BB%D1%8C%D0%BC","искать")</f>
        <v/>
      </c>
      <c r="N1813" s="3" t="n"/>
      <c r="O1813" s="2" t="n"/>
    </row>
    <row r="1814">
      <c r="A1814" s="2" t="n">
        <v>1813</v>
      </c>
      <c r="B1814" s="2" t="inlineStr">
        <is>
          <t>не сюжет</t>
        </is>
      </c>
      <c r="C1814" s="2" t="n">
        <v>10599</v>
      </c>
      <c r="D1814" s="3" t="inlineStr">
        <is>
          <t>Бенефис Ларисы Голубкиной</t>
        </is>
      </c>
      <c r="E1814" s="2" t="n">
        <v>1975</v>
      </c>
      <c r="F1814" s="2" t="inlineStr">
        <is>
          <t>фильм-спектакль</t>
        </is>
      </c>
      <c r="G1814" s="2" t="inlineStr">
        <is>
          <t>Главная редакция музыкальных программ ЦТ</t>
        </is>
      </c>
      <c r="H1814" s="2" t="n">
        <v>481</v>
      </c>
      <c r="I1814" s="2" t="inlineStr"/>
      <c r="J1814" s="2" t="inlineStr">
        <is>
          <t>да</t>
        </is>
      </c>
      <c r="K1814" s="3" t="inlineStr">
        <is>
          <t>Мюзикл, поставленный по мотивам пьесы Бернарда Шоу «Пигмалион» Бернарда Шоу, продолжил традицию телевизионных "Бенефисов", где в качестве главного героя выступал популярный артист театра или кино.
На этот раз Евгений Гинзбург и Борис Пургалин обратились к классической пьесе, в которой бенефициантке Ларисе Голубкиной предстояло сыграть роль Элизы Дулиттл.
Сюжетную линию удачно дополняли музыкальные номера, современные песни, забавные пародийные эпизоды и лирические отступления.</t>
        </is>
      </c>
      <c r="L1814" s="2" t="inlineStr">
        <is>
          <t>https://www.kino-teatr.ru/teatr/movie/79803/annot/</t>
        </is>
      </c>
      <c r="M1814" s="2">
        <f>HYPERLINK("https://ru.wikipedia.org/w/index.php?search=%D0%91%D0%B5%D0%BD%D0%B5%D1%84%D0%B8%D1%81%20%D0%9B%D0%B0%D1%80%D0%B8%D1%81%D1%8B%20%D0%93%D0%BE%D0%BB%D1%83%D0%B1%D0%BA%D0%B8%D0%BD%D0%BE%D0%B9%201975%20%D1%84%D0%B8%D0%BB%D1%8C%D0%BC","искать")</f>
        <v/>
      </c>
      <c r="N1814" s="3" t="n"/>
      <c r="O1814" s="2" t="n"/>
    </row>
    <row r="1815">
      <c r="A1815" s="2" t="n">
        <v>1814</v>
      </c>
      <c r="B1815" s="2" t="inlineStr">
        <is>
          <t>не сюжет</t>
        </is>
      </c>
      <c r="C1815" s="2" t="n">
        <v>11071</v>
      </c>
      <c r="D1815" s="3" t="inlineStr">
        <is>
          <t>Печка на колесе</t>
        </is>
      </c>
      <c r="E1815" s="2" t="n">
        <v>1985</v>
      </c>
      <c r="F1815" s="2" t="inlineStr">
        <is>
          <t>фильм-спектакль</t>
        </is>
      </c>
      <c r="G1815" s="2" t="inlineStr">
        <is>
          <t>Главная редакция литературно-драматический программ ЦТ</t>
        </is>
      </c>
      <c r="H1815" s="2" t="n">
        <v>485</v>
      </c>
      <c r="I1815" s="2" t="inlineStr"/>
      <c r="J1815" s="2" t="inlineStr">
        <is>
          <t>да</t>
        </is>
      </c>
      <c r="K1815" s="3" t="inlineStr">
        <is>
          <t>Фильм-спектакль по пьесе Н.Семеновой.
В основе — спектакль театра имени Моссовета, режиссер — Б.Щедрин.
Русский абсурд. Героиня комедии — мать пятерых детей, телятница Фрося, которая живет в неперспективной деревне и не хочет покидать родной дом, свою «печку на колесе». В главной роли — Наталья Тенякова. Настоящая горожанка необыкновенно органична в роли деревенской простушки. Манеру речи актриса позаимствовала у деревенской жительницы, рядом с домом которой Тенякова снимала дачу.</t>
        </is>
      </c>
      <c r="L1815" s="2" t="inlineStr">
        <is>
          <t>https://www.kino-teatr.ru/teatr/movie/9827/annot/</t>
        </is>
      </c>
      <c r="M1815" s="2">
        <f>HYPERLINK("https://ru.wikipedia.org/w/index.php?search=%D0%9F%D0%B5%D1%87%D0%BA%D0%B0%20%D0%BD%D0%B0%20%D0%BA%D0%BE%D0%BB%D0%B5%D1%81%D0%B5%201985%20%D1%84%D0%B8%D0%BB%D1%8C%D0%BC","искать")</f>
        <v/>
      </c>
      <c r="N1815" s="3" t="n"/>
      <c r="O1815" s="2" t="n"/>
    </row>
    <row r="1816">
      <c r="A1816" s="2" t="n">
        <v>1815</v>
      </c>
      <c r="B1816" s="2" t="inlineStr">
        <is>
          <t>не сюжет</t>
        </is>
      </c>
      <c r="C1816" s="2" t="n">
        <v>10186</v>
      </c>
      <c r="D1816" s="3" t="inlineStr">
        <is>
          <t>Волчица</t>
        </is>
      </c>
      <c r="E1816" s="2" t="n">
        <v>1967</v>
      </c>
      <c r="F1816" s="2" t="inlineStr">
        <is>
          <t>фильм-спектакль</t>
        </is>
      </c>
      <c r="G1816" s="2" t="inlineStr">
        <is>
          <t>Укртелефильм</t>
        </is>
      </c>
      <c r="H1816" s="2" t="n">
        <v>503</v>
      </c>
      <c r="I1816" s="2" t="inlineStr"/>
      <c r="J1816" s="2" t="inlineStr">
        <is>
          <t>да</t>
        </is>
      </c>
      <c r="K1816" s="3" t="inlineStr">
        <is>
          <t>Экранизация пьесы А.Ананьева по одноимённому рассказу Ольги Кобылянской.
Фильм-спектакль с участием актеров Черновицкого украинского музыкально-драматического театра им. О. Кобылянской.
В центре произведения образ "твёрдой как камень" Зои Жмут, которая в погоне за наживой становится волчицей для собственных детей. Спектакль, осуждая тёмные стороны жизни буковинских крестьян, обусловленные социальной действительностью, показывая губительную власть земли, высвечивает лучшие черты народного характера.</t>
        </is>
      </c>
      <c r="L1816" s="2" t="inlineStr">
        <is>
          <t>https://www.kino-teatr.ru/teatr/movie/98340/annot/</t>
        </is>
      </c>
      <c r="M1816" s="2">
        <f>HYPERLINK("https://ru.wikipedia.org/w/index.php?search=%D0%92%D0%BE%D0%BB%D1%87%D0%B8%D1%86%D0%B0%201967%20%D1%84%D0%B8%D0%BB%D1%8C%D0%BC","искать")</f>
        <v/>
      </c>
      <c r="N1816" s="3" t="n"/>
      <c r="O1816" s="2" t="n"/>
    </row>
    <row r="1817">
      <c r="A1817" s="2" t="n">
        <v>1816</v>
      </c>
      <c r="B1817" s="2" t="inlineStr">
        <is>
          <t>не сюжет</t>
        </is>
      </c>
      <c r="C1817" s="2" t="n">
        <v>10156</v>
      </c>
      <c r="D1817" s="3" t="inlineStr">
        <is>
          <t>Страх и отчаяние в Третьей империи</t>
        </is>
      </c>
      <c r="E1817" s="2" t="n">
        <v>1965</v>
      </c>
      <c r="F1817" s="2" t="inlineStr">
        <is>
          <t>фильм-спектакль</t>
        </is>
      </c>
      <c r="G1817" s="2" t="inlineStr">
        <is>
          <t>Ленинградское телевидение</t>
        </is>
      </c>
      <c r="H1817" s="2" t="n">
        <v>506</v>
      </c>
      <c r="I1817" s="2" t="inlineStr"/>
      <c r="J1817" s="2" t="inlineStr">
        <is>
          <t>да</t>
        </is>
      </c>
      <c r="K1817" s="3" t="inlineStr">
        <is>
          <t>Ленинградское телевидение 1965 года представляет постановку по мотивам сцен пьесы-обозрения Бертольда Брехта .
Германии под властью фашизма были посвящены хроникальные драматические сцены «Страх и отчаяние в Третьей империи», написанные Бертольдом Брехтом в 1938 году. Театры всего мира ставят его пьесы, открывая в них все новые стороны, привлекающие зрителей шестидесятых годов.
Постановка брехтовских пьес — такой же экзамен на зрелость для театральной труппы, как трагедия Шекспира или комедия Мольера.</t>
        </is>
      </c>
      <c r="L1817" s="2" t="inlineStr">
        <is>
          <t>https://www.kino-teatr.ru/teatr/movie/12245/annot/</t>
        </is>
      </c>
      <c r="M1817" s="2">
        <f>HYPERLINK("https://ru.wikipedia.org/w/index.php?search=%D0%A1%D1%82%D1%80%D0%B0%D1%85%20%D0%B8%20%D0%BE%D1%82%D1%87%D0%B0%D1%8F%D0%BD%D0%B8%D0%B5%20%D0%B2%20%D0%A2%D1%80%D0%B5%D1%82%D1%8C%D0%B5%D0%B9%20%D0%B8%D0%BC%D0%BF%D0%B5%D1%80%D0%B8%D0%B8%201965%20%D1%84%D0%B8%D0%BB%D1%8C%D0%BC","искать")</f>
        <v/>
      </c>
      <c r="N1817" s="3" t="n"/>
      <c r="O1817" s="2" t="n"/>
    </row>
    <row r="1818">
      <c r="A1818" s="2" t="n">
        <v>1817</v>
      </c>
      <c r="B1818" s="2" t="inlineStr">
        <is>
          <t>не сюжет</t>
        </is>
      </c>
      <c r="C1818" s="2" t="n">
        <v>10420</v>
      </c>
      <c r="D1818" s="3" t="inlineStr">
        <is>
          <t>Суббота, воскресенье, понедельник</t>
        </is>
      </c>
      <c r="E1818" s="2" t="n">
        <v>1971</v>
      </c>
      <c r="F1818" s="2" t="inlineStr">
        <is>
          <t>фильм-спектакль</t>
        </is>
      </c>
      <c r="G1818" s="2" t="inlineStr">
        <is>
          <t>Главная редакция литературно-драматических программ</t>
        </is>
      </c>
      <c r="H1818" s="2" t="n">
        <v>507</v>
      </c>
      <c r="I1818" s="2" t="inlineStr"/>
      <c r="J1818" s="2" t="inlineStr">
        <is>
          <t>да</t>
        </is>
      </c>
      <c r="K1818" s="3" t="inlineStr">
        <is>
          <t>Трагикомедия Эдуардо де Филиппо в постановке театра им. Ермоловой.
Три дня из жизни простых неаполитанцев.
Всего три дня выхвачены из жизни героев пьесы, но вся их жизнь — и прошедшая, и будущая — словно на ладони. Люди тут бесхитростны, чистосердечны и искренни. Они обладают удивительной притягательностью. Это темпераментные люди. Но что поделаешь с неаполитанцами, если даже обсуждение рецепта обжаривания лука для рагу насыщено пылающей страстью! Они романтичны, немного смешны и простодушны, как дети.</t>
        </is>
      </c>
      <c r="L1818" s="2" t="inlineStr">
        <is>
          <t>https://www.kino-teatr.ru/teatr/movie/81382/annot/</t>
        </is>
      </c>
      <c r="M1818" s="2">
        <f>HYPERLINK("https://ru.wikipedia.org/w/index.php?search=%D0%A1%D1%83%D0%B1%D0%B1%D0%BE%D1%82%D0%B0%2C%20%D0%B2%D0%BE%D1%81%D0%BA%D1%80%D0%B5%D1%81%D0%B5%D0%BD%D1%8C%D0%B5%2C%20%D0%BF%D0%BE%D0%BD%D0%B5%D0%B4%D0%B5%D0%BB%D1%8C%D0%BD%D0%B8%D0%BA%201971%20%D1%84%D0%B8%D0%BB%D1%8C%D0%BC","искать")</f>
        <v/>
      </c>
      <c r="N1818" s="3" t="n"/>
      <c r="O1818" s="2" t="n"/>
    </row>
    <row r="1819">
      <c r="A1819" s="2" t="n">
        <v>1818</v>
      </c>
      <c r="B1819" s="2" t="inlineStr">
        <is>
          <t>не сюжет</t>
        </is>
      </c>
      <c r="C1819" s="2" t="n">
        <v>11195</v>
      </c>
      <c r="D1819" s="3" t="inlineStr">
        <is>
          <t>Дон Жуан</t>
        </is>
      </c>
      <c r="E1819" s="2" t="n">
        <v>1988</v>
      </c>
      <c r="F1819" s="2" t="inlineStr">
        <is>
          <t>фильм-спектакль</t>
        </is>
      </c>
      <c r="G1819" s="2" t="inlineStr">
        <is>
          <t>Главная редакция литературно-драматических программ ЦТ</t>
        </is>
      </c>
      <c r="H1819" s="2" t="n">
        <v>507</v>
      </c>
      <c r="I1819" s="2" t="inlineStr"/>
      <c r="J1819" s="2" t="inlineStr">
        <is>
          <t>да</t>
        </is>
      </c>
      <c r="K1819" s="3" t="inlineStr">
        <is>
          <t>"Дон Жуан" - спектакль, поставленный ГАЦТК им. Образцова. Кукольный театр - мир особенно ясный и счастливый - отбрасывает всевозможные ограничения и предубеждения. Сам спектакль Дон Жуан ироничен. Он - пародия на мюзикл. Язык спектакля, понятный всем и каждому , - писал Зиновий Гердт.
Каждая картина - самостоятельный вид штампованного мюзикла: исторический мюзикл, мюзикл кошмаров, даже есть детективно - мордобойный мюзикл. И, конечно, вступительное слово читает сам автор - Сергей Владимирович Образцов.</t>
        </is>
      </c>
      <c r="L1819" s="2" t="inlineStr">
        <is>
          <t>https://www.kino-teatr.ru/teatr/movie/89548/annot/</t>
        </is>
      </c>
      <c r="M1819" s="2">
        <f>HYPERLINK("https://ru.wikipedia.org/w/index.php?search=%D0%94%D0%BE%D0%BD%20%D0%96%D1%83%D0%B0%D0%BD%201988%20%D1%84%D0%B8%D0%BB%D1%8C%D0%BC","искать")</f>
        <v/>
      </c>
      <c r="N1819" s="3" t="n"/>
      <c r="O1819" s="2" t="n"/>
    </row>
    <row r="1820">
      <c r="A1820" s="2" t="n">
        <v>1819</v>
      </c>
      <c r="B1820" s="2" t="inlineStr">
        <is>
          <t>не сюжет</t>
        </is>
      </c>
      <c r="C1820" s="2" t="n">
        <v>10587</v>
      </c>
      <c r="D1820" s="3" t="inlineStr">
        <is>
          <t>Р РѕРјРµРѕ Рё Р”Р¶СѓР»СЊРµС‚С‚Р°</t>
        </is>
      </c>
      <c r="E1820" s="2" t="n">
        <v>1974</v>
      </c>
      <c r="F1820" s="2" t="inlineStr">
        <is>
          <t>фильм-спектакль</t>
        </is>
      </c>
      <c r="G1820" s="2" t="n"/>
      <c r="H1820" s="2" t="n">
        <v>508</v>
      </c>
      <c r="I1820" s="2" t="inlineStr"/>
      <c r="J1820" s="2" t="inlineStr">
        <is>
          <t>да</t>
        </is>
      </c>
      <c r="K1820" s="3" t="inlineStr">
        <is>
          <t>Р¤РёР»СЊРј-Р±Р°Р»РµС‚ РЎ.РџСЂРѕРєРѕС„СЊРµРІР° "Р РѕРјРµРѕ Рё Р”Р¶СѓР»СЊРµС‚С‚Р°" РїРѕ РѕРґРЅРѕРёРјРµРЅРЅРѕР№ С‚СЂР°РіРµРґРёРё РЈ.РЁРµРєСЃРїРёСЂР° РІ РїРѕСЃС‚Р°РЅРѕРІРєРµ Р“РѕСЃСѓРґР°СЂСЃС‚РІРµРЅРЅРѕРіРѕ Р°РєР°РґРµРјРёС‡РµСЃРєРѕРіРѕ Р‘РѕР»СЊС€РѕРіРѕ С‚РµР°С‚СЂР° РЎРѕСЋР·Р° РЎРЎР .
Р›РёР±СЂРµС‚С‚Рѕ - РЎ.Р Р°РґР»РѕРІ, Рђ.РџРёРѕС‚СЂРѕРІСЃРєРёР№, РЎ.РџСЂРѕРєРѕС„СЊРµРІ. РҐРѕСЂРµРѕРіСЂР°С„РёСЏ Р›.Р›Р°РІСЂРѕРІСЃРєРѕРіРѕ. Р”РёСЂРёР¶РµСЂ - Рђ.Р–СЋСЂР°Р№С‚РёСЃ.
Р—Р°РїРёСЃСЊ РїРѕ С‚СЂР°РЅСЃР»СЏС†РёРё 26.09.1974 Рі.</t>
        </is>
      </c>
      <c r="L1820" s="2" t="inlineStr">
        <is>
          <t>https://www.kino-teatr.ru/teatr/movie/102959/annot/</t>
        </is>
      </c>
      <c r="M1820" s="2">
        <f>HYPERLINK("https://ru.wikipedia.org/w/index.php?search=%D0%A0%20%D0%A0%D1%95%D0%A0%D1%98%D0%A0%C2%B5%D0%A0%D1%95%20%D0%A0%D1%91%20%D0%A0%E2%80%9D%D0%A0%C2%B6%D0%A1%D1%93%D0%A0%C2%BB%D0%A1%D0%8A%D0%A0%C2%B5%D0%A1%E2%80%9A%D0%A1%E2%80%9A%D0%A0%C2%B0%201974%20%D1%84%D0%B8%D0%BB%D1%8C%D0%BC","искать")</f>
        <v/>
      </c>
      <c r="N1820" s="3" t="n"/>
      <c r="O1820" s="2" t="n"/>
    </row>
    <row r="1821">
      <c r="A1821" s="2" t="n">
        <v>1820</v>
      </c>
      <c r="B1821" s="2" t="inlineStr">
        <is>
          <t>не сюжет</t>
        </is>
      </c>
      <c r="C1821" s="2" t="n">
        <v>10888</v>
      </c>
      <c r="D1821" s="3" t="inlineStr">
        <is>
          <t>Леший</t>
        </is>
      </c>
      <c r="E1821" s="2" t="n">
        <v>1981</v>
      </c>
      <c r="F1821" s="2" t="inlineStr">
        <is>
          <t>фильм-спектакль</t>
        </is>
      </c>
      <c r="G1821" s="2" t="inlineStr">
        <is>
          <t>ТО "Экран", Государственный Академический Театр имени Евгения Вахтангова</t>
        </is>
      </c>
      <c r="H1821" s="2" t="n">
        <v>509</v>
      </c>
      <c r="I1821" s="2" t="inlineStr"/>
      <c r="J1821" s="2" t="inlineStr">
        <is>
          <t>да</t>
        </is>
      </c>
      <c r="K1821" s="3" t="inlineStr">
        <is>
          <t>По одноименной пьесе Чехова в постановке театра имени Евгения Вахтангова.
Пьеса, традиционно считающаяся предтечей «Дяди Вани». Многие персонажи, ситуации и фрагменты текста, перенесены в «Дядю Ваню» из «Лешего». В пьесе, как и во всех произведениях Чехова, отразились все черты русского национального характера. Природа и человек — взаимосвязаны, человек убрал сначала лес, а потом цивилизация убрала человека: духовные ценности утрачены, традиции уничтожены, исчезла способность сочувствовать, сопереживать.</t>
        </is>
      </c>
      <c r="L1821" s="2" t="inlineStr">
        <is>
          <t>https://www.kino-teatr.ru/teatr/movie/81550/annot/</t>
        </is>
      </c>
      <c r="M1821" s="2">
        <f>HYPERLINK("https://ru.wikipedia.org/w/index.php?search=%D0%9B%D0%B5%D1%88%D0%B8%D0%B9%201981%20%D1%84%D0%B8%D0%BB%D1%8C%D0%BC","искать")</f>
        <v/>
      </c>
      <c r="N1821" s="3" t="n"/>
      <c r="O1821" s="2" t="n"/>
    </row>
    <row r="1822">
      <c r="A1822" s="2" t="n">
        <v>1821</v>
      </c>
      <c r="B1822" s="2" t="inlineStr">
        <is>
          <t>не сюжет</t>
        </is>
      </c>
      <c r="C1822" s="2" t="n">
        <v>9131</v>
      </c>
      <c r="D1822" s="3" t="inlineStr">
        <is>
          <t>Униженные и оскорблённые</t>
        </is>
      </c>
      <c r="E1822" s="2" t="n">
        <v>1990</v>
      </c>
      <c r="F1822" s="2" t="inlineStr">
        <is>
          <t>кинофильм</t>
        </is>
      </c>
      <c r="G1822" s="2" t="n"/>
      <c r="H1822" s="2" t="n">
        <v>510</v>
      </c>
      <c r="I1822" s="2" t="inlineStr"/>
      <c r="J1822" s="2" t="inlineStr">
        <is>
          <t>да</t>
        </is>
      </c>
      <c r="K1822" s="3" t="inlineStr">
        <is>
          <t>Экранизация одноименного романа великого русского писаталя Федора Михайловича Достоевского. Главным украшением фильма стала голливудская звезда Настасья Кински, воплотившая на экране трагический образ Наташи Ихметьевой. Режиссер с помощью точно подобранных костюмов, грима, света, декораций, а также музыки и выразительных крупных планов сумел передать индивидуальный стиль великого писателя и показать всю сложность и неоднозначность созданных сначала Достоевским, а потом и талантливыми артистами характеров.</t>
        </is>
      </c>
      <c r="L1822" s="2" t="inlineStr">
        <is>
          <t>Кино_СССР сводный каталог.xlsx: список фильмов (доп.)</t>
        </is>
      </c>
      <c r="M1822" s="2">
        <f>HYPERLINK("https://ru.wikipedia.org/w/index.php?search=%D0%A3%D0%BD%D0%B8%D0%B6%D0%B5%D0%BD%D0%BD%D1%8B%D0%B5%20%D0%B8%20%D0%BE%D1%81%D0%BA%D0%BE%D1%80%D0%B1%D0%BB%D1%91%D0%BD%D0%BD%D1%8B%D0%B5%201990%20%D1%84%D0%B8%D0%BB%D1%8C%D0%BC","искать")</f>
        <v/>
      </c>
      <c r="N1822" s="3" t="n"/>
      <c r="O1822" s="2" t="n"/>
    </row>
    <row r="1823">
      <c r="A1823" s="2" t="n">
        <v>1822</v>
      </c>
      <c r="B1823" s="2" t="inlineStr">
        <is>
          <t>не сюжет</t>
        </is>
      </c>
      <c r="C1823" s="2" t="n">
        <v>7596</v>
      </c>
      <c r="D1823" s="3" t="inlineStr">
        <is>
          <t>Жизнь Берлиоза</t>
        </is>
      </c>
      <c r="E1823" s="2" t="n">
        <v>1982</v>
      </c>
      <c r="F1823" s="2" t="inlineStr">
        <is>
          <t>телефильм</t>
        </is>
      </c>
      <c r="G1823" s="2" t="n"/>
      <c r="H1823" s="2" t="n">
        <v>514</v>
      </c>
      <c r="I1823" s="2" t="inlineStr"/>
      <c r="J1823" s="2" t="inlineStr">
        <is>
          <t>да</t>
        </is>
      </c>
      <c r="K1823" s="3" t="inlineStr">
        <is>
          <t>Телесериал посвящен жизни и творчеству великого французского композитора XIX столетия Гектора Берлиоза, автора знаменитой «Фантастической симфонии», яркого представителя романтизма в музыке; художника, чей талант намного опередил свое время. Сама жизнь Берлиоза была наполнена событиями, счастливыми и печальными, творческими поисками, общением с талантливыми современниками, одни из которых поражались глубиной и искренностью музыки композитора, другие вспоминали о Гекторе Берлиозе как о «напыщенном комедианте».</t>
        </is>
      </c>
      <c r="L1823" s="2" t="inlineStr">
        <is>
          <t>Кино_СССР сводный каталог.xlsx: список телефильмов</t>
        </is>
      </c>
      <c r="M1823" s="2">
        <f>HYPERLINK("https://ru.wikipedia.org/w/index.php?search=%D0%96%D0%B8%D0%B7%D0%BD%D1%8C%20%D0%91%D0%B5%D1%80%D0%BB%D0%B8%D0%BE%D0%B7%D0%B0%201982%20%D1%84%D0%B8%D0%BB%D1%8C%D0%BC","искать")</f>
        <v/>
      </c>
      <c r="N1823" s="3" t="n"/>
      <c r="O1823" s="2" t="n"/>
    </row>
    <row r="1824">
      <c r="A1824" s="2" t="n">
        <v>1823</v>
      </c>
      <c r="B1824" s="2" t="inlineStr">
        <is>
          <t>не сюжет</t>
        </is>
      </c>
      <c r="C1824" s="2" t="n">
        <v>10669</v>
      </c>
      <c r="D1824" s="3" t="inlineStr">
        <is>
          <t>Рамаяна</t>
        </is>
      </c>
      <c r="E1824" s="2" t="n">
        <v>1976</v>
      </c>
      <c r="F1824" s="2" t="inlineStr">
        <is>
          <t>фильм-спектакль</t>
        </is>
      </c>
      <c r="G1824" s="2" t="inlineStr">
        <is>
          <t>Творческое объединение "Экран"</t>
        </is>
      </c>
      <c r="H1824" s="2" t="n">
        <v>520</v>
      </c>
      <c r="I1824" s="2" t="inlineStr"/>
      <c r="J1824" s="2" t="inlineStr">
        <is>
          <t>да</t>
        </is>
      </c>
      <c r="K1824" s="3" t="inlineStr">
        <is>
          <t>Пьеса Натальи Гусевой по древнеиндийскому эпосу в постановке Государственного центрального детского театра.
Рама – преданный сын своих родителей, понимающий брат, сильный мужчина, бесстрашный воин, верный муж и мудрый правитель.
Это не просто обычная история. В ней содержатся учения древних мудрецов, которые представлены посредством аллегорического повествования в сочетании с философией и бхакти. Персонажи Рамы, Ситы, Лакшманы, Бхараты, Ханумана и Раваны являются неотъемлемыми элементами культурного сознания Индии.</t>
        </is>
      </c>
      <c r="L1824" s="2" t="inlineStr">
        <is>
          <t>https://www.kino-teatr.ru/teatr/movie/89962/annot/</t>
        </is>
      </c>
      <c r="M1824" s="2">
        <f>HYPERLINK("https://ru.wikipedia.org/w/index.php?search=%D0%A0%D0%B0%D0%BC%D0%B0%D1%8F%D0%BD%D0%B0%201976%20%D1%84%D0%B8%D0%BB%D1%8C%D0%BC","искать")</f>
        <v/>
      </c>
      <c r="N1824" s="3" t="n"/>
      <c r="O1824" s="2" t="n"/>
    </row>
    <row r="1825">
      <c r="A1825" s="2" t="n">
        <v>1824</v>
      </c>
      <c r="B1825" s="2" t="inlineStr">
        <is>
          <t>не сюжет</t>
        </is>
      </c>
      <c r="C1825" s="2" t="n">
        <v>11216</v>
      </c>
      <c r="D1825" s="3" t="inlineStr">
        <is>
          <t>Мертвые души</t>
        </is>
      </c>
      <c r="E1825" s="2" t="n">
        <v>1988</v>
      </c>
      <c r="F1825" s="2" t="inlineStr">
        <is>
          <t>фильм-спектакль</t>
        </is>
      </c>
      <c r="G1825" s="2" t="n"/>
      <c r="H1825" s="2" t="n">
        <v>520</v>
      </c>
      <c r="I1825" s="2" t="inlineStr"/>
      <c r="J1825" s="2" t="inlineStr">
        <is>
          <t>да</t>
        </is>
      </c>
      <c r="K1825" s="3" t="inlineStr">
        <is>
          <t>В 1985 году А. Филиппенко и М. Розовский становятся лауреатами посвященного 175-летию со дня рождения Н.В. Гоголя конкурса артистов-чтецов за «Повесть о капитане Копейкине». Вскоре появился моноспектакль «Мёртвые души». 18 мая 1988 года на сцене Московского драматического театра имени К.С. Станиславского в рамках культурной программы творческого объединения «Союзтеатр» состоялась премьера моноспектакля Александра Филиппенко «Мёртвые души». Затем спектакль возобновлялся в других декорациях и шёл в различных театрах.</t>
        </is>
      </c>
      <c r="L1825" s="2" t="inlineStr">
        <is>
          <t>https://www.kino-teatr.ru/teatr/movie/99074/annot/</t>
        </is>
      </c>
      <c r="M1825" s="2">
        <f>HYPERLINK("https://ru.wikipedia.org/w/index.php?search=%D0%9C%D0%B5%D1%80%D1%82%D0%B2%D1%8B%D0%B5%20%D0%B4%D1%83%D1%88%D0%B8%201988%20%D1%84%D0%B8%D0%BB%D1%8C%D0%BC","искать")</f>
        <v/>
      </c>
      <c r="N1825" s="3" t="n"/>
      <c r="O1825" s="2" t="n"/>
    </row>
    <row r="1826">
      <c r="A1826" s="2" t="n">
        <v>1825</v>
      </c>
      <c r="B1826" s="2" t="inlineStr">
        <is>
          <t>не сюжет</t>
        </is>
      </c>
      <c r="C1826" s="2" t="n">
        <v>10193</v>
      </c>
      <c r="D1826" s="3" t="inlineStr">
        <is>
          <t>Евгений Онегин</t>
        </is>
      </c>
      <c r="E1826" s="2" t="n">
        <v>1967</v>
      </c>
      <c r="F1826" s="2" t="inlineStr">
        <is>
          <t>фильм-спектакль</t>
        </is>
      </c>
      <c r="G1826" s="2" t="inlineStr">
        <is>
          <t>Ленинградское ТВ</t>
        </is>
      </c>
      <c r="H1826" s="2" t="n">
        <v>533</v>
      </c>
      <c r="I1826" s="2" t="inlineStr"/>
      <c r="J1826" s="2" t="inlineStr">
        <is>
          <t>да</t>
        </is>
      </c>
      <c r="K1826" s="3" t="inlineStr">
        <is>
          <t>Первая и вторая главы "Евгения Онегина" в исполнении Сергея Юрского.
Впервые Сергей Юрский прочел на телевидении "Евгения Онегина" почти сорок лет назад. И тогда, тридцатилетний Юрский читал поэму тридцатилетнего Пушкина, и самое замечательное в этом было то, как совместились мироощущения ровесников, актера и поэта. Как улетучилась в миг извечная чтецкая дистанция, и Пушкин, язвительный и романтичный, Пушкин-болтун и мудрец, хулиган и философ предстал перед зрителями не только в лирических отступлениях, но и в персонажах поэмы.</t>
        </is>
      </c>
      <c r="L1826" s="2" t="inlineStr">
        <is>
          <t>https://www.kino-teatr.ru/teatr/movie/92871/annot/</t>
        </is>
      </c>
      <c r="M1826" s="2">
        <f>HYPERLINK("https://ru.wikipedia.org/w/index.php?search=%D0%95%D0%B2%D0%B3%D0%B5%D0%BD%D0%B8%D0%B9%20%D0%9E%D0%BD%D0%B5%D0%B3%D0%B8%D0%BD%201967%20%D1%84%D0%B8%D0%BB%D1%8C%D0%BC","искать")</f>
        <v/>
      </c>
      <c r="N1826" s="3" t="n"/>
      <c r="O1826" s="2" t="n"/>
    </row>
    <row r="1827">
      <c r="A1827" s="2" t="n">
        <v>1826</v>
      </c>
      <c r="B1827" s="2" t="inlineStr">
        <is>
          <t>не сюжет</t>
        </is>
      </c>
      <c r="C1827" s="2" t="n">
        <v>10317</v>
      </c>
      <c r="D1827" s="3" t="inlineStr">
        <is>
          <t>Мёртвые души</t>
        </is>
      </c>
      <c r="E1827" s="2" t="n">
        <v>1969</v>
      </c>
      <c r="F1827" s="2" t="inlineStr">
        <is>
          <t>фильм-спектакль</t>
        </is>
      </c>
      <c r="G1827" s="2" t="inlineStr">
        <is>
          <t>Ленинградское телевидение</t>
        </is>
      </c>
      <c r="H1827" s="2" t="n">
        <v>545</v>
      </c>
      <c r="I1827" s="2" t="inlineStr"/>
      <c r="J1827" s="2" t="inlineStr">
        <is>
          <t>да</t>
        </is>
      </c>
      <c r="K1827" s="3" t="inlineStr">
        <is>
          <t>Сатирическая трагикомедия по одноименной поэме Н.В.Гоголя.
Работу над " Мёртвыми душами " Гоголь начал еще в 1835 году по совету Пушкина и на сюжет, подсказанный им. В "Мертвых душах" Гоголь поставил самые острые и больные вопросы современной жизни. Уже само название поэмы - "Мёртвые души" - имело огромную разоблачающую силу, носило в себе, по словам Герцена, "что-то наводящее ужас", "иначе он не мог назвать; не ревизские - мёртвые души, а все эти Ноздрёвы. Маниловы и все им подобные - вот мёртвые души, и мы их встречаем на каждом шагу..."</t>
        </is>
      </c>
      <c r="L1827" s="2" t="inlineStr">
        <is>
          <t>https://www.kino-teatr.ru/teatr/movie/14306/annot/</t>
        </is>
      </c>
      <c r="M1827" s="2">
        <f>HYPERLINK("https://ru.wikipedia.org/w/index.php?search=%D0%9C%D1%91%D1%80%D1%82%D0%B2%D1%8B%D0%B5%20%D0%B4%D1%83%D1%88%D0%B8%201969%20%D1%84%D0%B8%D0%BB%D1%8C%D0%BC","искать")</f>
        <v/>
      </c>
      <c r="N1827" s="3" t="n"/>
      <c r="O1827" s="2" t="n"/>
    </row>
    <row r="1828">
      <c r="A1828" s="2" t="n">
        <v>1827</v>
      </c>
      <c r="B1828" s="2" t="inlineStr">
        <is>
          <t>не сюжет</t>
        </is>
      </c>
      <c r="C1828" s="2" t="n">
        <v>10713</v>
      </c>
      <c r="D1828" s="3" t="inlineStr">
        <is>
          <t>Р Р°СЃСЃРєР°Р· РѕС‚ РїРµСЂРІРѕРіРѕ Р»РёС†Р°</t>
        </is>
      </c>
      <c r="E1828" s="2" t="n">
        <v>1977</v>
      </c>
      <c r="F1828" s="2" t="inlineStr">
        <is>
          <t>фильм-спектакль</t>
        </is>
      </c>
      <c r="G1828" s="2" t="n"/>
      <c r="H1828" s="2" t="n">
        <v>545</v>
      </c>
      <c r="I1828" s="2" t="inlineStr"/>
      <c r="J1828" s="2" t="inlineStr">
        <is>
          <t>да</t>
        </is>
      </c>
      <c r="K1828" s="3" t="inlineStr">
        <is>
          <t>РџРѕ РїСЊРµСЃРµ Рђ. Р“СЂРµР±РЅРµРІР° "Р Р°СЃСЃРєР°Р· РѕС‚ РїРµСЂРІРѕРіРѕ Р»РёС†Р°. Р”РЅРµРІРЅРёРє РґРёСЂРµРєС‚РѕСЂР° С€РєРѕР»С‹" РІ РїРѕСЃС‚Р°РЅРѕРІРєРµ РњРѕСЃРєРѕРІСЃРєРѕРіРѕ РґСЂР°РјР°С‚РёС‡РµСЃРєРѕРіРѕ С‚РµР°С‚СЂР° РЅР° РњР°Р»РѕР№ Р‘СЂРѕРЅРЅРѕР№.
Р’ РѕСЃРЅРѕРІСѓ РґСЂР°РјР°С‚СѓСЂРіРёС‡РµСЃРєРѕРіРѕ Р·Р°РјС‹СЃР»Р° РїРѕР»РѕР¶РµРЅ РїСЂРёРЅС†РёРї РјРѕРЅРѕР»РѕРіР°. РџСЊРµСЃР° РЅРѕСЃРёС‚ С…Р°СЂР°РєС‚РµСЂ СЂР°Р·РјС‹С€Р»РµРЅРёР№ РїРѕ РїРѕРІРѕРґСѓ РїСЂРѕР±Р»РµРј, СЃРІСЏР·Р°РЅРЅС‹С… СЃ РІРѕСЃРїРёС‚Р°РЅРёРµРј РґРµС‚РµР№ РІ СЃСЂРµРґРЅРµР№ С€РєРѕР»Рµ.</t>
        </is>
      </c>
      <c r="L1828" s="2" t="inlineStr">
        <is>
          <t>https://www.kino-teatr.ru/teatr/movie/104382/annot/</t>
        </is>
      </c>
      <c r="M1828" s="2">
        <f>HYPERLINK("https://ru.wikipedia.org/w/index.php?search=%D0%A0%20%D0%A0%C2%B0%D0%A1%D0%83%D0%A1%D0%83%D0%A0%D1%94%D0%A0%C2%B0%D0%A0%C2%B7%20%D0%A0%D1%95%D0%A1%E2%80%9A%20%D0%A0%D1%97%D0%A0%C2%B5%D0%A1%D0%82%D0%A0%D0%86%D0%A0%D1%95%D0%A0%D1%96%D0%A0%D1%95%20%D0%A0%C2%BB%D0%A0%D1%91%D0%A1%E2%80%A0%D0%A0%C2%B0%201977%20%D1%84%D0%B8%D0%BB%D1%8C%D0%BC","искать")</f>
        <v/>
      </c>
      <c r="N1828" s="3" t="n"/>
      <c r="O1828" s="2" t="n"/>
    </row>
    <row r="1829">
      <c r="A1829" s="2" t="n">
        <v>1828</v>
      </c>
      <c r="B1829" s="2" t="inlineStr">
        <is>
          <t>не сюжет</t>
        </is>
      </c>
      <c r="C1829" s="2" t="n">
        <v>7757</v>
      </c>
      <c r="D1829" s="3" t="inlineStr">
        <is>
          <t>Короткие истории</t>
        </is>
      </c>
      <c r="E1829" s="2" t="n">
        <v>1963</v>
      </c>
      <c r="F1829" s="2" t="inlineStr">
        <is>
          <t>телефильм</t>
        </is>
      </c>
      <c r="G1829" s="2" t="n"/>
      <c r="H1829" s="2" t="n">
        <v>564</v>
      </c>
      <c r="I1829" s="2" t="inlineStr"/>
      <c r="J1829" s="2" t="inlineStr">
        <is>
          <t>да</t>
        </is>
      </c>
      <c r="K1829" s="3" t="inlineStr">
        <is>
          <t>Фильм состоит из экранизации юмористических миниатюр писателей зарубежных стран: «Улыбнись, товарищ!», «Интересно», «Вопрос о лопнувшей трубе», «Я стучу на машинке», «И так бывает», «Осторожный человек», «Времена года», «Семейный вечер», «Шутки-малютки», «Условия развода», «Телефон», «Калиновский», «Сестра Моника», «Улыбка художника», «Случай в самолете», «Мошенник», «Тайна комнаты № 216», «Порядок прежде всего», «В суде», «Слоны из мух», «Умелец», «Гостеприимство», «Поучительный случай», «Легенда о блуждающих зеркалах», «Маэстро», «Следите за моралью» и др.</t>
        </is>
      </c>
      <c r="L1829" s="2" t="inlineStr">
        <is>
          <t>Кино_СССР сводный каталог.xlsx: список телефильмов</t>
        </is>
      </c>
      <c r="M1829" s="2">
        <f>HYPERLINK("https://ru.wikipedia.org/w/index.php?search=%D0%9A%D0%BE%D1%80%D0%BE%D1%82%D0%BA%D0%B8%D0%B5%20%D0%B8%D1%81%D1%82%D0%BE%D1%80%D0%B8%D0%B8%201963%20%D1%84%D0%B8%D0%BB%D1%8C%D0%BC","искать")</f>
        <v/>
      </c>
      <c r="N1829" s="3" t="n"/>
      <c r="O1829" s="2" t="n"/>
    </row>
    <row r="1830">
      <c r="A1830" s="2" t="n">
        <v>1829</v>
      </c>
      <c r="B1830" s="2" t="inlineStr">
        <is>
          <t>не сюжет</t>
        </is>
      </c>
      <c r="C1830" s="2" t="n">
        <v>11283</v>
      </c>
      <c r="D1830" s="3" t="inlineStr">
        <is>
          <t>Стариковское дело</t>
        </is>
      </c>
      <c r="E1830" s="2" t="n">
        <v>1989</v>
      </c>
      <c r="F1830" s="2" t="inlineStr">
        <is>
          <t>фильм-спектакль</t>
        </is>
      </c>
      <c r="G1830" s="2" t="inlineStr">
        <is>
          <t>Главная редакция литературно-драматических программ ЦТ</t>
        </is>
      </c>
      <c r="H1830" s="2" t="n">
        <v>564</v>
      </c>
      <c r="I1830" s="2" t="inlineStr"/>
      <c r="J1830" s="2" t="inlineStr">
        <is>
          <t>да</t>
        </is>
      </c>
      <c r="K1830" s="3" t="inlineStr">
        <is>
          <t>Телеспектакль Константина Антропова в постановке театра "Школа современной пьесы" по мотивам рассказов Василия Шукшина «Горе», «Как умирал старик», «Дядя Ермолай».
"Стариковское дело — спокойно думать о смерти. И тогда-то и открывается человеку вся сокрытая, изумительная, вечная красота Жизни". Спектакль о нелегкой старости много повидавших и переживших людей. Михаил Глузский — исполнитель одной из главных ролей в этом спектакле — как-то сказал: «Сойдя со сцены, актер умирает вместе со зрителями, которые его видели, а благодаря кино, актер остается надолго».</t>
        </is>
      </c>
      <c r="L1830" s="2" t="inlineStr">
        <is>
          <t>https://www.kino-teatr.ru/teatr/movie/81607/annot/</t>
        </is>
      </c>
      <c r="M1830" s="2">
        <f>HYPERLINK("https://ru.wikipedia.org/w/index.php?search=%D0%A1%D1%82%D0%B0%D1%80%D0%B8%D0%BA%D0%BE%D0%B2%D1%81%D0%BA%D0%BE%D0%B5%20%D0%B4%D0%B5%D0%BB%D0%BE%201989%20%D1%84%D0%B8%D0%BB%D1%8C%D0%BC","искать")</f>
        <v/>
      </c>
      <c r="N1830" s="3" t="n"/>
      <c r="O1830" s="2" t="n"/>
    </row>
    <row r="1831">
      <c r="A1831" s="2" t="n">
        <v>1830</v>
      </c>
      <c r="B1831" s="2" t="inlineStr">
        <is>
          <t>не сюжет</t>
        </is>
      </c>
      <c r="C1831" s="2" t="n">
        <v>9819</v>
      </c>
      <c r="D1831" s="3" t="inlineStr">
        <is>
          <t>Апрель</t>
        </is>
      </c>
      <c r="E1831" s="2" t="n">
        <v>1962</v>
      </c>
      <c r="F1831" s="2" t="inlineStr">
        <is>
          <t>кинофильм</t>
        </is>
      </c>
      <c r="G1831" s="2" t="inlineStr">
        <is>
          <t>Грузия-фильм</t>
        </is>
      </c>
      <c r="H1831" s="2" t="n">
        <v>570</v>
      </c>
      <c r="I1831" s="2" t="inlineStr"/>
      <c r="J1831" s="2" t="inlineStr">
        <is>
          <t>да</t>
        </is>
      </c>
      <c r="K1831" s="3" t="inlineStr">
        <is>
          <t>«Жажда приобретательства убивает в лю­дях способность радоваться, грустить, то есть способность жить, превращает их в мещан. Фильм был снят намеренно без диалогов, мы придумали несуществующий язык, и на этом языке во второй полови­не картины персонажи бранят друг друга. Не ищите перевода — и так все понятно. Картина более тридцати лет пролежала на полке. В этом фильме, который я снял В 1962 году, я узнаю молодых людей, моих товарищей, какими они были в те време­на, когда мы все как беды боялись превра­титься в советского буржуа, раба благопо­лучия».
Отар Иоселиани</t>
        </is>
      </c>
      <c r="L1831" s="2" t="inlineStr">
        <is>
          <t>https://www.kino-teatr.ru/short/movie/sov/16361/annot/</t>
        </is>
      </c>
      <c r="M1831" s="2">
        <f>HYPERLINK("https://ru.wikipedia.org/w/index.php?search=%D0%90%D0%BF%D1%80%D0%B5%D0%BB%D1%8C%201962%20%D1%84%D0%B8%D0%BB%D1%8C%D0%BC","искать")</f>
        <v/>
      </c>
      <c r="N1831" s="3" t="n"/>
      <c r="O1831" s="2" t="n"/>
    </row>
    <row r="1832">
      <c r="A1832" s="2" t="n">
        <v>1831</v>
      </c>
      <c r="B1832" s="2" t="inlineStr">
        <is>
          <t>не сюжет</t>
        </is>
      </c>
      <c r="C1832" s="2" t="n">
        <v>10008</v>
      </c>
      <c r="D1832" s="3" t="inlineStr">
        <is>
          <t>Семья</t>
        </is>
      </c>
      <c r="E1832" s="2" t="n">
        <v>1985</v>
      </c>
      <c r="F1832" s="2" t="inlineStr">
        <is>
          <t>кинофильм</t>
        </is>
      </c>
      <c r="G1832" s="2" t="inlineStr">
        <is>
          <t>Грузия-фильм</t>
        </is>
      </c>
      <c r="H1832" s="2" t="n">
        <v>570</v>
      </c>
      <c r="I1832" s="2" t="inlineStr"/>
      <c r="J1832" s="2" t="inlineStr">
        <is>
          <t>да</t>
        </is>
      </c>
      <c r="K1832" s="3" t="inlineStr">
        <is>
          <t>В короткометражке "Семья" предощущение надвигающегося хаоса проявляется не в урбанистических пейзажах или присутствии социальных изгоев в кадре — моделью распада культурного бытия становится большая семья, членам которой все труднее сосуществовать в тбилисской квартире. Однако семейный портрет в интерьере не превращается в пестрый пейзаж грузинского общества середины восьмидесятых годов — автору мешает ощущение принадлежности к салону, оно не дает возможности освободиться от ложной ностальгии по интеллигентным и благородным предкам, светлому и радостному прошлому.</t>
        </is>
      </c>
      <c r="L1832" s="2" t="inlineStr">
        <is>
          <t>https://www.kino-teatr.ru/short/movie/sov/12354/annot/</t>
        </is>
      </c>
      <c r="M1832" s="2">
        <f>HYPERLINK("https://ru.wikipedia.org/w/index.php?search=%D0%A1%D0%B5%D0%BC%D1%8C%D1%8F%201985%20%D1%84%D0%B8%D0%BB%D1%8C%D0%BC","искать")</f>
        <v/>
      </c>
      <c r="N1832" s="3" t="n"/>
      <c r="O1832" s="2" t="n"/>
    </row>
    <row r="1833">
      <c r="A1833" s="2" t="n">
        <v>1832</v>
      </c>
      <c r="B1833" s="2" t="inlineStr">
        <is>
          <t>не сюжет</t>
        </is>
      </c>
      <c r="C1833" s="2" t="n">
        <v>10377</v>
      </c>
      <c r="D1833" s="3" t="inlineStr">
        <is>
          <t>Чайка русской сцены</t>
        </is>
      </c>
      <c r="E1833" s="2" t="n">
        <v>1970</v>
      </c>
      <c r="F1833" s="2" t="inlineStr">
        <is>
          <t>фильм-спектакль</t>
        </is>
      </c>
      <c r="G1833" s="2" t="inlineStr">
        <is>
          <t>Ленинградское телевидение, Подборки фильмов, фильмы про актеров</t>
        </is>
      </c>
      <c r="H1833" s="2" t="n">
        <v>591</v>
      </c>
      <c r="I1833" s="2" t="inlineStr"/>
      <c r="J1833" s="2" t="inlineStr">
        <is>
          <t>да</t>
        </is>
      </c>
      <c r="K1833" s="3" t="inlineStr">
        <is>
          <t>Спектакль о великой русской актрисе Вере Федоровне Комиссаржевской.
Судьба великой русской актрисы словно вобрала в себя все боли и взлеты этой нелегкой профессии, и если бывают жизни типичные, то Комиссаржевская стала совершенным "типом" Мельпомены, богини, ненасытно требующей души и плоти артиста. Не зря именно Веру Федоровну назвали "чайкой русской сцены", признав только за ней право неким тревожным символом распахнуть крылья на театральном занавесе. Удивительно, но даже незначительные детали ее биографии какими-то незримыми нитями связаны с нашим представлением о настоящем актере.</t>
        </is>
      </c>
      <c r="L1833" s="2" t="inlineStr">
        <is>
          <t>https://www.kino-teatr.ru/teatr/movie/92989/annot/</t>
        </is>
      </c>
      <c r="M1833" s="2">
        <f>HYPERLINK("https://ru.wikipedia.org/w/index.php?search=%D0%A7%D0%B0%D0%B9%D0%BA%D0%B0%20%D1%80%D1%83%D1%81%D1%81%D0%BA%D0%BE%D0%B9%20%D1%81%D1%86%D0%B5%D0%BD%D1%8B%201970%20%D1%84%D0%B8%D0%BB%D1%8C%D0%BC","искать")</f>
        <v/>
      </c>
      <c r="N1833" s="3" t="n"/>
      <c r="O1833" s="2" t="n"/>
    </row>
    <row r="1834">
      <c r="A1834" s="2" t="n">
        <v>1833</v>
      </c>
      <c r="B1834" s="2" t="inlineStr">
        <is>
          <t>не сюжет</t>
        </is>
      </c>
      <c r="C1834" s="2" t="n">
        <v>11290</v>
      </c>
      <c r="D1834" s="3" t="inlineStr">
        <is>
          <t>Энергичные люди</t>
        </is>
      </c>
      <c r="E1834" s="2" t="n">
        <v>1989</v>
      </c>
      <c r="F1834" s="2" t="inlineStr">
        <is>
          <t>фильм-спектакль</t>
        </is>
      </c>
      <c r="G1834" s="2" t="inlineStr">
        <is>
          <t>БДТ, Ленинградское Телевидение</t>
        </is>
      </c>
      <c r="H1834" s="2" t="n">
        <v>596</v>
      </c>
      <c r="I1834" s="2" t="inlineStr"/>
      <c r="J1834" s="2" t="inlineStr">
        <is>
          <t>да</t>
        </is>
      </c>
      <c r="K1834" s="3" t="inlineStr">
        <is>
          <t>22 июня 1974 года в БДТ состоялась премьера спектакля «Энергичные люди» Василия Шукшина. Пьесу в БДТ принес сам Василий Макарович. Критика тогда "Энергичных людей" приняла в штыки, а публика - с восторгом. Спектакль несколько десятилетий оставался в репертуаре театра. Герои пьесы Шукшина — действительно, энергичные люди в полном смысле этого слова. Мастера на все руки, хваткие и не чистые на руку, хапуги и воры, которых можно назвать бизнесменами эпохи социализма, которым не нашлось применения с их практической сметкой, умом. Товстоногов и актеры вдохнули в этих персонажей подлинную жизнь.</t>
        </is>
      </c>
      <c r="L1834" s="2" t="inlineStr">
        <is>
          <t>https://www.kino-teatr.ru/teatr/movie/17401/annot/</t>
        </is>
      </c>
      <c r="M1834" s="2">
        <f>HYPERLINK("https://ru.wikipedia.org/w/index.php?search=%D0%AD%D0%BD%D0%B5%D1%80%D0%B3%D0%B8%D1%87%D0%BD%D1%8B%D0%B5%20%D0%BB%D1%8E%D0%B4%D0%B8%201989%20%D1%84%D0%B8%D0%BB%D1%8C%D0%BC","искать")</f>
        <v/>
      </c>
      <c r="N1834" s="3" t="n"/>
      <c r="O1834" s="2" t="n"/>
    </row>
    <row r="1835">
      <c r="A1835" s="2" t="n">
        <v>1834</v>
      </c>
      <c r="B1835" s="2" t="inlineStr">
        <is>
          <t>не сюжет</t>
        </is>
      </c>
      <c r="C1835" s="2" t="n">
        <v>11180</v>
      </c>
      <c r="D1835" s="3" t="inlineStr">
        <is>
          <t>Песнь о великом походе</t>
        </is>
      </c>
      <c r="E1835" s="2" t="n">
        <v>1987</v>
      </c>
      <c r="F1835" s="2" t="inlineStr">
        <is>
          <t>фильм-спектакль</t>
        </is>
      </c>
      <c r="G1835" s="2" t="inlineStr">
        <is>
          <t>Центральное телевидение</t>
        </is>
      </c>
      <c r="H1835" s="2" t="n">
        <v>600</v>
      </c>
      <c r="I1835" s="2" t="inlineStr"/>
      <c r="J1835" s="2" t="inlineStr">
        <is>
          <t>да</t>
        </is>
      </c>
      <c r="K1835" s="3" t="inlineStr">
        <is>
          <t>Поэму Сергея Есенина "Песнь о великом походе" читает Валерий Золотухин.
"Песнь о великом походе" была написана летом 1924 года.Поэма посвящалась трагедии гражданской, братоубийственной войны, развивала тему справедливой мести рабочих и крестьян.
При жизни Есенина у поэмы была сложная история публикации, потребовавшей от него много сил и нервов. Литературные критики писали о ней противоречиво - от хвалебных отзывов до полного неприятия, что понятно, ведь поэма действительно необычна для Есенина. Отмечали, что "Песнь о великом походе" близка к "Слову о полку Игореве", которое Есенин хорошо знал.</t>
        </is>
      </c>
      <c r="L1835" s="2" t="inlineStr">
        <is>
          <t>https://www.kino-teatr.ru/teatr/movie/101526/annot/</t>
        </is>
      </c>
      <c r="M1835" s="2">
        <f>HYPERLINK("https://ru.wikipedia.org/w/index.php?search=%D0%9F%D0%B5%D1%81%D0%BD%D1%8C%20%D0%BE%20%D0%B2%D0%B5%D0%BB%D0%B8%D0%BA%D0%BE%D0%BC%20%D0%BF%D0%BE%D1%85%D0%BE%D0%B4%D0%B5%201987%20%D1%84%D0%B8%D0%BB%D1%8C%D0%BC","искать")</f>
        <v/>
      </c>
      <c r="N1835" s="3" t="n"/>
      <c r="O1835" s="2" t="n"/>
    </row>
    <row r="1836">
      <c r="A1836" s="2" t="n">
        <v>1835</v>
      </c>
      <c r="B1836" s="2" t="inlineStr">
        <is>
          <t>не сюжет</t>
        </is>
      </c>
      <c r="C1836" s="2" t="n">
        <v>10838</v>
      </c>
      <c r="D1836" s="3" t="inlineStr">
        <is>
          <t>Версия</t>
        </is>
      </c>
      <c r="E1836" s="2" t="n">
        <v>1980</v>
      </c>
      <c r="F1836" s="2" t="inlineStr">
        <is>
          <t>фильм-спектакль</t>
        </is>
      </c>
      <c r="G1836" s="2" t="n"/>
      <c r="H1836" s="2" t="n">
        <v>604</v>
      </c>
      <c r="I1836" s="2" t="inlineStr"/>
      <c r="J1836" s="2" t="inlineStr">
        <is>
          <t>да</t>
        </is>
      </c>
      <c r="K1836" s="3" t="inlineStr">
        <is>
          <t>Постановка одноименной пьесы А.Штейна в государственном академическом театре имени Моссовета.
Это рассказ о судьбе художника, пути поэта в революции, а в более широком понимании — об отношении к своему времени, о том, как жить в современном мире. «Через игру Георгия Тараторкина в спектакль входит душа Блока, такая, какой мы ее познали в его стихах, дневниках, воспоминаниях современников», — писал о работе актера автор пьесы А. Штейн. Поэма разрыва — о доблестях, о подвигах, о славе — была почти пропета как любимая и знакомая мелодия. Мелодия опустевшего сердца. Так, видимо, происходило и с Блоком.</t>
        </is>
      </c>
      <c r="L1836" s="2" t="inlineStr">
        <is>
          <t>https://www.kino-teatr.ru/teatr/movie/81473/annot/</t>
        </is>
      </c>
      <c r="M1836" s="2">
        <f>HYPERLINK("https://ru.wikipedia.org/w/index.php?search=%D0%92%D0%B5%D1%80%D1%81%D0%B8%D1%8F%201980%20%D1%84%D0%B8%D0%BB%D1%8C%D0%BC","искать")</f>
        <v/>
      </c>
      <c r="N1836" s="3" t="n"/>
      <c r="O1836" s="2" t="n"/>
    </row>
    <row r="1837">
      <c r="A1837" s="2" t="n">
        <v>1836</v>
      </c>
      <c r="B1837" s="2" t="inlineStr">
        <is>
          <t>не сюжет</t>
        </is>
      </c>
      <c r="C1837" s="2" t="n">
        <v>10153</v>
      </c>
      <c r="D1837" s="3" t="inlineStr">
        <is>
          <t>Римские рассказы</t>
        </is>
      </c>
      <c r="E1837" s="2" t="n">
        <v>1965</v>
      </c>
      <c r="F1837" s="2" t="inlineStr">
        <is>
          <t>фильм-спектакль</t>
        </is>
      </c>
      <c r="G1837" s="2" t="inlineStr">
        <is>
          <t>Ленинградское ТВ</t>
        </is>
      </c>
      <c r="H1837" s="2" t="n">
        <v>617</v>
      </c>
      <c r="I1837" s="2" t="inlineStr"/>
      <c r="J1837" s="2" t="inlineStr">
        <is>
          <t>да</t>
        </is>
      </c>
      <c r="K1837" s="3" t="inlineStr">
        <is>
          <t>По новеллам Альберто Моравиа: “Счастье в витрине”, “Одиночество”, “Сильнейший”, “В родной семье”, “Клементина”.
«Римские рассказы» были написаны вначале 50 годов. Персонажи романа и рассказов — простые люди Рима, вынужденные искать пути выживания любой ценой и чаще всего ценою отказа от морали. В «Римских рассказах» — послевоенная Италия. Повествование идет от первого лица, почти всегда это простой римский парень из тех, кто водит такси, стоит за прилавком, моет посуду в ресторане, бродит в поисках работы, может с отчаяния стать вором и грабителем, а если повезет, устроиться сниматься в кино на роль гангстера.</t>
        </is>
      </c>
      <c r="L1837" s="2" t="inlineStr">
        <is>
          <t>https://www.kino-teatr.ru/teatr/movie/79534/annot/</t>
        </is>
      </c>
      <c r="M1837" s="2">
        <f>HYPERLINK("https://ru.wikipedia.org/w/index.php?search=%D0%A0%D0%B8%D0%BC%D1%81%D0%BA%D0%B8%D0%B5%20%D1%80%D0%B0%D1%81%D1%81%D0%BA%D0%B0%D0%B7%D1%8B%201965%20%D1%84%D0%B8%D0%BB%D1%8C%D0%BC","искать")</f>
        <v/>
      </c>
      <c r="N1837" s="3" t="n"/>
      <c r="O1837" s="2" t="n"/>
    </row>
    <row r="1838">
      <c r="A1838" s="2" t="n">
        <v>1837</v>
      </c>
      <c r="B1838" s="2" t="inlineStr">
        <is>
          <t>не сюжет</t>
        </is>
      </c>
      <c r="C1838" s="2" t="n">
        <v>10457</v>
      </c>
      <c r="D1838" s="3" t="inlineStr">
        <is>
          <t>Необыкновенный концерт</t>
        </is>
      </c>
      <c r="E1838" s="2" t="n">
        <v>1972</v>
      </c>
      <c r="F1838" s="2" t="inlineStr">
        <is>
          <t>фильм-спектакль</t>
        </is>
      </c>
      <c r="G1838" s="2" t="inlineStr">
        <is>
          <t>Гостелерадиофонд</t>
        </is>
      </c>
      <c r="H1838" s="2" t="n">
        <v>631</v>
      </c>
      <c r="I1838" s="2" t="inlineStr"/>
      <c r="J1838" s="2" t="inlineStr">
        <is>
          <t>да</t>
        </is>
      </c>
      <c r="K1838" s="3" t="inlineStr">
        <is>
          <t>Легендарный спектакль театра кукол Сергея Образцова.
"Необыкновенный концерт" - это своего рода ревю. Здесь мы смеемся не над жанрами, а над такими артистами, которые своим дурным исполнением портят эти жанры, - говорил С.В. Образцов. Созданный выдающимся русским режиссером, "Необыкновенный концерт" и поныне является самым известным кукольным спектаклем ХХ века, уникальным явлением мирового сценического искусства. Премьера спектакля состоялась в 1946 году - и с этого момента началось его триумфальное шествие по всей планете. Все жанры эстрады - в блистательном пародийно-сатирическом спектакле Театра Кукол им. С.В. Образцова</t>
        </is>
      </c>
      <c r="L1838" s="2" t="inlineStr">
        <is>
          <t>https://www.kino-teatr.ru/teatr/movie/82734/annot/</t>
        </is>
      </c>
      <c r="M1838" s="2">
        <f>HYPERLINK("https://ru.wikipedia.org/w/index.php?search=%D0%9D%D0%B5%D0%BE%D0%B1%D1%8B%D0%BA%D0%BD%D0%BE%D0%B2%D0%B5%D0%BD%D0%BD%D1%8B%D0%B9%20%D0%BA%D0%BE%D0%BD%D1%86%D0%B5%D1%80%D1%82%201972%20%D1%84%D0%B8%D0%BB%D1%8C%D0%BC","искать")</f>
        <v/>
      </c>
      <c r="N1838" s="3" t="n"/>
      <c r="O1838" s="2" t="n"/>
    </row>
    <row r="1839">
      <c r="A1839" s="2" t="n">
        <v>1838</v>
      </c>
      <c r="B1839" s="2" t="inlineStr">
        <is>
          <t>не сюжет</t>
        </is>
      </c>
      <c r="C1839" s="2" t="n">
        <v>10936</v>
      </c>
      <c r="D1839" s="3" t="inlineStr">
        <is>
          <t>Дети Ванюшина</t>
        </is>
      </c>
      <c r="E1839" s="2" t="n">
        <v>1982</v>
      </c>
      <c r="F1839" s="2" t="inlineStr">
        <is>
          <t>фильм-спектакль</t>
        </is>
      </c>
      <c r="G1839" s="2" t="inlineStr">
        <is>
          <t>ЦТ</t>
        </is>
      </c>
      <c r="H1839" s="2" t="n">
        <v>663</v>
      </c>
      <c r="I1839" s="2" t="inlineStr"/>
      <c r="J1839" s="2" t="inlineStr">
        <is>
          <t>да</t>
        </is>
      </c>
      <c r="K1839" s="3" t="inlineStr">
        <is>
          <t>Одноименная пьеса Найденова в исполнении актеров Государственного академического Малого театра Союза ССР.
«Дети Ванюшина» — одно из самых значительных произведений русской драматургии, которое больше столетия не сходит с театральных подмостков. Все меньше и меньше остается зрителей, которые ходят на драматурга. Все больше и больше становится зрителей, которые ходят на исполнителя. « Дети Ванюшина » — это тяжелая семейно-бытовая драма из тех великих нечитаемых пьес, которые скоро прочно будут забыты вопреки очевидным литературным достоинствам. Спектакль Малого театра с Михаилом Царевым в главной роли — это впечатляющее зрелище, апофеоз школы Малого театра.</t>
        </is>
      </c>
      <c r="L1839" s="2" t="inlineStr">
        <is>
          <t>https://www.kino-teatr.ru/teatr/movie/13670/annot/</t>
        </is>
      </c>
      <c r="M1839" s="2">
        <f>HYPERLINK("https://ru.wikipedia.org/w/index.php?search=%D0%94%D0%B5%D1%82%D0%B8%20%D0%92%D0%B0%D0%BD%D1%8E%D1%88%D0%B8%D0%BD%D0%B0%201982%20%D1%84%D0%B8%D0%BB%D1%8C%D0%BC","искать")</f>
        <v/>
      </c>
      <c r="N1839" s="3" t="n"/>
      <c r="O1839" s="2" t="n"/>
    </row>
    <row r="1840">
      <c r="A1840" s="2" t="n">
        <v>1839</v>
      </c>
      <c r="B1840" s="2" t="inlineStr">
        <is>
          <t>не сюжет</t>
        </is>
      </c>
      <c r="C1840" s="2" t="n">
        <v>11232</v>
      </c>
      <c r="D1840" s="3" t="inlineStr">
        <is>
          <t>У войны не женское лицо</t>
        </is>
      </c>
      <c r="E1840" s="2" t="n">
        <v>1988</v>
      </c>
      <c r="F1840" s="2" t="inlineStr">
        <is>
          <t>фильм-спектакль</t>
        </is>
      </c>
      <c r="G1840" s="2" t="inlineStr">
        <is>
          <t>Главная редакция литературно-драматических программ ЦТ</t>
        </is>
      </c>
      <c r="H1840" s="2" t="n">
        <v>663</v>
      </c>
      <c r="I1840" s="2" t="inlineStr"/>
      <c r="J1840" s="2" t="inlineStr">
        <is>
          <t>да</t>
        </is>
      </c>
      <c r="K1840" s="3" t="inlineStr">
        <is>
          <t>По мотивам одноименной документальной повести Светланы Алексиевич в постановке Московского театра драмы и комедии на Таганке.
В основу этого произведения легли уникальные документальные рассказы женщин, чья молодость прошла на войне.
Женский взгляд на действительность военного времени – это простая человеческая правда, наполненная пронзительными подробностями, которые кажутся невероятными. Это – правда, которая не упоминается в официальных документах, фильмах и книгах советского времени, которая не встречается даже в воспоминаниях ветеранов-мужчин. Это спектакль о жизни, в которой важное место занимали такие понятия как честь, любовь к родине, милосердие.</t>
        </is>
      </c>
      <c r="L1840" s="2" t="inlineStr">
        <is>
          <t>https://www.kino-teatr.ru/teatr/movie/81923/annot/</t>
        </is>
      </c>
      <c r="M1840" s="2">
        <f>HYPERLINK("https://ru.wikipedia.org/w/index.php?search=%D0%A3%20%D0%B2%D0%BE%D0%B9%D0%BD%D1%8B%20%D0%BD%D0%B5%20%D0%B6%D0%B5%D0%BD%D1%81%D0%BA%D0%BE%D0%B5%20%D0%BB%D0%B8%D1%86%D0%BE%201988%20%D1%84%D0%B8%D0%BB%D1%8C%D0%BC","искать")</f>
        <v/>
      </c>
      <c r="N1840" s="3" t="n"/>
      <c r="O1840" s="2" t="n"/>
    </row>
    <row r="1841">
      <c r="A1841" s="2" t="n">
        <v>1840</v>
      </c>
      <c r="B1841" s="2" t="inlineStr">
        <is>
          <t>не сюжет</t>
        </is>
      </c>
      <c r="C1841" s="2" t="n">
        <v>11007</v>
      </c>
      <c r="D1841" s="3" t="inlineStr">
        <is>
          <t>Пятый десяток</t>
        </is>
      </c>
      <c r="E1841" s="2" t="n">
        <v>1983</v>
      </c>
      <c r="F1841" s="2" t="inlineStr">
        <is>
          <t>фильм-спектакль</t>
        </is>
      </c>
      <c r="G1841" s="2" t="n"/>
      <c r="H1841" s="2" t="n">
        <v>666</v>
      </c>
      <c r="I1841" s="2" t="inlineStr"/>
      <c r="J1841" s="2" t="inlineStr">
        <is>
          <t>да</t>
        </is>
      </c>
      <c r="K1841" s="3" t="inlineStr">
        <is>
          <t>Спектакль театра Ленсовета.
В библиотекарше Елочкиной нет ничего необычного. Невысокая, худенькая, простенькая женщина, которой пошел уже пятый десяток. В жизни с ней всякое бывало: нелегкий труд, тысячи обязанностей, неудачная любовь. У нее усталое, будто стертое лицо, ломкий, чуть надтреснутый голос. Есть в ней что-то по-детски наивное, откровенное до беззащитности. Но при всей житейской незащищенности есть в ней и скрытая энергия, та духовная неуступчивость, которая помогает хранить верность своим убеждениям, идеалам. Ни в чем и нигде не шла Елочкина против своей совести. Часто потом сокрушалась, проклинала свой характер, но завтра снова поступала так же.</t>
        </is>
      </c>
      <c r="L1841" s="2" t="inlineStr">
        <is>
          <t>https://www.kino-teatr.ru/teatr/movie/80328/annot/</t>
        </is>
      </c>
      <c r="M1841" s="2">
        <f>HYPERLINK("https://ru.wikipedia.org/w/index.php?search=%D0%9F%D1%8F%D1%82%D1%8B%D0%B9%20%D0%B4%D0%B5%D1%81%D1%8F%D1%82%D0%BE%D0%BA%201983%20%D1%84%D0%B8%D0%BB%D1%8C%D0%BC","искать")</f>
        <v/>
      </c>
      <c r="N1841" s="3" t="n"/>
      <c r="O1841" s="2" t="n"/>
    </row>
    <row r="1842">
      <c r="A1842" s="2" t="n">
        <v>1841</v>
      </c>
      <c r="B1842" s="2" t="inlineStr">
        <is>
          <t>не сюжет</t>
        </is>
      </c>
      <c r="C1842" s="2" t="n">
        <v>10151</v>
      </c>
      <c r="D1842" s="3" t="inlineStr">
        <is>
          <t>Под каштанами Праги</t>
        </is>
      </c>
      <c r="E1842" s="2" t="n">
        <v>1965</v>
      </c>
      <c r="F1842" s="2" t="inlineStr">
        <is>
          <t>фильм-спектакль</t>
        </is>
      </c>
      <c r="G1842" s="2" t="inlineStr">
        <is>
          <t>Гл. ред. лит-драм программ ЦТ</t>
        </is>
      </c>
      <c r="H1842" s="2" t="n">
        <v>679</v>
      </c>
      <c r="I1842" s="2" t="inlineStr"/>
      <c r="J1842" s="2" t="inlineStr">
        <is>
          <t>да</t>
        </is>
      </c>
      <c r="K1842" s="3" t="inlineStr">
        <is>
          <t>Постановка по одноименной пьесе Константина Симонова. Действие происходит в последние дни второй мировой войны в Праге.
Эту пьесу Константин Симонов писал в конце войны специально для его музы - актрисы Валентины Серовой. Впрочем, пьеса принесла успех многим, например Татьяне Окуневской, игравшей в театре Ленинского комсомола. Спектакль был особенно популярен в послевоенные годы, и с 1946 года он шел по всей стране. Телеверсия 1965 года тоже была беспроигрышна. В стране уже появлялась фронтовая ностальгия, а в оттепель как никогда была востребована романтика с флером заграницы, на роль которой вместо ремарковского Парижа прекрасно подходила близкая нам симоновская Прага.</t>
        </is>
      </c>
      <c r="L1842" s="2" t="inlineStr">
        <is>
          <t>https://www.kino-teatr.ru/teatr/movie/37971/annot/</t>
        </is>
      </c>
      <c r="M1842" s="2">
        <f>HYPERLINK("https://ru.wikipedia.org/w/index.php?search=%D0%9F%D0%BE%D0%B4%20%D0%BA%D0%B0%D1%88%D1%82%D0%B0%D0%BD%D0%B0%D0%BC%D0%B8%20%D0%9F%D1%80%D0%B0%D0%B3%D0%B8%201965%20%D1%84%D0%B8%D0%BB%D1%8C%D0%BC","искать")</f>
        <v/>
      </c>
      <c r="N1842" s="3" t="n"/>
      <c r="O1842" s="2" t="n"/>
    </row>
    <row r="1843">
      <c r="A1843" s="2" t="n">
        <v>1842</v>
      </c>
      <c r="B1843" s="2" t="inlineStr">
        <is>
          <t>не сюжет</t>
        </is>
      </c>
      <c r="C1843" s="2" t="n">
        <v>10049</v>
      </c>
      <c r="D1843" s="3" t="inlineStr">
        <is>
          <t>Родник</t>
        </is>
      </c>
      <c r="E1843" s="2" t="n">
        <v>1990</v>
      </c>
      <c r="F1843" s="2" t="inlineStr">
        <is>
          <t>телефильм</t>
        </is>
      </c>
      <c r="G1843" s="2" t="n"/>
      <c r="H1843" s="2" t="n">
        <v>686</v>
      </c>
      <c r="I1843" s="2" t="inlineStr"/>
      <c r="J1843" s="2" t="inlineStr">
        <is>
          <t>да</t>
        </is>
      </c>
      <c r="K1843" s="3" t="inlineStr">
        <is>
          <t>Порою очень сложно отличить грёзы от реальности. Что есть мечта?
Забвение или полёт? Мечта содружествует с любовью, которая без выбора может вдруг овладеть каждым.
Любовь незримо присутствует во всём: в горении свечи, дрожании лепестка, шёпоте ветра или трепете
крыльев бабочки… Провал в никуда, падение в вечность, бесконечность парения…
Пласт проблем и каждодневных накоплений забот, страданий, ожиданий.
Но вдруг: погружение в себя, в свою сущность, в своё изначальное.
И отрыв: головокружение, падение, парение, погружение в свежесть росы, влаги, родника…
Наконец: просветление, очищение, ясность мысли, радость существования.
А затем: вновь полёт, слияние и растворение в вечности!</t>
        </is>
      </c>
      <c r="L1843" s="2" t="inlineStr">
        <is>
          <t>https://www.kino-teatr.ru/short/movie/sov/103177/annot/</t>
        </is>
      </c>
      <c r="M1843" s="2">
        <f>HYPERLINK("https://ru.wikipedia.org/w/index.php?search=%D0%A0%D0%BE%D0%B4%D0%BD%D0%B8%D0%BA%201990%20%D1%84%D0%B8%D0%BB%D1%8C%D0%BC","искать")</f>
        <v/>
      </c>
      <c r="N1843" s="3" t="n"/>
      <c r="O1843" s="2" t="n"/>
    </row>
    <row r="1844">
      <c r="A1844" s="2" t="n">
        <v>1843</v>
      </c>
      <c r="B1844" s="2" t="inlineStr">
        <is>
          <t>не сюжет</t>
        </is>
      </c>
      <c r="C1844" s="2" t="n">
        <v>10174</v>
      </c>
      <c r="D1844" s="3" t="inlineStr">
        <is>
          <t>Смуглая леди сонетов</t>
        </is>
      </c>
      <c r="E1844" s="2" t="n">
        <v>1966</v>
      </c>
      <c r="F1844" s="2" t="inlineStr">
        <is>
          <t>фильм-спектакль</t>
        </is>
      </c>
      <c r="G1844" s="2" t="inlineStr">
        <is>
          <t>Ленинградское Телевидение</t>
        </is>
      </c>
      <c r="H1844" s="2" t="n">
        <v>712</v>
      </c>
      <c r="I1844" s="2" t="inlineStr"/>
      <c r="J1844" s="2" t="inlineStr">
        <is>
          <t>да</t>
        </is>
      </c>
      <c r="K1844" s="3" t="inlineStr">
        <is>
          <t>Телеспектакль по пьесе Бернарда Шоу.
Речь идет о самом легендарном поэте и драматурге - о Уильяме Шекспире. Каким был в жизни этот гениальный человек? Как он сочинял свои пьесы, как объяснялся в любви, как оценивал собственное творчество? Обо всем этом рассказывает спектакль. В центре постановки - взаимоотношения Шекспира с королевой Англии Елизаветой и поэтической музой и возлюбленной, Смуглой Леди. Шекспир непредсказуем и импульсивен, его не всегда способны понять окружающие. Одно можно утверждать об английском поэте наверняка: он, как никто другой, умел видеть красоту и поэзию в реальной жизни. Спектакль воссоздает мир, как бы увиденный глазами Шекспира.
В спектакле звучит музыка Бенджамина Бриттена.</t>
        </is>
      </c>
      <c r="L1844" s="2" t="inlineStr">
        <is>
          <t>https://www.kino-teatr.ru/teatr/movie/85345/annot/</t>
        </is>
      </c>
      <c r="M1844" s="2">
        <f>HYPERLINK("https://ru.wikipedia.org/w/index.php?search=%D0%A1%D0%BC%D1%83%D0%B3%D0%BB%D0%B0%D1%8F%20%D0%BB%D0%B5%D0%B4%D0%B8%20%D1%81%D0%BE%D0%BD%D0%B5%D1%82%D0%BE%D0%B2%201966%20%D1%84%D0%B8%D0%BB%D1%8C%D0%BC","искать")</f>
        <v/>
      </c>
      <c r="N1844" s="3" t="n"/>
      <c r="O1844" s="2" t="n"/>
    </row>
    <row r="1845">
      <c r="A1845" s="2" t="n">
        <v>1844</v>
      </c>
      <c r="B1845" s="2" t="inlineStr">
        <is>
          <t>не сюжет</t>
        </is>
      </c>
      <c r="C1845" s="2" t="n">
        <v>10664</v>
      </c>
      <c r="D1845" s="3" t="inlineStr">
        <is>
          <t>По страницам "Сатирикона"</t>
        </is>
      </c>
      <c r="E1845" s="2" t="n">
        <v>1976</v>
      </c>
      <c r="F1845" s="2" t="inlineStr">
        <is>
          <t>фильм-спектакль</t>
        </is>
      </c>
      <c r="G1845" s="2" t="n"/>
      <c r="H1845" s="2" t="n">
        <v>740</v>
      </c>
      <c r="I1845" s="2" t="inlineStr"/>
      <c r="J1845" s="2" t="inlineStr">
        <is>
          <t>да</t>
        </is>
      </c>
      <c r="K1845" s="3" t="inlineStr">
        <is>
          <t>Спектакль поставлен по рассказам из журнала "Сатирикон".
Журнал появился в России в начале ХХ века и одна из его задач была -
моральное исправление общества путем сатиры на нравы.
Журнал сразу же завоевал всеобщую популярность.
Люди работающие в нем, высмеивали мещанство и пошлость, боролись с духовной деградацией русского общества.
Этот журнал выгодно отличало от других высокое литературное качество.
В журнале печатались многие известные писатели и поэты: Саша Черный, А. Куприн, Л. Андреев, Н. Тэффи, А. Бухов, А. Толстой, А. Грин, С. Маршак, В. Маяковский.
Создал журнал "Сатирикон" и основным его автором был Аркадий Аверченко.
В телеспектакле инсценированы рассказы А. Бухова " Неотвратимое", "Рассказы об Италии", Н. Тэффи "Маляр"</t>
        </is>
      </c>
      <c r="L1845" s="2" t="inlineStr">
        <is>
          <t>https://www.kino-teatr.ru/teatr/movie/83020/annot/</t>
        </is>
      </c>
      <c r="M1845" s="2">
        <f>HYPERLINK("https://ru.wikipedia.org/w/index.php?search=%D0%9F%D0%BE%20%D1%81%D1%82%D1%80%D0%B0%D0%BD%D0%B8%D1%86%D0%B0%D0%BC%20%22%D0%A1%D0%B0%D1%82%D0%B8%D1%80%D0%B8%D0%BA%D0%BE%D0%BD%D0%B0%22%201976%20%D1%84%D0%B8%D0%BB%D1%8C%D0%BC","искать")</f>
        <v/>
      </c>
      <c r="N1845" s="3" t="n"/>
      <c r="O1845" s="2" t="n"/>
    </row>
    <row r="1846">
      <c r="A1846" s="2" t="n">
        <v>1845</v>
      </c>
      <c r="B1846" s="2" t="inlineStr">
        <is>
          <t>не сюжет</t>
        </is>
      </c>
      <c r="C1846" s="2" t="n">
        <v>10909</v>
      </c>
      <c r="D1846" s="3" t="inlineStr">
        <is>
          <t>С любовью к женщине</t>
        </is>
      </c>
      <c r="E1846" s="2" t="n">
        <v>1981</v>
      </c>
      <c r="F1846" s="2" t="inlineStr">
        <is>
          <t>фильм-спектакль</t>
        </is>
      </c>
      <c r="G1846" s="2" t="inlineStr">
        <is>
          <t>Центральное телевидение</t>
        </is>
      </c>
      <c r="H1846" s="2" t="n">
        <v>743</v>
      </c>
      <c r="I1846" s="2" t="inlineStr"/>
      <c r="J1846" s="2" t="inlineStr">
        <is>
          <t>да</t>
        </is>
      </c>
      <c r="K1846" s="3" t="inlineStr">
        <is>
          <t>Актеры Михаил Глузский, Леонид Марков, Алексей Кузнецов, Армен Джигарханян, Эммануил Виторган, Борис Щербаков, Александр Кутепов читают стихи советских поэтов о любви - Евгения Винокурова, Расула Гамзатова, Давида Кугультинова, Кайсына Кулиева, Эдуардаса Межелайтиса, Юстинаса Маруинкявичуса, Бориса Олейника, Александра Прокофьева, Александра Твардовского, Геворка Эмина, Льва Ошанина, Михаила Светлова, Ярослава Смелякова, Степана Щипачева.
Передача была снята к Международному женскому дню в те времена, когда мужчины, один раз в году считали себя обязанными говорить женщинам комплименты и дарить цветы. Тем приятнее получить признание в любви от самых обаятельных мужчин второй половины XX века, внеурочно, просто так, из любви к женщине.</t>
        </is>
      </c>
      <c r="L1846" s="2" t="inlineStr">
        <is>
          <t>https://www.kino-teatr.ru/teatr/movie/104629/annot/</t>
        </is>
      </c>
      <c r="M1846" s="2">
        <f>HYPERLINK("https://ru.wikipedia.org/w/index.php?search=%D0%A1%20%D0%BB%D1%8E%D0%B1%D0%BE%D0%B2%D1%8C%D1%8E%20%D0%BA%20%D0%B6%D0%B5%D0%BD%D1%89%D0%B8%D0%BD%D0%B5%201981%20%D1%84%D0%B8%D0%BB%D1%8C%D0%BC","искать")</f>
        <v/>
      </c>
      <c r="N1846" s="3" t="n"/>
      <c r="O1846" s="2" t="n"/>
    </row>
    <row r="1847">
      <c r="A1847" s="2" t="n">
        <v>1846</v>
      </c>
      <c r="B1847" s="2" t="inlineStr">
        <is>
          <t>не сюжет</t>
        </is>
      </c>
      <c r="C1847" s="2" t="n">
        <v>10544</v>
      </c>
      <c r="D1847" s="3" t="inlineStr">
        <is>
          <t>Бенефис Сергея Мартинсона</t>
        </is>
      </c>
      <c r="E1847" s="2" t="n">
        <v>1974</v>
      </c>
      <c r="F1847" s="2" t="inlineStr">
        <is>
          <t>фильм-спектакль</t>
        </is>
      </c>
      <c r="G1847" s="2" t="inlineStr">
        <is>
          <t>Главная редакция музыкальных программ ЦТ</t>
        </is>
      </c>
      <c r="H1847" s="2" t="n">
        <v>744</v>
      </c>
      <c r="I1847" s="2" t="inlineStr"/>
      <c r="J1847" s="2" t="inlineStr">
        <is>
          <t>да</t>
        </is>
      </c>
      <c r="K1847" s="3" t="inlineStr">
        <is>
          <t>Бенефис Сергея Мартинсона. В передаче использованы фрагменты из кинофильмов "Антон Иванович сердится", "Свадьба", "Сильва", "Золотой ключик".
3-й из бенефисов, созданных Е.Гинзбургом и Б.Пургалиным.
На этот раз в роли бенефицианта выступает Сергей Александрович Мартинсон, актер яркого комедийного дарования, эксцентрик, мастер пантомимы, буффонады и гротеска. Актер очень популярный и вместе с тем явно недовостребованный. По словам самого Евгения Гинзбурга, сложив вместе все роли, сыгранные Мартинсоном в кино, он был поражен невысоким общим метражем воображаемой ленты. А ведь Сергей Мартинсон был одним из самых популярных мастеров театра и кино, снявшимся в более чем 60 художественных фильмах, причем первый из них датируется 1924 годом!</t>
        </is>
      </c>
      <c r="L1847" s="2" t="inlineStr">
        <is>
          <t>https://www.kino-teatr.ru/teatr/movie/80632/annot/</t>
        </is>
      </c>
      <c r="M1847" s="2">
        <f>HYPERLINK("https://ru.wikipedia.org/w/index.php?search=%D0%91%D0%B5%D0%BD%D0%B5%D1%84%D0%B8%D1%81%20%D0%A1%D0%B5%D1%80%D0%B3%D0%B5%D1%8F%20%D0%9C%D0%B0%D1%80%D1%82%D0%B8%D0%BD%D1%81%D0%BE%D0%BD%D0%B0%201974%20%D1%84%D0%B8%D0%BB%D1%8C%D0%BC","искать")</f>
        <v/>
      </c>
      <c r="N1847" s="3" t="n"/>
      <c r="O1847" s="2" t="n"/>
    </row>
    <row r="1848">
      <c r="A1848" s="2" t="n">
        <v>1847</v>
      </c>
      <c r="B1848" s="2" t="inlineStr">
        <is>
          <t>не сюжет</t>
        </is>
      </c>
      <c r="C1848" s="2" t="n">
        <v>10826</v>
      </c>
      <c r="D1848" s="3" t="inlineStr">
        <is>
          <t>Эрнест Хемингуэй. Страницы жизни и творчества</t>
        </is>
      </c>
      <c r="E1848" s="2" t="n">
        <v>1979</v>
      </c>
      <c r="F1848" s="2" t="inlineStr">
        <is>
          <t>фильм-спектакль</t>
        </is>
      </c>
      <c r="G1848" s="2" t="inlineStr">
        <is>
          <t>Центральное телевидение</t>
        </is>
      </c>
      <c r="H1848" s="2" t="n">
        <v>749</v>
      </c>
      <c r="I1848" s="2" t="inlineStr"/>
      <c r="J1848" s="2" t="inlineStr">
        <is>
          <t>да</t>
        </is>
      </c>
      <c r="K1848" s="3" t="inlineStr">
        <is>
          <t>О жизни и творчестве американского писателя Эрнеста Хемингуэя.
В 60-е годы вслед за общественной жизнью в СССР значительно потеплели и отношения Москвы и Вашингтона. Советская интеллигенция начала жадно поглощать произведения американских писателей, самым популярным среди которых был Эрнест Хемингуэй. Портрет бородатого писателя в грубо связанном свитере появился на книжных полках положительных героев советских фильмов. Популярность его творчества у широких читательских кругов сохранялась и в 70-е годы, — время создания передачи.
В качестве ведущего выступает Армен Джигарханян.
Отрывки из романов «Праздник, который всегда с тобой», «Прощай, оружие», «Иметь или не иметь», «По ком звонит колокол» читают Афанасий Кочетков и Евгений Герасимов.</t>
        </is>
      </c>
      <c r="L1848" s="2" t="inlineStr">
        <is>
          <t>https://www.kino-teatr.ru/teatr/movie/104762/annot/</t>
        </is>
      </c>
      <c r="M1848" s="2">
        <f>HYPERLINK("https://ru.wikipedia.org/w/index.php?search=%D0%AD%D1%80%D0%BD%D0%B5%D1%81%D1%82%20%D0%A5%D0%B5%D0%BC%D0%B8%D0%BD%D0%B3%D1%83%D1%8D%D0%B9.%20%D0%A1%D1%82%D1%80%D0%B0%D0%BD%D0%B8%D1%86%D1%8B%20%D0%B6%D0%B8%D0%B7%D0%BD%D0%B8%20%D0%B8%20%D1%82%D0%B2%D0%BE%D1%80%D1%87%D0%B5%D1%81%D1%82%D0%B2%D0%B0%201979%20%D1%84%D0%B8%D0%BB%D1%8C%D0%BC","искать")</f>
        <v/>
      </c>
      <c r="N1848" s="3" t="n"/>
      <c r="O1848" s="2" t="n"/>
    </row>
    <row r="1849">
      <c r="A1849" s="2" t="n">
        <v>1848</v>
      </c>
      <c r="B1849" s="2" t="inlineStr">
        <is>
          <t>не сюжет</t>
        </is>
      </c>
      <c r="C1849" s="2" t="n">
        <v>8008</v>
      </c>
      <c r="D1849" s="3" t="inlineStr">
        <is>
          <t>Нос</t>
        </is>
      </c>
      <c r="E1849" s="2" t="n">
        <v>1977</v>
      </c>
      <c r="F1849" s="2" t="inlineStr">
        <is>
          <t>телефильм</t>
        </is>
      </c>
      <c r="G1849" s="2" t="n"/>
      <c r="H1849" s="2" t="n">
        <v>775</v>
      </c>
      <c r="I1849" s="2" t="inlineStr"/>
      <c r="J1849" s="2" t="inlineStr">
        <is>
          <t>да</t>
        </is>
      </c>
      <c r="K1849" s="3" t="inlineStr">
        <is>
          <t>Для Ролана Быкова – режиссера и исполнителя главной роли картины – Николай Васильевич Гоголь был писателем особенным. Ведь свою первую значительную роль Быков получил в экранизации гоголевской «Шинели». «Шинель» - мое рождение, моя судьба, мое счастье, моя биография...», - говорил Ролан Быков. Возможно, именно поэтому он выстраивал свои «отношения» с Гоголем с особым трепетом и осторожностью: если, например, во время съемок «Носа» у Быкова что-то не получалось, он спокойно говорил: «Значит, Гоголь не хочет»… И если «Шинель» открыла зрителям Ролана Быкова как нового яркого актера, то благодаря гоголевскому «Носу» появился режиссер Быков, впервые снявший не легкий детский, а серьезный «взрослый» фильм, ставший бережным и глубоким «кинопрочтением» гоголевской повести.</t>
        </is>
      </c>
      <c r="L1849" s="2" t="inlineStr">
        <is>
          <t>Кино_СССР сводный каталог.xlsx: список телефильмов</t>
        </is>
      </c>
      <c r="M1849" s="2">
        <f>HYPERLINK("https://ru.wikipedia.org/w/index.php?search=%D0%9D%D0%BE%D1%81%201977%20%D1%84%D0%B8%D0%BB%D1%8C%D0%BC","искать")</f>
        <v/>
      </c>
      <c r="N1849" s="3" t="n"/>
      <c r="O1849" s="2" t="n"/>
    </row>
    <row r="1850">
      <c r="A1850" s="2" t="n">
        <v>1849</v>
      </c>
      <c r="B1850" s="2" t="inlineStr">
        <is>
          <t>не сюжет</t>
        </is>
      </c>
      <c r="C1850" s="2" t="n">
        <v>10820</v>
      </c>
      <c r="D1850" s="3" t="inlineStr">
        <is>
          <t>Старосветские помещики</t>
        </is>
      </c>
      <c r="E1850" s="2" t="n">
        <v>1979</v>
      </c>
      <c r="F1850" s="2" t="inlineStr">
        <is>
          <t>фильм-спектакль</t>
        </is>
      </c>
      <c r="G1850" s="2" t="inlineStr">
        <is>
          <t>Ленинградское телевидение, Подборки фильмов, экранизации Гоголя</t>
        </is>
      </c>
      <c r="H1850" s="2" t="n">
        <v>781</v>
      </c>
      <c r="I1850" s="2" t="inlineStr"/>
      <c r="J1850" s="2" t="inlineStr">
        <is>
          <t>да</t>
        </is>
      </c>
      <c r="K1850" s="3" t="inlineStr">
        <is>
          <t>Телеспектакль по одноименной повести Н.В. Гоголя.
Старики Афанасий Иванович Товстогуб и жена его Пульхерия Ивановна живут уединенно в одной из отдаленных деревень, называемых в Малороссии старосветскими. Жизнь их так тиха, что гостю, заехавшему ненароком в низенький барский домик, утопающий в зелени сада, страсти и тревожные волнения внешнего мира кажутся не существующими вовсе. Маленькие комнаты домика заставлены всевозможными вещицами, двери поют на разные лады, кладовые заполнены припасами, приготовлением которых беспрестанно заняты дворовые под управлением Пульхерии Ивановны. Несмотря на то что хозяйство обкрадывается приказчиком и лакеями, благословенная земля производит всего в таком количестве, что Афанасий Иванович и Пульхерия Ивановна совсем не замечают хищений.</t>
        </is>
      </c>
      <c r="L1850" s="2" t="inlineStr">
        <is>
          <t>https://www.kino-teatr.ru/teatr/movie/90436/annot/</t>
        </is>
      </c>
      <c r="M1850" s="2">
        <f>HYPERLINK("https://ru.wikipedia.org/w/index.php?search=%D0%A1%D1%82%D0%B0%D1%80%D0%BE%D1%81%D0%B2%D0%B5%D1%82%D1%81%D0%BA%D0%B8%D0%B5%20%D0%BF%D0%BE%D0%BC%D0%B5%D1%89%D0%B8%D0%BA%D0%B8%201979%20%D1%84%D0%B8%D0%BB%D1%8C%D0%BC","искать")</f>
        <v/>
      </c>
      <c r="N1850" s="3" t="n"/>
      <c r="O1850" s="2" t="n"/>
    </row>
    <row r="1851">
      <c r="A1851" s="2" t="n">
        <v>1850</v>
      </c>
      <c r="B1851" s="2" t="inlineStr">
        <is>
          <t>не сюжет</t>
        </is>
      </c>
      <c r="C1851" s="2" t="n">
        <v>11330</v>
      </c>
      <c r="D1851" s="3" t="inlineStr">
        <is>
          <t>Шарады Бродвея</t>
        </is>
      </c>
      <c r="E1851" s="2" t="n">
        <v>1990</v>
      </c>
      <c r="F1851" s="2" t="inlineStr">
        <is>
          <t>фильм-спектакль</t>
        </is>
      </c>
      <c r="G1851" s="2" t="inlineStr">
        <is>
          <t>Главная редакция литературно-художественных программ ЦТ</t>
        </is>
      </c>
      <c r="H1851" s="2" t="n">
        <v>785</v>
      </c>
      <c r="I1851" s="2" t="inlineStr"/>
      <c r="J1851" s="2" t="inlineStr">
        <is>
          <t>да</t>
        </is>
      </c>
      <c r="K1851" s="3" t="inlineStr">
        <is>
          <t>Спектакль Театра Советской Армии.
Комедия-шоу по пьсе М. Орр и Р. Дэнем "Шарады Бродвея".
Спектакль "Шарады Бродвея" предлагает зрителю взглянуть на оборотную сторону жизни знаменитых артистов, которые живут в окружении поклонников и блещут в огнях рампы. Театральный мир предстает в своем подлинном, неприкрашенном обличье. Здесь рядом с блеском огней и шумом аплодисментов живут тщеславие, предательство, вероломство.
Людмила Касаткина играет в спектакле главную роль - звезду театрального Бродвея Марго Чаннинг. Она безумно талантлива на сцене, но не может противостоять самой обыкновенной интриге из реальной жизни. Спектакль "Шарады Бродвея" предлагает зрителю взглянуть на оборотную сторону жизни знаменитых артистов, которые живут в окружении поклонников и блещут в огнях рампы.</t>
        </is>
      </c>
      <c r="L1851" s="2" t="inlineStr">
        <is>
          <t>https://www.kino-teatr.ru/teatr/movie/80065/annot/</t>
        </is>
      </c>
      <c r="M1851" s="2">
        <f>HYPERLINK("https://ru.wikipedia.org/w/index.php?search=%D0%A8%D0%B0%D1%80%D0%B0%D0%B4%D1%8B%20%D0%91%D1%80%D0%BE%D0%B4%D0%B2%D0%B5%D1%8F%201990%20%D1%84%D0%B8%D0%BB%D1%8C%D0%BC","искать")</f>
        <v/>
      </c>
      <c r="N1851" s="3" t="n"/>
      <c r="O1851" s="2" t="n"/>
    </row>
    <row r="1852">
      <c r="A1852" s="2" t="n">
        <v>1851</v>
      </c>
      <c r="B1852" s="2" t="inlineStr">
        <is>
          <t>не сюжет</t>
        </is>
      </c>
      <c r="C1852" s="2" t="n">
        <v>10109</v>
      </c>
      <c r="D1852" s="3" t="inlineStr">
        <is>
          <t>Кюхля</t>
        </is>
      </c>
      <c r="E1852" s="2" t="n">
        <v>1963</v>
      </c>
      <c r="F1852" s="2" t="inlineStr">
        <is>
          <t>фильм-спектакль</t>
        </is>
      </c>
      <c r="G1852" s="2" t="inlineStr">
        <is>
          <t>Ленинградское телевидение</t>
        </is>
      </c>
      <c r="H1852" s="2" t="n">
        <v>790</v>
      </c>
      <c r="I1852" s="2" t="inlineStr"/>
      <c r="J1852" s="2" t="inlineStr">
        <is>
          <t>да</t>
        </is>
      </c>
      <c r="K1852" s="3" t="inlineStr">
        <is>
          <t>По одноименному роману Юрия Тынянова. В центре телеспектакля - образ декабриста Вильгельма Карловича Кюхельбекера.
"Я хочу еще и еще раз напомнить, что спектакль этот игрался "вживую", так как видеозаписи еще не было, что он имел всего пять трактовых репетиций с камерой,что за полтора часа действия Сергей Юрский пять раз переодевался и три раза полностью перегримировывался, что актеры бесшумно переходили с места на место, а мест действия было более сорока, что операторы за время действия совершали со своими тяжелейшими камерами километровые переезды, и последнее, но самое главное, что спектакль этот игрался на первую, тогда единственную телепрограмму страны, то есть имел стомиллионную аудиторию. Какая это была ответственность! Какое это было волнение!"
А.Белинский " Старое танго"</t>
        </is>
      </c>
      <c r="L1852" s="2" t="inlineStr">
        <is>
          <t>https://www.kino-teatr.ru/teatr/movie/8283/annot/</t>
        </is>
      </c>
      <c r="M1852" s="2">
        <f>HYPERLINK("https://ru.wikipedia.org/w/index.php?search=%D0%9A%D1%8E%D1%85%D0%BB%D1%8F%201963%20%D1%84%D0%B8%D0%BB%D1%8C%D0%BC","искать")</f>
        <v/>
      </c>
      <c r="N1852" s="3" t="n"/>
      <c r="O1852" s="2" t="n"/>
    </row>
    <row r="1853">
      <c r="A1853" s="2" t="n">
        <v>1852</v>
      </c>
      <c r="B1853" s="2" t="inlineStr">
        <is>
          <t>не сюжет</t>
        </is>
      </c>
      <c r="C1853" s="2" t="n">
        <v>10579</v>
      </c>
      <c r="D1853" s="3" t="inlineStr">
        <is>
          <t>Перед заходом солнца</t>
        </is>
      </c>
      <c r="E1853" s="2" t="n">
        <v>1974</v>
      </c>
      <c r="F1853" s="2" t="inlineStr">
        <is>
          <t>фильм-спектакль</t>
        </is>
      </c>
      <c r="G1853" s="2" t="inlineStr">
        <is>
          <t>ТО "Экран"</t>
        </is>
      </c>
      <c r="H1853" s="2" t="n">
        <v>798</v>
      </c>
      <c r="I1853" s="2" t="inlineStr"/>
      <c r="J1853" s="2" t="inlineStr">
        <is>
          <t>да</t>
        </is>
      </c>
      <c r="K1853" s="3" t="inlineStr">
        <is>
          <t>По одноименной Г.Гауптмана в постановке Государственного академического Малого театра Союза ССР. Режиссер Л.Хейфец.
У пьесы «Перед заходом солнца» мистически интересная сценическая судьба. Написанная в начале 1930-х, на родине драматурга пьеса увидела свет рампы накануне прихода Гитлера к власти. У нас Сушкевич сыграл Клаузена незадолго до начала войны, Астангов — в год смерти Сталина, Симонов — за год до смещения Хрущева.
«Перед заходом солнца» — одна из немногих пьес XX века, которую и по тематике, и по уровню ее художественного осмысления можно сопоставить с творениями таких титанов, как Шекспир и Гете. Прямая генетическая связь с «Королем Лиром» здесь очевидна. Еще более ощутимо влияние Гете с его фаустовской темой горделивого бунта свободной личности против неумолимых законов бытия.</t>
        </is>
      </c>
      <c r="L1853" s="2" t="inlineStr">
        <is>
          <t>https://www.kino-teatr.ru/teatr/movie/5066/annot/</t>
        </is>
      </c>
      <c r="M1853" s="2">
        <f>HYPERLINK("https://ru.wikipedia.org/w/index.php?search=%D0%9F%D0%B5%D1%80%D0%B5%D0%B4%20%D0%B7%D0%B0%D1%85%D0%BE%D0%B4%D0%BE%D0%BC%20%D1%81%D0%BE%D0%BB%D0%BD%D1%86%D0%B0%201974%20%D1%84%D0%B8%D0%BB%D1%8C%D0%BC","искать")</f>
        <v/>
      </c>
      <c r="N1853" s="3" t="n"/>
      <c r="O1853" s="2" t="n"/>
    </row>
    <row r="1854">
      <c r="A1854" s="2" t="n">
        <v>1853</v>
      </c>
      <c r="B1854" s="2" t="inlineStr">
        <is>
          <t>не сюжет</t>
        </is>
      </c>
      <c r="C1854" s="2" t="n">
        <v>10023</v>
      </c>
      <c r="D1854" s="3" t="inlineStr">
        <is>
          <t>Сон</t>
        </is>
      </c>
      <c r="E1854" s="2" t="n">
        <v>1987</v>
      </c>
      <c r="F1854" s="2" t="inlineStr">
        <is>
          <t>телефильм</t>
        </is>
      </c>
      <c r="G1854" s="2" t="n"/>
      <c r="H1854" s="2" t="n">
        <v>812</v>
      </c>
      <c r="I1854" s="2" t="inlineStr"/>
      <c r="J1854" s="2" t="inlineStr">
        <is>
          <t>да</t>
        </is>
      </c>
      <c r="K1854" s="3" t="inlineStr">
        <is>
          <t>Премьера фильма в СССР - на II Фестивале параллельного кино состоялась в Ленинграде 3 марта 1989 г.
Сон и явь - два противоположных по восприятию состояния человека. Иногда, в особых случаях, человек не в состоянии понять, в какой реальности находится его сознание: спит ли разум и генерирует при этом те образы, которые в данный момент рисуют человеку картину мира, отличающуюся от привычной, или зрительные рецепторы доносят ему истинное положение предметов в пространстве и времени. Порой грань эта бывает настолько расплывчата и зыбка, что человек вполне способен увязнуть и застрять навсегда в вечном сне, в непостигаемом желе из цветовых пятен, сгустков настроения и отдельных фигур, несущих не то добро, не то зло.
Первый сюрреалистический фильм перестроечных лет, предтеча "Господина оформителя" Тепцова.</t>
        </is>
      </c>
      <c r="L1854" s="2" t="inlineStr">
        <is>
          <t>https://www.kino-teatr.ru/short/movie/sov/83758/annot/</t>
        </is>
      </c>
      <c r="M1854" s="2">
        <f>HYPERLINK("https://ru.wikipedia.org/w/index.php?search=%D0%A1%D0%BE%D0%BD%201987%20%D1%84%D0%B8%D0%BB%D1%8C%D0%BC","искать")</f>
        <v/>
      </c>
      <c r="N1854" s="3" t="n"/>
      <c r="O1854" s="2" t="n"/>
    </row>
    <row r="1855">
      <c r="A1855" s="2" t="n">
        <v>1854</v>
      </c>
      <c r="B1855" s="2" t="inlineStr">
        <is>
          <t>не сюжет</t>
        </is>
      </c>
      <c r="C1855" s="2" t="n">
        <v>10659</v>
      </c>
      <c r="D1855" s="3" t="inlineStr">
        <is>
          <t>Ноев ковчег</t>
        </is>
      </c>
      <c r="E1855" s="2" t="n">
        <v>1976</v>
      </c>
      <c r="F1855" s="2" t="inlineStr">
        <is>
          <t>фильм-спектакль</t>
        </is>
      </c>
      <c r="G1855" s="2" t="inlineStr">
        <is>
          <t>Экран</t>
        </is>
      </c>
      <c r="H1855" s="2" t="n">
        <v>843</v>
      </c>
      <c r="I1855" s="2" t="inlineStr"/>
      <c r="J1855" s="2" t="inlineStr">
        <is>
          <t>да</t>
        </is>
      </c>
      <c r="K1855" s="3" t="inlineStr">
        <is>
          <t>По пьесе И.Штока.
Эта постановка была задумана как продолжение спектакля "Божественная комедия". В то время многие удивлялись, каким чудом "Ноев ковчег" вышел: настолько его содержание было остро-сатирическим. Ни "Божественная комедия", ни "Ноев ковчег" отнюдь не атеистические спектакли, и, тем более, не являются насмешкой над Ветхим Заветом, как иногда хотят представить. Цитата: Кукольный театр - мир особенный, удивительный, ясный, счастливый. Центральный театр кукол, который мы вам представляем, отбрасывает всевозможные ограничения и предубеждения. С. Образцов не раз говорил об ироничности, как непременном качестве творческого процесса актера с куклой. Театр кукол рассчитывает на детское в каждом человеке. По самой своей природе он относится к той человечной и доброй, веселой и доверчивой основе, что роднит нас: взрослых и детей.</t>
        </is>
      </c>
      <c r="L1855" s="2" t="inlineStr">
        <is>
          <t>https://www.kino-teatr.ru/teatr/movie/89547/annot/</t>
        </is>
      </c>
      <c r="M1855" s="2">
        <f>HYPERLINK("https://ru.wikipedia.org/w/index.php?search=%D0%9D%D0%BE%D0%B5%D0%B2%20%D0%BA%D0%BE%D0%B2%D1%87%D0%B5%D0%B3%201976%20%D1%84%D0%B8%D0%BB%D1%8C%D0%BC","искать")</f>
        <v/>
      </c>
      <c r="N1855" s="3" t="n"/>
      <c r="O1855" s="2" t="n"/>
    </row>
    <row r="1856">
      <c r="A1856" s="2" t="n">
        <v>1855</v>
      </c>
      <c r="B1856" s="2" t="inlineStr">
        <is>
          <t>не сюжет</t>
        </is>
      </c>
      <c r="C1856" s="2" t="n">
        <v>10362</v>
      </c>
      <c r="D1856" s="3" t="inlineStr">
        <is>
          <t>На смерть поэтов</t>
        </is>
      </c>
      <c r="E1856" s="2" t="n">
        <v>1970</v>
      </c>
      <c r="F1856" s="2" t="inlineStr">
        <is>
          <t>фильм-спектакль</t>
        </is>
      </c>
      <c r="G1856" s="2" t="inlineStr">
        <is>
          <t>Ленинградское телевидение</t>
        </is>
      </c>
      <c r="H1856" s="2" t="n">
        <v>862</v>
      </c>
      <c r="I1856" s="2" t="inlineStr"/>
      <c r="J1856" s="2" t="inlineStr">
        <is>
          <t>да</t>
        </is>
      </c>
      <c r="K1856" s="3" t="inlineStr">
        <is>
          <t>Фильм основан на моноспектакле Виктора Харитонова и посвящен Михаилу Лермонтову и Шандору Петёфи, венгерскому поэту, расстрелянному карателями Николая I.
Из книги Ю. Панича "Колесо счастья": "Фильм после просмотра "положили на полку". Причина - отрицательный отзыв о каких- то деталях сценария, прозвучавший из уст самого Ираклия Андронникова. Талантливый Ираклий Андронников считал себя монополистом на освещение темы Леромонтова по ТВ. А тут кто-то посмел... Повторяю, фильм "положили на полку", то есть похоронили навсегда. Единственная копия лежала в хранилищах Ленинградского телевидения в ожидании утилизации кинопленки."
Стараниями Виктора Харитонова фильм был показан в 1991 году в телевизионной передаче "Премьера через четверть века", в которой участвовала режиссер Л. Панич, получившая возможность впервые приехать на родину после эмиграции 1972 года.</t>
        </is>
      </c>
      <c r="L1856" s="2" t="inlineStr">
        <is>
          <t>https://www.kino-teatr.ru/teatr/movie/86427/annot/</t>
        </is>
      </c>
      <c r="M1856" s="2">
        <f>HYPERLINK("https://ru.wikipedia.org/w/index.php?search=%D0%9D%D0%B0%20%D1%81%D0%BC%D0%B5%D1%80%D1%82%D1%8C%20%D0%BF%D0%BE%D1%8D%D1%82%D0%BE%D0%B2%201970%20%D1%84%D0%B8%D0%BB%D1%8C%D0%BC","искать")</f>
        <v/>
      </c>
      <c r="N1856" s="3" t="n"/>
      <c r="O1856" s="2" t="n"/>
    </row>
    <row r="1857">
      <c r="A1857" s="2" t="n">
        <v>1856</v>
      </c>
      <c r="B1857" s="2" t="inlineStr">
        <is>
          <t>не сюжет</t>
        </is>
      </c>
      <c r="C1857" s="2" t="n">
        <v>10319</v>
      </c>
      <c r="D1857" s="3" t="inlineStr">
        <is>
          <t>На пороге</t>
        </is>
      </c>
      <c r="E1857" s="2" t="n">
        <v>1969</v>
      </c>
      <c r="F1857" s="2" t="inlineStr">
        <is>
          <t>фильм-спектакль</t>
        </is>
      </c>
      <c r="G1857" s="2" t="n"/>
      <c r="H1857" s="2" t="n">
        <v>874</v>
      </c>
      <c r="I1857" s="2" t="inlineStr"/>
      <c r="J1857" s="2" t="inlineStr">
        <is>
          <t>да</t>
        </is>
      </c>
      <c r="K1857" s="3" t="inlineStr">
        <is>
          <t>Спектакль на тему взаимоотношений в "Могучей кучке" после смерти композитора Бородина.«Могучая кучка» (Балакиревский кружок, Новая русская музыкальная школа) — творческое содружество российских композиторов, сложившееся в конце 1850-х и начале 1860-х годов. Название дал кружку его идеолог — критик В. В. Стасов. Впервые название встречается в статье Стасова «Славянский концерт г. Балакирева» (1867): «Сколько поэзии, чувства, таланта и умения есть у маленькой, но уже могучей кучки русских музыкантов». В «Могучую кучку» входили: Балакирев Милий Алексеевич (руководитель), Бородин Александр Порфирьевич, Кюи Цезарь Антонович, Мусоргский Модест Петрович, Римский-Корсаков Николай Андреевич. К середине 1870-х годов «Могучая кучка» как сплочённая группа перестала существовать. Деятельность «Могучей кучки» стала эпохой в развитии русского и мирового музыкального искусства.</t>
        </is>
      </c>
      <c r="L1857" s="2" t="inlineStr">
        <is>
          <t>https://www.kino-teatr.ru/teatr/movie/93768/annot/</t>
        </is>
      </c>
      <c r="M1857" s="2">
        <f>HYPERLINK("https://ru.wikipedia.org/w/index.php?search=%D0%9D%D0%B0%20%D0%BF%D0%BE%D1%80%D0%BE%D0%B3%D0%B5%201969%20%D1%84%D0%B8%D0%BB%D1%8C%D0%BC","искать")</f>
        <v/>
      </c>
      <c r="N1857" s="3" t="n"/>
      <c r="O1857" s="2" t="n"/>
    </row>
    <row r="1858">
      <c r="A1858" s="2" t="n">
        <v>1857</v>
      </c>
      <c r="B1858" s="2" t="inlineStr">
        <is>
          <t>не сюжет</t>
        </is>
      </c>
      <c r="C1858" s="2" t="n">
        <v>9968</v>
      </c>
      <c r="D1858" s="3" t="inlineStr">
        <is>
          <t>...Иванов</t>
        </is>
      </c>
      <c r="E1858" s="2" t="n">
        <v>1981</v>
      </c>
      <c r="F1858" s="2" t="inlineStr">
        <is>
          <t>кинофильм</t>
        </is>
      </c>
      <c r="G1858" s="2" t="inlineStr">
        <is>
          <t>Мосфильм, ВГИК</t>
        </is>
      </c>
      <c r="H1858" s="2" t="n">
        <v>985</v>
      </c>
      <c r="I1858" s="2" t="inlineStr"/>
      <c r="J1858" s="2" t="inlineStr">
        <is>
          <t>да</t>
        </is>
      </c>
      <c r="K1858" s="3" t="inlineStr">
        <is>
          <t>Игровая кинозарисовка, учебная работа по киноосвещению, композиции и спецсъемкам А.Ильховского (3 курс, ВГИК, кафедра операторского мастерства, мастер-руководитель А.Симонов) с участием ансамбля "Аквариум".
В 80-м Олег Осетинский странным образом материализовался в круге Майка и БГ. Он был не музыкантом, а театральным режиссером и драматургом, к тому же обладал магическим даром влияния на людей. Свою дочь Полину он сделал пианисткой международного класса. Осетинский пришел и сказал: «Петь вы не умеете, играть не умеете, песни писать не умеете, а я вас научу». И два вполне состоявшихся рок-музыканта в течение года послушно выполняли все его указания, а Майк особенно. Мать певца Галина Флорентьевна Науменко считает, что Осетинский сделал его артистом. Отношения с Гребенщиковым сложились не так гладко, однако именно Осетинский познакомил студентов ВГИКа Александра Ильховского и Александра Нехорошего с «Аквариумом». В результате на свет появился фильм «Иванов» с участием БГ.</t>
        </is>
      </c>
      <c r="L1858" s="2" t="inlineStr">
        <is>
          <t>https://www.kino-teatr.ru/short/movie/sov/16704/annot/</t>
        </is>
      </c>
      <c r="M1858" s="2">
        <f>HYPERLINK("https://ru.wikipedia.org/w/index.php?search=...%D0%98%D0%B2%D0%B0%D0%BD%D0%BE%D0%B2%201981%20%D1%84%D0%B8%D0%BB%D1%8C%D0%BC","искать")</f>
        <v/>
      </c>
      <c r="N1858" s="3" t="n"/>
      <c r="O1858" s="2" t="n"/>
    </row>
    <row r="1859">
      <c r="A1859" s="2" t="n">
        <v>1858</v>
      </c>
      <c r="B1859" s="2" t="inlineStr">
        <is>
          <t>не сюжет</t>
        </is>
      </c>
      <c r="C1859" s="2" t="n">
        <v>10205</v>
      </c>
      <c r="D1859" s="3" t="inlineStr">
        <is>
          <t>Медея</t>
        </is>
      </c>
      <c r="E1859" s="2" t="n">
        <v>1967</v>
      </c>
      <c r="F1859" s="2" t="inlineStr">
        <is>
          <t>фильм-спектакль</t>
        </is>
      </c>
      <c r="G1859" s="2" t="inlineStr">
        <is>
          <t>Главная редакция литературно-драматических программ</t>
        </is>
      </c>
      <c r="H1859" s="2" t="n">
        <v>986</v>
      </c>
      <c r="I1859" s="2" t="inlineStr"/>
      <c r="J1859" s="2" t="inlineStr">
        <is>
          <t>да</t>
        </is>
      </c>
      <c r="K1859" s="3" t="inlineStr">
        <is>
          <t>«Медея» — один из самых ярких спектаклей театра Маяковского, премьера которого состоялась в 1961 году.
Театр Маяковского впервые в СССР поставил «Медею», а Евгений Самойлов стал первым исполнителем роли Ясона на российской сцене. В творческом союзе с Охлопковым артист создал психологически точный характер убежденного эгоиста и современного прагматика, практичного и безнравственного. Взрывной темперамент и трагический пафос исполнения финальной сцены (отчаяние отца убитых детей) потрясали зрителей.
Евгения Козырёва создала мощный трагически-острый характер, её Медея главенствует на сцене, вовлекая зрителя в совершенно особый мир античной драмы, где не работают привычные нормы жизни, а всё живёт по своим особым законам. Спектакль стремится максимально приблизится к античному театру, это особое действо, абсолютно непохожее на другие постановки.
Симфонический оркестр: дирижёр Ю.Силантьев; Академическая республиканская хоровая капелла: худ.рук. А.Юрлов; Балетмейстер Н.Гришина.</t>
        </is>
      </c>
      <c r="L1859" s="2" t="inlineStr">
        <is>
          <t>https://www.kino-teatr.ru/teatr/movie/81589/annot/</t>
        </is>
      </c>
      <c r="M1859" s="2">
        <f>HYPERLINK("https://ru.wikipedia.org/w/index.php?search=%D0%9C%D0%B5%D0%B4%D0%B5%D1%8F%201967%20%D1%84%D0%B8%D0%BB%D1%8C%D0%BC","искать")</f>
        <v/>
      </c>
      <c r="N1859" s="3" t="n"/>
      <c r="O1859" s="2" t="n"/>
    </row>
    <row r="1860">
      <c r="A1860" s="2" t="n">
        <v>1859</v>
      </c>
      <c r="B1860" s="2" t="inlineStr">
        <is>
          <t>не сюжет</t>
        </is>
      </c>
      <c r="C1860" s="2" t="n">
        <v>10484</v>
      </c>
      <c r="D1860" s="3" t="inlineStr">
        <is>
          <t>Балалайкин и К°</t>
        </is>
      </c>
      <c r="E1860" s="2" t="n">
        <v>1973</v>
      </c>
      <c r="F1860" s="2" t="inlineStr">
        <is>
          <t>фильм-спектакль</t>
        </is>
      </c>
      <c r="G1860" s="2" t="inlineStr">
        <is>
          <t>ТО "Экран"</t>
        </is>
      </c>
      <c r="H1860" s="2" t="n">
        <v>1047</v>
      </c>
      <c r="I1860" s="2" t="inlineStr"/>
      <c r="J1860" s="2" t="inlineStr">
        <is>
          <t>да</t>
        </is>
      </c>
      <c r="K1860" s="3" t="inlineStr">
        <is>
          <t>Спектакль театра "Современник" в постановке Г.А.Товстоногова.
Постановка Георгия Товстоногова. «Балалайкин и К°» был программным спектаклем театра, оправданием его гордого названия. Сергей Михалков составил пьесу из отрывков «Современной идиллии» Салтыкова-Щедрина — сатирического романа, высмеивающего трусливую либеральную интеллигенцию XIX века. Постреформенные 1870-е и послеоттепельные 1970-е оказались удивительно похожи. Прежние высокие идеалы заброшены, в чести молчалинская покладистость и умение «годить», то есть не жить, а существовать, дожидаясь лучших времен. Показанный театром процесс превращения героев в «благонамеренных скотин» современники вполне обоснованно приняли на свой счет. Это была необыкновенная для тех времен смелость высказывания. Актуальность и публицистичность пьесы, режиссерское мастерство Георгия Товстоногова, талант молодых актеров — Валентина Гафта, Игоря Кваши, Олега Табакова, Андрея Мягкова, которые с азартом, как можно себе представить, «отрывались», изображая чудовищных гротескных персонажей Щедрина.</t>
        </is>
      </c>
      <c r="L1860" s="2" t="inlineStr">
        <is>
          <t>https://www.kino-teatr.ru/teatr/movie/354/annot/</t>
        </is>
      </c>
      <c r="M1860" s="2">
        <f>HYPERLINK("https://ru.wikipedia.org/w/index.php?search=%D0%91%D0%B0%D0%BB%D0%B0%D0%BB%D0%B0%D0%B9%D0%BA%D0%B8%D0%BD%20%D0%B8%20%D0%9A%C2%B0%201973%20%D1%84%D0%B8%D0%BB%D1%8C%D0%BC","искать")</f>
        <v/>
      </c>
      <c r="N1860" s="3" t="n"/>
      <c r="O1860" s="2" t="n"/>
    </row>
    <row r="1861">
      <c r="A1861" s="2" t="n">
        <v>1860</v>
      </c>
      <c r="B1861" s="2" t="inlineStr">
        <is>
          <t>не сюжет</t>
        </is>
      </c>
      <c r="C1861" s="2" t="n">
        <v>10850</v>
      </c>
      <c r="D1861" s="3" t="inlineStr">
        <is>
          <t>Мне от любви покоя не найти</t>
        </is>
      </c>
      <c r="E1861" s="2" t="n">
        <v>1980</v>
      </c>
      <c r="F1861" s="2" t="inlineStr">
        <is>
          <t>фильм-спектакль</t>
        </is>
      </c>
      <c r="G1861" s="2" t="n"/>
      <c r="H1861" s="2" t="n">
        <v>1090</v>
      </c>
      <c r="I1861" s="2" t="inlineStr"/>
      <c r="J1861" s="2" t="inlineStr">
        <is>
          <t>да</t>
        </is>
      </c>
      <c r="K1861" s="3" t="inlineStr">
        <is>
          <t>Телеспектакль создан по мотивам пьес и сонетов Шекспира (1980 г). В нем Маргарита Терехова играет сразу пять ролей: Клеопатру, Дездемону, Офелию, Катарину и леди Анну.
Миры, совершенно непохожие, во многом далекие друг от друга.
Вспомнилось пушкинское простое: "Шекспир понял страсти". А сколько нужно поработать, как нужно выложиться, чтобы эти страсти понял (хотя бы уловил) зритель! И не театру ли дано перевести, передать то, что спрессовано, законспектировано в слове, что вовек не снилось философам и мудрецам?..
Роман Виктюк рассказывал, что Маргариту Терехову он пригласил на эту роль без всяких колебаний, потому что, по его мнению, только эта актриса смогла сыграть, любовь, женственность, страсть в самых разных и неожиданных ее проявлениях. Маргарита Терехова — одна из немногих артисток, в которых одновременно уживаются несколько женских начал. Это редкий и замечательно ценный дар. Этот спектакль — бенефис замечательной актрисы. В театре Терехова играла роли большие и маленькие, лирические и драматические. Театру я обязана всем или почти всем, что умею, — говорит актриса.</t>
        </is>
      </c>
      <c r="L1861" s="2" t="inlineStr">
        <is>
          <t>https://www.kino-teatr.ru/teatr/movie/101723/annot/</t>
        </is>
      </c>
      <c r="M1861" s="2">
        <f>HYPERLINK("https://ru.wikipedia.org/w/index.php?search=%D0%9C%D0%BD%D0%B5%20%D0%BE%D1%82%20%D0%BB%D1%8E%D0%B1%D0%B2%D0%B8%20%D0%BF%D0%BE%D0%BA%D0%BE%D1%8F%20%D0%BD%D0%B5%20%D0%BD%D0%B0%D0%B9%D1%82%D0%B8%201980%20%D1%84%D0%B8%D0%BB%D1%8C%D0%BC","искать")</f>
        <v/>
      </c>
      <c r="N1861" s="3" t="n"/>
      <c r="O1861" s="2" t="n"/>
    </row>
    <row r="1862">
      <c r="A1862" s="2" t="n">
        <v>1861</v>
      </c>
      <c r="B1862" s="2" t="inlineStr">
        <is>
          <t>не сюжет</t>
        </is>
      </c>
      <c r="C1862" s="2" t="n">
        <v>11022</v>
      </c>
      <c r="D1862" s="3" t="inlineStr">
        <is>
          <t>Эдит Пиаф</t>
        </is>
      </c>
      <c r="E1862" s="2" t="n">
        <v>1983</v>
      </c>
      <c r="F1862" s="2" t="inlineStr">
        <is>
          <t>фильм-спектакль</t>
        </is>
      </c>
      <c r="G1862" s="2" t="inlineStr">
        <is>
          <t>Гл. ред. литературно-художественных программ</t>
        </is>
      </c>
      <c r="H1862" s="2" t="n">
        <v>1160</v>
      </c>
      <c r="I1862" s="2" t="inlineStr"/>
      <c r="J1862" s="2" t="inlineStr">
        <is>
          <t>да</t>
        </is>
      </c>
      <c r="K1862" s="3" t="inlineStr">
        <is>
          <t>Спектакль о жизни и любви великой французской певицы поставлен Борисом Щедриным в государственном академическом театре имени Моссовета.
Пьеса В. Легентова написана по книгам Эдит Пиаф «Моя жизнь» и «На балу удачи». Голос Эдит Пиаф — один из самых узнаваемых голосов ушедшего века. В музыке, исполняемой ею, сплелись страсть, боль, ожидание и любовь. Она пользовалась в нашей стране огромной популярностью. Ее многочисленные студийные записи и концертные выступления выпускались у нас на граммофонных пластинках большими тиражами. А песни из репертуара Эдит Пиаф исполнялись известными певицами. Ее судьба не раз привлекала драматургов и режиссеров. Один из самых легендарных спектаклей о судьбе певицы — «Эдит Пиаф» в театре Моссовета. Главную роль исполняла Нина Дробышева. На этот спектакль приезжали со всех концов страны и из-за рубежа. Спектакль, проживший такую же яркую жизнь, как судьба, в нем рассказанная. Откровенность жизни певицы, умноженная на искренность актерского мастерства Дробышевой, давала тот взрывной силы эффект, благодаря которому никто не мог равнодушно смотреть на хрупкую фигурку, которая словно собирала вокруг себя свет и энергию.</t>
        </is>
      </c>
      <c r="L1862" s="2" t="inlineStr">
        <is>
          <t>https://www.kino-teatr.ru/teatr/movie/81499/annot/</t>
        </is>
      </c>
      <c r="M1862" s="2">
        <f>HYPERLINK("https://ru.wikipedia.org/w/index.php?search=%D0%AD%D0%B4%D0%B8%D1%82%20%D0%9F%D0%B8%D0%B0%D1%84%201983%20%D1%84%D0%B8%D0%BB%D1%8C%D0%BC","искать")</f>
        <v/>
      </c>
      <c r="N1862" s="3" t="n"/>
      <c r="O1862" s="2" t="n"/>
    </row>
    <row r="1863">
      <c r="A1863" s="2" t="n">
        <v>1862</v>
      </c>
      <c r="B1863" s="2" t="inlineStr">
        <is>
          <t>не сюжет</t>
        </is>
      </c>
      <c r="C1863" s="2" t="n">
        <v>10809</v>
      </c>
      <c r="D1863" s="3" t="inlineStr">
        <is>
          <t>Мамуре</t>
        </is>
      </c>
      <c r="E1863" s="2" t="n">
        <v>1979</v>
      </c>
      <c r="F1863" s="2" t="inlineStr">
        <is>
          <t>фильм-спектакль</t>
        </is>
      </c>
      <c r="G1863" s="2" t="n"/>
      <c r="H1863" s="2" t="n">
        <v>1206</v>
      </c>
      <c r="I1863" s="2" t="inlineStr"/>
      <c r="J1863" s="2" t="inlineStr">
        <is>
          <t>да</t>
        </is>
      </c>
      <c r="K1863" s="3" t="inlineStr">
        <is>
          <t>Спектакль Малого театра, поставленный режиссером Борисом Александровичем Львовым-Анохиным специально для старейшей актрисы Малого театра Елены Гоголевой к ее 60-му сезону. И после этого Гоголева играла столетнюю главу рода Муре, не вставая с кресла. Работая над образом, актриса познакомилась со стооднолетней француженкой, проживавшей тогда в Москве, и, как сама признавалась, многому у нее научилась. Актриса очень переживала, получится у нее роль или нет. А режиссер, поддерживая ее, говорил, «Сыграете! Да вам и играть нечего — хулиганьте, только разрешите себе хулиганить!», «Это мне-то хулиганить, трагической актрисе?!» Спектакль получился замечательным, тонким, изящным.
Французскую пьесу Жана Сармана нашла и перевела на русский язык дочь писателя Куприна Ксения, сама актриса. Она вернулась в СССР вопреки советам отца и прожила в Москве не самые свои лучшие годы. Игравшая в кино и театре Франции, она в России числилась в театре Пушкина, но не играла. Говорили, что для нее нет ролей. Вот она и искала пьесы и переводила их. Без нее мы бы Мамуре не увидели. Кстати, у Гоголевой, в плане игры в театре, была очень схожая ситуация, и пьеса Мамуре стала для нее не только триумфом, но и спасением.</t>
        </is>
      </c>
      <c r="L1863" s="2" t="inlineStr">
        <is>
          <t>https://www.kino-teatr.ru/teatr/movie/82047/annot/</t>
        </is>
      </c>
      <c r="M1863" s="2">
        <f>HYPERLINK("https://ru.wikipedia.org/w/index.php?search=%D0%9C%D0%B0%D0%BC%D1%83%D1%80%D0%B5%201979%20%D1%84%D0%B8%D0%BB%D1%8C%D0%BC","искать")</f>
        <v/>
      </c>
      <c r="N1863" s="3" t="n"/>
      <c r="O1863" s="2" t="n"/>
    </row>
    <row r="1864">
      <c r="A1864" s="2" t="n">
        <v>1863</v>
      </c>
      <c r="B1864" s="2" t="inlineStr">
        <is>
          <t>не сюжет</t>
        </is>
      </c>
      <c r="C1864" s="2" t="n">
        <v>10827</v>
      </c>
      <c r="D1864" s="3" t="inlineStr">
        <is>
          <t>Этот фантастический мир. Выпуск 1</t>
        </is>
      </c>
      <c r="E1864" s="2" t="n">
        <v>1979</v>
      </c>
      <c r="F1864" s="2" t="inlineStr">
        <is>
          <t>фильм-спектакль</t>
        </is>
      </c>
      <c r="G1864" s="2" t="inlineStr">
        <is>
          <t>Главная редакция программ для детей и юношества ЦТ</t>
        </is>
      </c>
      <c r="H1864" s="2" t="n">
        <v>1267</v>
      </c>
      <c r="I1864" s="2" t="inlineStr"/>
      <c r="J1864" s="2" t="inlineStr">
        <is>
          <t>да</t>
        </is>
      </c>
      <c r="K1864" s="3" t="inlineStr">
        <is>
          <t>Первый выпуск телеальманаха по произведениям советских и зарубежных фантастов, впоследствии регулярно выходившего на Центральном Телевидении СССР до 1990 года.
Изначально передача задумывалась как литературная викторина для школьников, которым после просмотра предстояло определить, фрагменты каких произведений были инсценированы. Однако после первых выпусков стало очевидно, что программа приобрела огромную популярность не только у школьников, но и у всех любителей жанра фантастики. Поэтому в дальнейшем передача стала выходить в несколько ином формате - в виде телеальманаха, в котором несколько сюжетов из разных произведений были связаны одной темой.
Бессменным ведущим "ЭФМ", начиная со второго выпуска, стал космонавт Георгий Михайлович Гречко.
Создан на основе следующих произведений: Жюль Верн «Из пушки на Луну», Герберт Уэллс «Человек, который мог творить чудеса», Станислав Лем «Путешествие четырнадцатое».
А первый выпуск передачи "Этот фантастический мир" провели космонавт Константин Феоктистов, актер Виктор Сергачёв и школьник Кирилл Агеев. В качестве задания для юных зрителей были выбраны фрагменты из произведений Жюля Верна «Из пушки на Луну», Герберта Уэллса «Человек, который мог творить чудеса» и Станислава Лема «Путешествие четырнадцатое».</t>
        </is>
      </c>
      <c r="L1864" s="2" t="inlineStr">
        <is>
          <t>https://www.kino-teatr.ru/teatr/movie/11696/annot/</t>
        </is>
      </c>
      <c r="M1864" s="2">
        <f>HYPERLINK("https://ru.wikipedia.org/w/index.php?search=%D0%AD%D1%82%D0%BE%D1%82%20%D1%84%D0%B0%D0%BD%D1%82%D0%B0%D1%81%D1%82%D0%B8%D1%87%D0%B5%D1%81%D0%BA%D0%B8%D0%B9%20%D0%BC%D0%B8%D1%80.%20%D0%92%D1%8B%D0%BF%D1%83%D1%81%D0%BA%201%201979%20%D1%84%D0%B8%D0%BB%D1%8C%D0%BC","искать")</f>
        <v/>
      </c>
      <c r="N1864" s="3" t="n"/>
      <c r="O1864" s="2" t="n"/>
    </row>
    <row r="1865">
      <c r="A1865" s="2" t="n">
        <v>1864</v>
      </c>
      <c r="B1865" s="2" t="inlineStr">
        <is>
          <t>не сюжет</t>
        </is>
      </c>
      <c r="C1865" s="2" t="n">
        <v>11153</v>
      </c>
      <c r="D1865" s="3" t="inlineStr">
        <is>
          <t>Живой труп</t>
        </is>
      </c>
      <c r="E1865" s="2" t="n">
        <v>1987</v>
      </c>
      <c r="F1865" s="2" t="inlineStr">
        <is>
          <t>фильм-спектакль</t>
        </is>
      </c>
      <c r="G1865" s="2" t="inlineStr">
        <is>
          <t>Главная редакция литературно-драматических программ ЦТ</t>
        </is>
      </c>
      <c r="H1865" s="2" t="n">
        <v>1280</v>
      </c>
      <c r="I1865" s="2" t="inlineStr"/>
      <c r="J1865" s="2" t="inlineStr">
        <is>
          <t>да</t>
        </is>
      </c>
      <c r="K1865" s="3" t="inlineStr">
        <is>
          <t>По одноименной драме Л.Н.Толстого. Телевариант спектакля театра им. Моссовета.
Написанная в 1900-м, драма «Живой труп» попала в печать лишь в 1911-м, когда автора не стало, и тогда же впервые была поставлена на Александринской сцене. О том, почему Лев Толстой с ее обнародованием не торопился, остается догадываться — возможно, мотивы тут были вполне личные: семейная катастрофа Феди Протасова слишком легко проецировалась на коллизии яснополянского гнезда, на собственные отношения автора с женой, «безупречной женщиной» (говоря протасовскими словами), общая жизнь с которой утратила смысл. В роли Федора Протасова в этом телеварианте спектакля театра им. Моссовета выступил Леонид Марков. «Гнетущий человек» — говорили про его героя критики. Его часто упрекали в том, что сегодня сочли бы, пожалуй, достоинством: Марков умел сосредоточиться на личной, а не на социальной драме героя, создавал характер, а не тип. Он много играл классических ролей, но персонажи его, возможно, не отдавая себе в том отчета, страдали депрессией вполне современной — тяжелым стыдом сильного человека, измученного серостью совкового «застоя». И сгибались под тяжестью русской тоски, к смене времен равнодушной и висевшей, как родовое проклятие. О его Феде Протасове говорили: «перегоревший человек».</t>
        </is>
      </c>
      <c r="L1865" s="2" t="inlineStr">
        <is>
          <t>https://www.kino-teatr.ru/teatr/movie/2235/annot/</t>
        </is>
      </c>
      <c r="M1865" s="2">
        <f>HYPERLINK("https://ru.wikipedia.org/w/index.php?search=%D0%96%D0%B8%D0%B2%D0%BE%D0%B9%20%D1%82%D1%80%D1%83%D0%BF%201987%20%D1%84%D0%B8%D0%BB%D1%8C%D0%BC","искать")</f>
        <v/>
      </c>
      <c r="N1865" s="3" t="n"/>
      <c r="O1865" s="2" t="n"/>
    </row>
    <row r="1866">
      <c r="A1866" s="2" t="n">
        <v>1865</v>
      </c>
      <c r="B1866" s="2" t="inlineStr">
        <is>
          <t>не сюжет</t>
        </is>
      </c>
      <c r="C1866" s="2" t="n">
        <v>10955</v>
      </c>
      <c r="D1866" s="3" t="inlineStr">
        <is>
          <t>Повесть о молодых супругах</t>
        </is>
      </c>
      <c r="E1866" s="2" t="n">
        <v>1982</v>
      </c>
      <c r="F1866" s="2" t="inlineStr">
        <is>
          <t>фильм-спектакль</t>
        </is>
      </c>
      <c r="G1866" s="2" t="inlineStr">
        <is>
          <t>Главная редакция литературно-драматических программ Центрального телевидения</t>
        </is>
      </c>
      <c r="H1866" s="2" t="n">
        <v>1386</v>
      </c>
      <c r="I1866" s="2" t="inlineStr"/>
      <c r="J1866" s="2" t="inlineStr">
        <is>
          <t>да</t>
        </is>
      </c>
      <c r="K1866" s="3" t="inlineStr">
        <is>
          <t>По мотивам пьесы Евгения Шварца.
Пьеса о молодоженах и их друзьях. О том как важно за повседневностью не растерять прежних чувств.
"Его (Е.Шварца) последняя пьеса — «Повесть о молодых супругах». Он читал мне в Комарове, где мы часто встречались, отдельные наброски этой пьесы, которую так и не успел довести до окончательной отделки. В первоначальных вариантах не было двух персонажей пьесы — кукол. Речь шла только о молодоженах и их друзьях. Шварц хотел поделиться своими раздумьями о том, как важно молодой паре «притереться» друг к другу, чтобы наступило полное взаимопонимание. Его удручала мысль о непрочности многих юношеских браков, он желал как-то помочь советом старого человека. В нем говорил и голос отца, безгранично любившего свою дочь. Если бы он мог привести в эту пьесу своего доброго волшебника, он бы это сделал.
Ему нужно было, чтобы обыденная жизнь была освещена взором «со стороны». А «со стороны», значит, каким-то особым взглядом. Так родилась мысль о введении мудрых кукол, проживших бог знает сколько лет, знавших еще бабушек и дедушек молодыми и наделенных светлой мудростью. Герои пьесы так и не услышали их голосов. Но зрители поняли их речи. Через многие годы вернувшись к произведению с реально-бытовым сюжетом, Шварц вернулся и к важному для него приему — через «остранение» прийти к обобщению того, что обычно заслоняется повседневностью." (М.Янковский)</t>
        </is>
      </c>
      <c r="L1866" s="2" t="inlineStr">
        <is>
          <t>https://www.kino-teatr.ru/teatr/movie/16402/annot/</t>
        </is>
      </c>
      <c r="M1866" s="2">
        <f>HYPERLINK("https://ru.wikipedia.org/w/index.php?search=%D0%9F%D0%BE%D0%B2%D0%B5%D1%81%D1%82%D1%8C%20%D0%BE%20%D0%BC%D0%BE%D0%BB%D0%BE%D0%B4%D1%8B%D1%85%20%D1%81%D1%83%D0%BF%D1%80%D1%83%D0%B3%D0%B0%D1%85%201982%20%D1%84%D0%B8%D0%BB%D1%8C%D0%BC","искать")</f>
        <v/>
      </c>
      <c r="N1866" s="3" t="n"/>
      <c r="O1866" s="2" t="n"/>
    </row>
    <row r="1867">
      <c r="A1867" s="2" t="n">
        <v>1866</v>
      </c>
      <c r="B1867" s="2" t="inlineStr">
        <is>
          <t>не сюжет</t>
        </is>
      </c>
      <c r="C1867" s="2" t="n">
        <v>10703</v>
      </c>
      <c r="D1867" s="3" t="inlineStr">
        <is>
          <t>Насмешливое моё счастье</t>
        </is>
      </c>
      <c r="E1867" s="2" t="n">
        <v>1977</v>
      </c>
      <c r="F1867" s="2" t="inlineStr">
        <is>
          <t>фильм-спектакль</t>
        </is>
      </c>
      <c r="G1867" s="2" t="inlineStr">
        <is>
          <t>Укртелефильм</t>
        </is>
      </c>
      <c r="H1867" s="2" t="n">
        <v>1445</v>
      </c>
      <c r="I1867" s="2" t="inlineStr"/>
      <c r="J1867" s="2" t="inlineStr">
        <is>
          <t>да</t>
        </is>
      </c>
      <c r="K1867" s="3" t="inlineStr">
        <is>
          <t>Сценический роман в письмах.
Постановка Киевского Государственного академического русского драматического театра им. Леси Украинки.
Время действия: 1884-1904 годы. "Я думаю, главное кроется в пьесе, то есть в поразительно современных, западающих в душу каждого человека мыслях Чехова. Они так умны, тонки, пронзительны, исповедальны, правдивы, парадоксальны, образны - они на все времена. И если артисты доносят их до зрителя искренне, с душой, умом и сердцем, то зритель счастливо внимает им, задумывается над своей жизнью и внутренне эмоционально благодарит и Чехова, и театр за глоток нравственного кислорода, который нужен людям всегда. В письмах Чехова звучит неподдельная боль, почти отчаяние от трагического непонимания обществом дара таланта, боль, отвергающая банальность в восприятии литературы и искусства. Ставя и играя "Насмешливое моё счастье", мы поневоле прикасаемся и к глубоко запрятанной личной драме Чехова. Горечь Чехова, помноженная на вынужденное одиночество - почти тюрьму - в Ялте, где ему приходилось проводить зимы из-за болезни, рождала эти удивительные по своей трезвости и мудрой безнадежности мысли, под которыми и сегодня могут подписаться многие". Эти слова принадлежат режиссеру спектакля, его создателю - Михаилу Юрьевичу Резниковичу. Этот спектакль дважды видел подмостки Театра русской драмы. Впервые это произошло в 1966 году. Поставленный тогда спектакль с неизменным успехом шел на сцене восемнадцать лет.</t>
        </is>
      </c>
      <c r="L1867" s="2" t="inlineStr">
        <is>
          <t>https://www.kino-teatr.ru/teatr/movie/86845/annot/</t>
        </is>
      </c>
      <c r="M1867" s="2">
        <f>HYPERLINK("https://ru.wikipedia.org/w/index.php?search=%D0%9D%D0%B0%D1%81%D0%BC%D0%B5%D1%88%D0%BB%D0%B8%D0%B2%D0%BE%D0%B5%20%D0%BC%D0%BE%D1%91%20%D1%81%D1%87%D0%B0%D1%81%D1%82%D1%8C%D0%B5%201977%20%D1%84%D0%B8%D0%BB%D1%8C%D0%BC","искать")</f>
        <v/>
      </c>
      <c r="N1867" s="3" t="n"/>
      <c r="O1867" s="2" t="n"/>
    </row>
    <row r="1868">
      <c r="A1868" s="2" t="n">
        <v>1867</v>
      </c>
      <c r="B1868" s="2" t="inlineStr">
        <is>
          <t>не сюжет</t>
        </is>
      </c>
      <c r="C1868" s="2" t="n">
        <v>11326</v>
      </c>
      <c r="D1868" s="3" t="inlineStr">
        <is>
          <t>Судьба Короля</t>
        </is>
      </c>
      <c r="E1868" s="2" t="n">
        <v>1990</v>
      </c>
      <c r="F1868" s="2" t="inlineStr">
        <is>
          <t>фильм-спектакль</t>
        </is>
      </c>
      <c r="G1868" s="2" t="inlineStr">
        <is>
          <t>Ленинградское телевидение</t>
        </is>
      </c>
      <c r="H1868" s="2" t="n">
        <v>1702</v>
      </c>
      <c r="I1868" s="2" t="inlineStr"/>
      <c r="J1868" s="2" t="inlineStr">
        <is>
          <t>да</t>
        </is>
      </c>
      <c r="K1868" s="3" t="inlineStr">
        <is>
          <t>По пьесе Регины Леснер «Король рок-н-ролла».
Фильм-спектакль «Судьба короля» устами Максима Леонидова рассказывает о творчестве Короля рок-н-ролла Элвиса Пресли.
История эта началась в начале 80-х, когда в Ленинградском театральном институте силами студенческого театра был поставлен спектакль «Ах, эти звезды!». Спектакль представлял собой серию остроумных пародий и блестящих стилизаций, выстроенных в виде воображаемого гала-концерта звезд мировой и советской эстрады — от Эллы Фицджеральд и Эдит Пиаф до Аллы Пугачевой и Эдиты Пьехи и от Леонида Утесова и «Битлз» до современных рок-групп и ВИА. Главным действующим лицом на сцене был довольно неплохой анонимный музыкальный ансамбль, лидер которого Максим Леонидов по ходу спектакля играл Армстронга, Маккартни, Макаревича и великолепно сымитировал короля рок-н-ролла Элвиса Пресли. Спектакль шел на сценах питерских театров почти два года и неизменно собирал полные залы. По окончании института авторы и идеологи спектакля — Леонидов, Фоменко и Рубин решили не останавливаться на достигнутом. Так родился бит-квартет «Секрет». Премьера спектакля «Король рок-н-ролла» шла в Ленинграде десять дней подряд с лишь одним выходным. Леонидов, как нетрудно догадаться, играл самого Элвиса. Отец же Макса, заслуженный артист РСФСР Леонид Леонидов, исполнил роль полковника Паркера, менеджера и злого гения Пресли. Трагическую судьбу Элвиса «Секрет» превратил в яркое и динамичное шоу, что вовсе не заслонило от зрителей всех перипетий жизни Короля рок-н-ролла.
Существующая видеоверсия - телепередача Бориса Гершта, режиссёр Ленинградского телевидения, в которую включены фрагменты спектакля и интервью с музыкантами группы "Секрет" и Леонидом Леонидовым.</t>
        </is>
      </c>
      <c r="L1868" s="2" t="inlineStr">
        <is>
          <t>https://www.kino-teatr.ru/teatr/movie/105081/annot/</t>
        </is>
      </c>
      <c r="M1868" s="2">
        <f>HYPERLINK("https://ru.wikipedia.org/w/index.php?search=%D0%A1%D1%83%D0%B4%D1%8C%D0%B1%D0%B0%20%D0%9A%D0%BE%D1%80%D0%BE%D0%BB%D1%8F%201990%20%D1%84%D0%B8%D0%BB%D1%8C%D0%BC","искать")</f>
        <v/>
      </c>
      <c r="N1868" s="3" t="n"/>
      <c r="O1868" s="2" t="n"/>
    </row>
    <row r="1869">
      <c r="A1869" s="2" t="n">
        <v>1868</v>
      </c>
      <c r="B1869" s="2" t="inlineStr">
        <is>
          <t>не сюжет</t>
        </is>
      </c>
      <c r="C1869" s="2" t="n">
        <v>10179</v>
      </c>
      <c r="D1869" s="3" t="inlineStr">
        <is>
          <t>Кабачок "13 стульев" (1966-1980)</t>
        </is>
      </c>
      <c r="E1869" s="2" t="n">
        <v>1966</v>
      </c>
      <c r="F1869" s="2" t="inlineStr">
        <is>
          <t>фильм-спектакль</t>
        </is>
      </c>
      <c r="G1869" s="2" t="inlineStr">
        <is>
          <t>Центральное телевидение, ТО "Экран"</t>
        </is>
      </c>
      <c r="H1869" s="2" t="n">
        <v>4924</v>
      </c>
      <c r="I1869" s="2" t="inlineStr"/>
      <c r="J1869" s="2" t="inlineStr">
        <is>
          <t>да</t>
        </is>
      </c>
      <c r="K1869" s="3" t="inlineStr">
        <is>
          <t>Однажды Александр Белявский, которого много снимали в Польше, привез в Москву множество юмористических журналов. Вместе с Георгием Зелинским, режиссером театра Сатиры они разработали идею телетеатра миниатюр, который сначала назвали «Добрый вечер». Задуманная первоначально трилогия превратилась почти в
бесконечность из-за писем телезрителей, да и пристрастия к спектаклю главы государства. Первым ведущим был Белявский. Потом решили сменить название, и был объявлен конкурс. «Кабачок 13 стульев» звучало менее размыто и более узнаваемо, к тому же это соответствовало количеству участников каждой серии.
Телеспектакль 60-х-70-х годов, имевший в стране колоссальный успех, «Кабачок» обладал острой критической направленностью и искрометным юмором. Третьим беспроигрышным составляющим стали лучшие европейские шлягеры, которые лучшие актеры Москвы «исполняли» под фонограмму. Миниатюры были взяты из польского сатирического журнала «Шпильки», и это позволило в условиях застоя смеяться над собственными недостатками, поскольку эзопов язык создателей телеспектакля был хорошо понятен зрителям. Все понимали, что видят на экране вовсе не поляков.
Персонажи были настолько типажны, что каждый узнавал в тупом и самодовольном пане Директоре своего собственного начальника; в счетоводе Вотрубе - хитрого «серого кардинала» при Директоре, кладущего деньги а свой карман; в прозаике пане Зюзе бездарного литератора, мусолящего выигрышную и совершенно беспроблемную тему; в тараторящих дамочках Каролинке и Катарине пустеньких барышень, идущих на поводу у моды; в бармене Беспальчике - немного циничного наблюдателя, знатока человеческих душ... Некоторые передачи запрещались цензурой и выходили с опозданием. Обычно передачи выходили с регулярностью раз в неделю - по субботам, в прайм-таймовское время - когда все зрители отдыхали дома.
Андрею Миронову удалось провести всего две передачи: подвела харизматичность - зрители посчитали, что он затмил остальных актеров и это разрушает передачу, на роль ведущего нужен более нейтральный актер. И Андрей Миронов был заменен Михаилом Державиным, создавшим образ среднего поляка - несколько фатоватого, не блещущего умом, но обладающего обаянием.
Михаил Державин появлялся первым еще у входа в «Кабачок», как постоянный завсегдатай, решивший скоротать вечер за кружкой пива. Он произносил свой монолог и раздвигал бамбуковую занавеску.
Юмористические сценки и шлягеры равномерно чередовались, чтобы ни то ни другое не утомляло зрителя. Первые передачи были черно-белыми и шли не в записи,поэтому возникали неприятности из-за появления актрис в мини-юбках, сбоя во времени. Когда «Кабачок» получил свою студию в Останкино, он стал цветным, но уже шел в записи. Шлягеры пан Ведущий добросовестно переводил, заглушая мелодию, и на студию пришло много писем с требованием "заткнуть" его и дать послушать хорошую музыку, поскольку зарубежную эстраду давали в то время только на Новый год и на Пасху, «Кабачок 13 стульев» оказался единственным сериалом, знакомящим зрителей с новыми европейскими песнями.
Почти все исполнители играли на сцене театра Сатиры, однако были и актеры других театров (Рудольф Рудин, Виктория Лепко, Георгий Вицин...).
В юбилейный, десятый год передачи все ее участники были награждены званиями,премиями и ценными подарками от советского руководства. Польша присвоила «Кабачку» звание «заслуженного коллектива культуры Польской Народной Республики». Это был 1979 год.
Неприятности у авторов начались осенью 1980-го – с забастовки в ПНР докеров Гданьска в августе–сентябре и рождением профсоюза "Солидарность". Руководство СССР спешно заменяло комсомольского функционера и своего ставленника Каню, не справившегося с ситуацией, на умного и прагматичного генерала Ярузельского. Любой намек на Польшу в то время казался призывом к бунту. Последний раз передача вышела в эфир 13 июля 1980 г. Позднее, когда горячка схлынула и были предприняты несколько попыток возродить спектакль. Сначала «Кабачок» заменили «Домом и его обитателями», но передача была очень скучной. Потом еще одну попытку сделал Ю.Волынцев, уже с «Кабачком» – увы, зрители не приняли обновленный «Кабачок».
Наконец, в 1996 году Анна Макагон, режиссер театра "У камина", предложила вновь возродить спектакль. Некоторые актеры (Аросева и Державин) отказались в нем участвовать. Была отснята одна серия, которую показали на канале 2х2. Но грянул дефолт 1998 г. Спонсор (ТНО "Славянская бумага") обанкротился, и из-за отсутствия средств съемки больше не возобновились.
В дальнейшем, с наступлением эпохи гласности, роль «Кабачка» заметно снизилась. Спектакли были прекращены. Попытка Юрия Волынцева возобновить спектакль не имела успеха, поскольку «нельзя дважды войти в одну реку»: многие актеры умерли, тип юмора очень изменился, а спектакль стал казаться каплей в море перестройки. Это неизбежность, хоть и стоит пожалеть, понастальгировать о тех уютных временах, наполненных грустной и веселой иронией.</t>
        </is>
      </c>
      <c r="L1869" s="2" t="inlineStr">
        <is>
          <t>https://www.kino-teatr.ru/teatr/movie/2807/annot/</t>
        </is>
      </c>
      <c r="M1869" s="2">
        <f>HYPERLINK("https://ru.wikipedia.org/w/index.php?search=%D0%9A%D0%B0%D0%B1%D0%B0%D1%87%D0%BE%D0%BA%20%2213%20%D1%81%D1%82%D1%83%D0%BB%D1%8C%D0%B5%D0%B2%22%20%281966-1980%29%201966%20%D1%84%D0%B8%D0%BB%D1%8C%D0%BC","искать")</f>
        <v/>
      </c>
      <c r="N1869" s="3" t="n"/>
      <c r="O1869" s="2" t="n"/>
    </row>
    <row r="1870">
      <c r="A1870" s="2" t="n">
        <v>1869</v>
      </c>
      <c r="B1870" s="2" t="inlineStr">
        <is>
          <t>короткая</t>
        </is>
      </c>
      <c r="C1870" s="2" t="n">
        <v>9875</v>
      </c>
      <c r="D1870" s="3" t="inlineStr">
        <is>
          <t>Клад</t>
        </is>
      </c>
      <c r="E1870" s="2" t="n">
        <v>1970</v>
      </c>
      <c r="F1870" s="2" t="inlineStr">
        <is>
          <t>кинофильм</t>
        </is>
      </c>
      <c r="G1870" s="2" t="inlineStr">
        <is>
          <t>Азербайджанфильм</t>
        </is>
      </c>
      <c r="H1870" s="2" t="n">
        <v>44</v>
      </c>
      <c r="I1870" s="2" t="inlineStr"/>
      <c r="J1870" s="2" t="inlineStr"/>
      <c r="K1870" s="3" t="inlineStr">
        <is>
          <t>История, связанная с поиском клада в Каспии.</t>
        </is>
      </c>
      <c r="L1870" s="2" t="inlineStr">
        <is>
          <t>https://www.kino-teatr.ru/short/movie/sov/85396/annot/</t>
        </is>
      </c>
      <c r="M1870" s="2">
        <f>HYPERLINK("https://ru.wikipedia.org/w/index.php?search=%D0%9A%D0%BB%D0%B0%D0%B4%201970%20%D1%84%D0%B8%D0%BB%D1%8C%D0%BC","искать")</f>
        <v/>
      </c>
      <c r="N1870" s="3" t="n"/>
      <c r="O1870" s="2" t="n"/>
    </row>
    <row r="1871">
      <c r="A1871" s="2" t="n">
        <v>1870</v>
      </c>
      <c r="B1871" s="2" t="inlineStr">
        <is>
          <t>короткая</t>
        </is>
      </c>
      <c r="C1871" s="2" t="n">
        <v>10172</v>
      </c>
      <c r="D1871" s="3" t="inlineStr">
        <is>
          <t>Приключения Паскуале</t>
        </is>
      </c>
      <c r="E1871" s="2" t="n">
        <v>1966</v>
      </c>
      <c r="F1871" s="2" t="inlineStr">
        <is>
          <t>фильм-спектакль</t>
        </is>
      </c>
      <c r="G1871" s="2" t="inlineStr">
        <is>
          <t>Radiotelevisão Portuguesa (RTP)</t>
        </is>
      </c>
      <c r="H1871" s="2" t="n">
        <v>48</v>
      </c>
      <c r="I1871" s="2" t="inlineStr"/>
      <c r="J1871" s="2" t="inlineStr"/>
      <c r="K1871" s="3" t="inlineStr">
        <is>
          <t>Телеспектакль о приключениях мошенника Паскуале.</t>
        </is>
      </c>
      <c r="L1871" s="2" t="inlineStr">
        <is>
          <t>https://www.kino-teatr.ru/teatr/movie/131270/annot/</t>
        </is>
      </c>
      <c r="M1871" s="2">
        <f>HYPERLINK("https://ru.wikipedia.org/w/index.php?search=%D0%9F%D1%80%D0%B8%D0%BA%D0%BB%D1%8E%D1%87%D0%B5%D0%BD%D0%B8%D1%8F%20%D0%9F%D0%B0%D1%81%D0%BA%D1%83%D0%B0%D0%BB%D0%B5%201966%20%D1%84%D0%B8%D0%BB%D1%8C%D0%BC","искать")</f>
        <v/>
      </c>
      <c r="N1871" s="3" t="n"/>
      <c r="O1871" s="2" t="n"/>
    </row>
    <row r="1872">
      <c r="A1872" s="2" t="n">
        <v>1871</v>
      </c>
      <c r="B1872" s="2" t="inlineStr">
        <is>
          <t>короткая</t>
        </is>
      </c>
      <c r="C1872" s="2" t="n">
        <v>11388</v>
      </c>
      <c r="D1872" s="3" t="inlineStr">
        <is>
          <t>Концерт</t>
        </is>
      </c>
      <c r="E1872" s="2" t="n">
        <v>1962</v>
      </c>
      <c r="F1872" s="2" t="inlineStr">
        <is>
          <t>не игровое</t>
        </is>
      </c>
      <c r="G1872" s="2" t="n"/>
      <c r="H1872" s="2" t="n">
        <v>53</v>
      </c>
      <c r="I1872" s="2" t="inlineStr"/>
      <c r="J1872" s="2" t="inlineStr"/>
      <c r="K1872" s="3" t="inlineStr">
        <is>
          <t>Киноконцерт Свердловского театра музыкальной комедии.</t>
        </is>
      </c>
      <c r="L1872" s="2" t="inlineStr">
        <is>
          <t>Кино_СССР телефильмы и пропуски включить в базу.xlsx</t>
        </is>
      </c>
      <c r="M1872" s="2">
        <f>HYPERLINK("https://ru.wikipedia.org/w/index.php?search=%D0%9A%D0%BE%D0%BD%D1%86%D0%B5%D1%80%D1%82%201962%20%D1%84%D0%B8%D0%BB%D1%8C%D0%BC","искать")</f>
        <v/>
      </c>
      <c r="N1872" s="3" t="n"/>
      <c r="O1872" s="2" t="n"/>
    </row>
    <row r="1873">
      <c r="A1873" s="2" t="n">
        <v>1872</v>
      </c>
      <c r="B1873" s="2" t="inlineStr">
        <is>
          <t>короткая</t>
        </is>
      </c>
      <c r="C1873" s="2" t="n">
        <v>10099</v>
      </c>
      <c r="D1873" s="3" t="inlineStr">
        <is>
          <t>Рабочий день В.И. Ленина</t>
        </is>
      </c>
      <c r="E1873" s="2" t="n">
        <v>1962</v>
      </c>
      <c r="F1873" s="2" t="inlineStr">
        <is>
          <t>фильм-спектакль</t>
        </is>
      </c>
      <c r="G1873" s="2" t="inlineStr">
        <is>
          <t>Главная редакция общественно-политических программ ЦТ</t>
        </is>
      </c>
      <c r="H1873" s="2" t="n">
        <v>54</v>
      </c>
      <c r="I1873" s="2" t="inlineStr"/>
      <c r="J1873" s="2" t="inlineStr"/>
      <c r="K1873" s="3" t="inlineStr">
        <is>
          <t>Об одном рабочем дне В.И.Ленина - 4 февраля 1921 года.</t>
        </is>
      </c>
      <c r="L1873" s="2" t="inlineStr">
        <is>
          <t>https://www.kino-teatr.ru/teatr/movie/83869/annot/</t>
        </is>
      </c>
      <c r="M1873" s="2">
        <f>HYPERLINK("https://ru.wikipedia.org/w/index.php?search=%D0%A0%D0%B0%D0%B1%D0%BE%D1%87%D0%B8%D0%B9%20%D0%B4%D0%B5%D0%BD%D1%8C%20%D0%92.%D0%98.%20%D0%9B%D0%B5%D0%BD%D0%B8%D0%BD%D0%B0%201962%20%D1%84%D0%B8%D0%BB%D1%8C%D0%BC","искать")</f>
        <v/>
      </c>
      <c r="N1873" s="3" t="n"/>
      <c r="O1873" s="2" t="n"/>
    </row>
    <row r="1874">
      <c r="A1874" s="2" t="n">
        <v>1873</v>
      </c>
      <c r="B1874" s="2" t="inlineStr">
        <is>
          <t>короткая</t>
        </is>
      </c>
      <c r="C1874" s="2" t="n">
        <v>8946</v>
      </c>
      <c r="D1874" s="3" t="inlineStr">
        <is>
          <t>Пожар</t>
        </is>
      </c>
      <c r="E1874" s="2" t="n">
        <v>1959</v>
      </c>
      <c r="F1874" s="2" t="inlineStr">
        <is>
          <t>кинофильм</t>
        </is>
      </c>
      <c r="G1874" s="2" t="n"/>
      <c r="H1874" s="2" t="n">
        <v>55</v>
      </c>
      <c r="I1874" s="2" t="inlineStr"/>
      <c r="J1874" s="2" t="inlineStr"/>
      <c r="K1874" s="3" t="inlineStr">
        <is>
          <t>Оставленные без присмотра дети устраивают пожар в доме.</t>
        </is>
      </c>
      <c r="L1874" s="2" t="inlineStr">
        <is>
          <t>Кино_СССР сводный каталог.xlsx: список фильмов (доп.)</t>
        </is>
      </c>
      <c r="M1874" s="2">
        <f>HYPERLINK("https://ru.wikipedia.org/w/index.php?search=%D0%9F%D0%BE%D0%B6%D0%B0%D1%80%201959%20%D1%84%D0%B8%D0%BB%D1%8C%D0%BC","искать")</f>
        <v/>
      </c>
      <c r="N1874" s="3" t="n"/>
      <c r="O1874" s="2" t="n"/>
    </row>
    <row r="1875">
      <c r="A1875" s="2" t="n">
        <v>1874</v>
      </c>
      <c r="B1875" s="2" t="inlineStr">
        <is>
          <t>короткая</t>
        </is>
      </c>
      <c r="C1875" s="2" t="n">
        <v>11359</v>
      </c>
      <c r="D1875" s="3" t="inlineStr">
        <is>
          <t>Весенняя фантазия</t>
        </is>
      </c>
      <c r="E1875" s="2" t="n">
        <v>1964</v>
      </c>
      <c r="F1875" s="2" t="inlineStr">
        <is>
          <t>не игровое</t>
        </is>
      </c>
      <c r="G1875" s="2" t="n"/>
      <c r="H1875" s="2" t="n">
        <v>55</v>
      </c>
      <c r="I1875" s="2" t="inlineStr"/>
      <c r="J1875" s="2" t="inlineStr"/>
      <c r="K1875" s="3" t="inlineStr">
        <is>
          <t>Концерт-ревю с участием талантливой эстрадной молодежи.</t>
        </is>
      </c>
      <c r="L1875" s="2" t="inlineStr">
        <is>
          <t>Кино_СССР телефильмы и пропуски включить в базу.xlsx</t>
        </is>
      </c>
      <c r="M1875" s="2">
        <f>HYPERLINK("https://ru.wikipedia.org/w/index.php?search=%D0%92%D0%B5%D1%81%D0%B5%D0%BD%D0%BD%D1%8F%D1%8F%20%D1%84%D0%B0%D0%BD%D1%82%D0%B0%D0%B7%D0%B8%D1%8F%201964%20%D1%84%D0%B8%D0%BB%D1%8C%D0%BC","искать")</f>
        <v/>
      </c>
      <c r="N1875" s="3" t="n"/>
      <c r="O1875" s="2" t="n"/>
    </row>
    <row r="1876">
      <c r="A1876" s="2" t="n">
        <v>1875</v>
      </c>
      <c r="B1876" s="2" t="inlineStr">
        <is>
          <t>короткая</t>
        </is>
      </c>
      <c r="C1876" s="2" t="n">
        <v>7768</v>
      </c>
      <c r="D1876" s="3" t="inlineStr">
        <is>
          <t>Красные башмачки</t>
        </is>
      </c>
      <c r="E1876" s="2" t="n">
        <v>1986</v>
      </c>
      <c r="F1876" s="2" t="inlineStr">
        <is>
          <t>телефильм</t>
        </is>
      </c>
      <c r="G1876" s="2" t="n"/>
      <c r="H1876" s="2" t="n">
        <v>58</v>
      </c>
      <c r="I1876" s="2" t="inlineStr"/>
      <c r="J1876" s="2" t="inlineStr"/>
      <c r="K1876" s="3" t="inlineStr">
        <is>
          <t>О приключениях маленькой девочки Марийки в волшебном лесу.</t>
        </is>
      </c>
      <c r="L1876" s="2" t="inlineStr">
        <is>
          <t>Кино_СССР сводный каталог.xlsx: список телефильмов</t>
        </is>
      </c>
      <c r="M1876" s="2">
        <f>HYPERLINK("https://ru.wikipedia.org/w/index.php?search=%D0%9A%D1%80%D0%B0%D1%81%D0%BD%D1%8B%D0%B5%20%D0%B1%D0%B0%D1%88%D0%BC%D0%B0%D1%87%D0%BA%D0%B8%201986%20%D1%84%D0%B8%D0%BB%D1%8C%D0%BC","искать")</f>
        <v/>
      </c>
      <c r="N1876" s="3" t="n"/>
      <c r="O1876" s="2" t="n"/>
    </row>
    <row r="1877">
      <c r="A1877" s="2" t="n">
        <v>1876</v>
      </c>
      <c r="B1877" s="2" t="inlineStr">
        <is>
          <t>короткая</t>
        </is>
      </c>
      <c r="C1877" s="2" t="n">
        <v>8203</v>
      </c>
      <c r="D1877" s="3" t="inlineStr">
        <is>
          <t>Приключения Вембу и Тембу</t>
        </is>
      </c>
      <c r="E1877" s="2" t="n">
        <v>1983</v>
      </c>
      <c r="F1877" s="2" t="inlineStr">
        <is>
          <t>телефильм</t>
        </is>
      </c>
      <c r="G1877" s="2" t="n"/>
      <c r="H1877" s="2" t="n">
        <v>59</v>
      </c>
      <c r="I1877" s="2" t="inlineStr"/>
      <c r="J1877" s="2" t="inlineStr"/>
      <c r="K1877" s="3" t="inlineStr">
        <is>
          <t>Фильм о забавных приключениях двух обезьянок Вембу и Тембу.</t>
        </is>
      </c>
      <c r="L1877" s="2" t="inlineStr">
        <is>
          <t>Кино_СССР сводный каталог.xlsx: список телефильмов</t>
        </is>
      </c>
      <c r="M1877" s="2">
        <f>HYPERLINK("https://ru.wikipedia.org/w/index.php?search=%D0%9F%D1%80%D0%B8%D0%BA%D0%BB%D1%8E%D1%87%D0%B5%D0%BD%D0%B8%D1%8F%20%D0%92%D0%B5%D0%BC%D0%B1%D1%83%20%D0%B8%20%D0%A2%D0%B5%D0%BC%D0%B1%D1%83%201983%20%D1%84%D0%B8%D0%BB%D1%8C%D0%BC","искать")</f>
        <v/>
      </c>
      <c r="N1877" s="3" t="n"/>
      <c r="O1877" s="2" t="n"/>
    </row>
    <row r="1878">
      <c r="A1878" s="2" t="n">
        <v>1877</v>
      </c>
      <c r="B1878" s="2" t="inlineStr">
        <is>
          <t>короткая</t>
        </is>
      </c>
      <c r="C1878" s="2" t="n">
        <v>10169</v>
      </c>
      <c r="D1878" s="3" t="inlineStr">
        <is>
          <t>Много лет спустя</t>
        </is>
      </c>
      <c r="E1878" s="2" t="n">
        <v>1966</v>
      </c>
      <c r="F1878" s="2" t="inlineStr">
        <is>
          <t>фильм-спектакль</t>
        </is>
      </c>
      <c r="G1878" s="2" t="inlineStr">
        <is>
          <t>Ленинградское ТВ</t>
        </is>
      </c>
      <c r="H1878" s="2" t="n">
        <v>59</v>
      </c>
      <c r="I1878" s="2" t="inlineStr"/>
      <c r="J1878" s="2" t="inlineStr"/>
      <c r="K1878" s="3" t="inlineStr">
        <is>
          <t>По рассказу Анатолия Кузнецова.
О случайной встрече друзей.</t>
        </is>
      </c>
      <c r="L1878" s="2" t="inlineStr">
        <is>
          <t>https://www.kino-teatr.ru/teatr/movie/92791/annot/</t>
        </is>
      </c>
      <c r="M1878" s="2">
        <f>HYPERLINK("https://ru.wikipedia.org/w/index.php?search=%D0%9C%D0%BD%D0%BE%D0%B3%D0%BE%20%D0%BB%D0%B5%D1%82%20%D1%81%D0%BF%D1%83%D1%81%D1%82%D1%8F%201966%20%D1%84%D0%B8%D0%BB%D1%8C%D0%BC","искать")</f>
        <v/>
      </c>
      <c r="N1878" s="3" t="n"/>
      <c r="O1878" s="2" t="n"/>
    </row>
    <row r="1879">
      <c r="A1879" s="2" t="n">
        <v>1878</v>
      </c>
      <c r="B1879" s="2" t="inlineStr">
        <is>
          <t>короткая</t>
        </is>
      </c>
      <c r="C1879" s="2" t="n">
        <v>7798</v>
      </c>
      <c r="D1879" s="3" t="inlineStr">
        <is>
          <t>Летние гастроли</t>
        </is>
      </c>
      <c r="E1879" s="2" t="n">
        <v>1979</v>
      </c>
      <c r="F1879" s="2" t="inlineStr">
        <is>
          <t>телефильм</t>
        </is>
      </c>
      <c r="G1879" s="2" t="n"/>
      <c r="H1879" s="2" t="n">
        <v>61</v>
      </c>
      <c r="I1879" s="2" t="inlineStr"/>
      <c r="J1879" s="2" t="inlineStr"/>
      <c r="K1879" s="3" t="inlineStr">
        <is>
          <t>История любви солистки балета на льду и известного хоккеиста.</t>
        </is>
      </c>
      <c r="L1879" s="2" t="inlineStr">
        <is>
          <t>Кино_СССР сводный каталог.xlsx: список телефильмов</t>
        </is>
      </c>
      <c r="M1879" s="2">
        <f>HYPERLINK("https://ru.wikipedia.org/w/index.php?search=%D0%9B%D0%B5%D1%82%D0%BD%D0%B8%D0%B5%20%D0%B3%D0%B0%D1%81%D1%82%D1%80%D0%BE%D0%BB%D0%B8%201979%20%D1%84%D0%B8%D0%BB%D1%8C%D0%BC","искать")</f>
        <v/>
      </c>
      <c r="N1879" s="3" t="n"/>
      <c r="O1879" s="2" t="n"/>
    </row>
    <row r="1880">
      <c r="A1880" s="2" t="n">
        <v>1879</v>
      </c>
      <c r="B1880" s="2" t="inlineStr">
        <is>
          <t>короткая</t>
        </is>
      </c>
      <c r="C1880" s="2" t="n">
        <v>9403</v>
      </c>
      <c r="D1880" s="3" t="inlineStr">
        <is>
          <t>Казаки идут</t>
        </is>
      </c>
      <c r="E1880" s="2" t="n">
        <v>1991</v>
      </c>
      <c r="F1880" s="2" t="inlineStr">
        <is>
          <t>кинофильм</t>
        </is>
      </c>
      <c r="G1880" s="2" t="n"/>
      <c r="H1880" s="2" t="n">
        <v>63</v>
      </c>
      <c r="I1880" s="2" t="inlineStr"/>
      <c r="J1880" s="2" t="inlineStr"/>
      <c r="K1880" s="3" t="inlineStr">
        <is>
          <t>XVI век. Запорожские казаки ведут борьбу с поляками и татарами.</t>
        </is>
      </c>
      <c r="L1880" s="2" t="inlineStr">
        <is>
          <t>Кино_СССР сводный каталог.xlsx: список фильмов (доп.)</t>
        </is>
      </c>
      <c r="M1880" s="2">
        <f>HYPERLINK("https://ru.wikipedia.org/w/index.php?search=%D0%9A%D0%B0%D0%B7%D0%B0%D0%BA%D0%B8%20%D0%B8%D0%B4%D1%83%D1%82%201991%20%D1%84%D0%B8%D0%BB%D1%8C%D0%BC","искать")</f>
        <v/>
      </c>
      <c r="N1880" s="3" t="n"/>
      <c r="O1880" s="2" t="n"/>
    </row>
    <row r="1881">
      <c r="A1881" s="2" t="n">
        <v>1880</v>
      </c>
      <c r="B1881" s="2" t="inlineStr">
        <is>
          <t>короткая</t>
        </is>
      </c>
      <c r="C1881" s="2" t="n">
        <v>9918</v>
      </c>
      <c r="D1881" s="3" t="inlineStr">
        <is>
          <t>Когда уходят снега</t>
        </is>
      </c>
      <c r="E1881" s="2" t="n">
        <v>1976</v>
      </c>
      <c r="F1881" s="2" t="inlineStr">
        <is>
          <t>телефильм</t>
        </is>
      </c>
      <c r="G1881" s="2" t="inlineStr">
        <is>
          <t>Казахтелефильм</t>
        </is>
      </c>
      <c r="H1881" s="2" t="n">
        <v>64</v>
      </c>
      <c r="I1881" s="2" t="inlineStr"/>
      <c r="J1881" s="2" t="inlineStr"/>
      <c r="K1881" s="3" t="inlineStr">
        <is>
          <t>Мальчик Санджар приехал к деду на каникулы и узнает родной край.</t>
        </is>
      </c>
      <c r="L1881" s="2" t="inlineStr">
        <is>
          <t>https://www.kino-teatr.ru/short/movie/sov/92638/annot/</t>
        </is>
      </c>
      <c r="M1881" s="2">
        <f>HYPERLINK("https://ru.wikipedia.org/w/index.php?search=%D0%9A%D0%BE%D0%B3%D0%B4%D0%B0%20%D1%83%D1%85%D0%BE%D0%B4%D1%8F%D1%82%20%D1%81%D0%BD%D0%B5%D0%B3%D0%B0%201976%20%D1%84%D0%B8%D0%BB%D1%8C%D0%BC","искать")</f>
        <v/>
      </c>
      <c r="N1881" s="3" t="n"/>
      <c r="O1881" s="2" t="n"/>
    </row>
    <row r="1882">
      <c r="A1882" s="2" t="n">
        <v>1881</v>
      </c>
      <c r="B1882" s="2" t="inlineStr">
        <is>
          <t>короткая</t>
        </is>
      </c>
      <c r="C1882" s="2" t="n">
        <v>11386</v>
      </c>
      <c r="D1882" s="3" t="inlineStr">
        <is>
          <t>Чёрный кот</t>
        </is>
      </c>
      <c r="E1882" s="2" t="n">
        <v>1989</v>
      </c>
      <c r="F1882" s="2" t="inlineStr">
        <is>
          <t>не игровое</t>
        </is>
      </c>
      <c r="G1882" s="2" t="n"/>
      <c r="H1882" s="2" t="n">
        <v>64</v>
      </c>
      <c r="I1882" s="2" t="inlineStr"/>
      <c r="J1882" s="2" t="inlineStr"/>
      <c r="K1882" s="3" t="inlineStr">
        <is>
          <t>Песни 1960-х годов исполняют ленинградские драматические актеры.</t>
        </is>
      </c>
      <c r="L1882" s="2" t="inlineStr">
        <is>
          <t>Кино_СССР телефильмы и пропуски включить в базу.xlsx</t>
        </is>
      </c>
      <c r="M1882" s="2">
        <f>HYPERLINK("https://ru.wikipedia.org/w/index.php?search=%D0%A7%D1%91%D1%80%D0%BD%D1%8B%D0%B9%20%D0%BA%D0%BE%D1%82%201989%20%D1%84%D0%B8%D0%BB%D1%8C%D0%BC","искать")</f>
        <v/>
      </c>
      <c r="N1882" s="3" t="n"/>
      <c r="O1882" s="2" t="n"/>
    </row>
    <row r="1883">
      <c r="A1883" s="2" t="n">
        <v>1882</v>
      </c>
      <c r="B1883" s="2" t="inlineStr">
        <is>
          <t>короткая</t>
        </is>
      </c>
      <c r="C1883" s="2" t="n">
        <v>8955</v>
      </c>
      <c r="D1883" s="3" t="inlineStr">
        <is>
          <t>Пополам</t>
        </is>
      </c>
      <c r="E1883" s="2" t="n">
        <v>1967</v>
      </c>
      <c r="F1883" s="2" t="inlineStr">
        <is>
          <t>кинофильм</t>
        </is>
      </c>
      <c r="G1883" s="2" t="n"/>
      <c r="H1883" s="2" t="n">
        <v>66</v>
      </c>
      <c r="I1883" s="2" t="inlineStr"/>
      <c r="J1883" s="2" t="inlineStr"/>
      <c r="K1883" s="3" t="inlineStr">
        <is>
          <t>Музыкальный фильм-ревю с участием советских и венгерских артистов.</t>
        </is>
      </c>
      <c r="L1883" s="2" t="inlineStr">
        <is>
          <t>Кино_СССР сводный каталог.xlsx: список фильмов (доп.)</t>
        </is>
      </c>
      <c r="M1883" s="2">
        <f>HYPERLINK("https://ru.wikipedia.org/w/index.php?search=%D0%9F%D0%BE%D0%BF%D0%BE%D0%BB%D0%B0%D0%BC%201967%20%D1%84%D0%B8%D0%BB%D1%8C%D0%BC","искать")</f>
        <v/>
      </c>
      <c r="N1883" s="3" t="n"/>
      <c r="O1883" s="2" t="n"/>
    </row>
    <row r="1884">
      <c r="A1884" s="2" t="n">
        <v>1883</v>
      </c>
      <c r="B1884" s="2" t="inlineStr">
        <is>
          <t>короткая</t>
        </is>
      </c>
      <c r="C1884" s="2" t="n">
        <v>10723</v>
      </c>
      <c r="D1884" s="3" t="inlineStr">
        <is>
          <t>Четыре беспокойных дня в Кудиновке</t>
        </is>
      </c>
      <c r="E1884" s="2" t="n">
        <v>1977</v>
      </c>
      <c r="F1884" s="2" t="inlineStr">
        <is>
          <t>фильм-спектакль</t>
        </is>
      </c>
      <c r="G1884" s="2" t="inlineStr">
        <is>
          <t>Центральное телевидение</t>
        </is>
      </c>
      <c r="H1884" s="2" t="n">
        <v>68</v>
      </c>
      <c r="I1884" s="2" t="inlineStr"/>
      <c r="J1884" s="2" t="inlineStr"/>
      <c r="K1884" s="3" t="inlineStr">
        <is>
          <t>По произведению В. Тучкова.
Приключения школьников на уборке урожая.</t>
        </is>
      </c>
      <c r="L1884" s="2" t="inlineStr">
        <is>
          <t>https://www.kino-teatr.ru/teatr/movie/9013/annot/</t>
        </is>
      </c>
      <c r="M1884" s="2">
        <f>HYPERLINK("https://ru.wikipedia.org/w/index.php?search=%D0%A7%D0%B5%D1%82%D1%8B%D1%80%D0%B5%20%D0%B1%D0%B5%D1%81%D0%BF%D0%BE%D0%BA%D0%BE%D0%B9%D0%BD%D1%8B%D1%85%20%D0%B4%D0%BD%D1%8F%20%D0%B2%20%D0%9A%D1%83%D0%B4%D0%B8%D0%BD%D0%BE%D0%B2%D0%BA%D0%B5%201977%20%D1%84%D0%B8%D0%BB%D1%8C%D0%BC","искать")</f>
        <v/>
      </c>
      <c r="N1884" s="3" t="n"/>
      <c r="O1884" s="2" t="n"/>
    </row>
    <row r="1885">
      <c r="A1885" s="2" t="n">
        <v>1884</v>
      </c>
      <c r="B1885" s="2" t="inlineStr">
        <is>
          <t>короткая</t>
        </is>
      </c>
      <c r="C1885" s="2" t="n">
        <v>9967</v>
      </c>
      <c r="D1885" s="3" t="inlineStr">
        <is>
          <t>Звездочка и куланенок</t>
        </is>
      </c>
      <c r="E1885" s="2" t="n">
        <v>1981</v>
      </c>
      <c r="F1885" s="2" t="inlineStr">
        <is>
          <t>кинофильм</t>
        </is>
      </c>
      <c r="G1885" s="2" t="inlineStr">
        <is>
          <t>Туркменфильм</t>
        </is>
      </c>
      <c r="H1885" s="2" t="n">
        <v>71</v>
      </c>
      <c r="I1885" s="2" t="inlineStr"/>
      <c r="J1885" s="2" t="inlineStr"/>
      <c r="K1885" s="3" t="inlineStr">
        <is>
          <t>Как октябрята спасли раненого куланенка и помогли задержать браконьера.</t>
        </is>
      </c>
      <c r="L1885" s="2" t="inlineStr">
        <is>
          <t>https://www.kino-teatr.ru/short/movie/sov/92636/annot/</t>
        </is>
      </c>
      <c r="M1885" s="2">
        <f>HYPERLINK("https://ru.wikipedia.org/w/index.php?search=%D0%97%D0%B2%D0%B5%D0%B7%D0%B4%D0%BE%D1%87%D0%BA%D0%B0%20%D0%B8%20%D0%BA%D1%83%D0%BB%D0%B0%D0%BD%D0%B5%D0%BD%D0%BE%D0%BA%201981%20%D1%84%D0%B8%D0%BB%D1%8C%D0%BC","искать")</f>
        <v/>
      </c>
      <c r="N1885" s="3" t="n"/>
      <c r="O1885" s="2" t="n"/>
    </row>
    <row r="1886">
      <c r="A1886" s="2" t="n">
        <v>1885</v>
      </c>
      <c r="B1886" s="2" t="inlineStr">
        <is>
          <t>короткая</t>
        </is>
      </c>
      <c r="C1886" s="2" t="n">
        <v>10035</v>
      </c>
      <c r="D1886" s="3" t="inlineStr">
        <is>
          <t>Атака</t>
        </is>
      </c>
      <c r="E1886" s="2" t="n">
        <v>1989</v>
      </c>
      <c r="F1886" s="2" t="inlineStr">
        <is>
          <t>кинофильм</t>
        </is>
      </c>
      <c r="G1886" s="2" t="inlineStr">
        <is>
          <t>Азербайджанфильм ("Дебют")</t>
        </is>
      </c>
      <c r="H1886" s="2" t="n">
        <v>71</v>
      </c>
      <c r="I1886" s="2" t="inlineStr"/>
      <c r="J1886" s="2" t="inlineStr"/>
      <c r="K1886" s="3" t="inlineStr">
        <is>
          <t>Повествует о возникновении бессмысленного конфликта между двумя сёлами.</t>
        </is>
      </c>
      <c r="L1886" s="2" t="inlineStr">
        <is>
          <t>https://www.kino-teatr.ru/short/movie/sov/85373/annot/</t>
        </is>
      </c>
      <c r="M1886" s="2">
        <f>HYPERLINK("https://ru.wikipedia.org/w/index.php?search=%D0%90%D1%82%D0%B0%D0%BA%D0%B0%201989%20%D1%84%D0%B8%D0%BB%D1%8C%D0%BC","искать")</f>
        <v/>
      </c>
      <c r="N1886" s="3" t="n"/>
      <c r="O1886" s="2" t="n"/>
    </row>
    <row r="1887">
      <c r="A1887" s="2" t="n">
        <v>1886</v>
      </c>
      <c r="B1887" s="2" t="inlineStr">
        <is>
          <t>короткая</t>
        </is>
      </c>
      <c r="C1887" s="2" t="n">
        <v>9955</v>
      </c>
      <c r="D1887" s="3" t="inlineStr">
        <is>
          <t>Немой свидетель</t>
        </is>
      </c>
      <c r="E1887" s="2" t="n">
        <v>1980</v>
      </c>
      <c r="F1887" s="2" t="inlineStr">
        <is>
          <t>кинофильм</t>
        </is>
      </c>
      <c r="G1887" s="2" t="inlineStr">
        <is>
          <t>Арменфильм</t>
        </is>
      </c>
      <c r="H1887" s="2" t="n">
        <v>72</v>
      </c>
      <c r="I1887" s="2" t="inlineStr"/>
      <c r="J1887" s="2" t="inlineStr"/>
      <c r="K1887" s="3" t="inlineStr">
        <is>
          <t>О преступлении, раскрытом благодаря уму и смекалке молодого следователя.</t>
        </is>
      </c>
      <c r="L1887" s="2" t="inlineStr">
        <is>
          <t>https://www.kino-teatr.ru/short/movie/sov/10927/annot/</t>
        </is>
      </c>
      <c r="M1887" s="2">
        <f>HYPERLINK("https://ru.wikipedia.org/w/index.php?search=%D0%9D%D0%B5%D0%BC%D0%BE%D0%B9%20%D1%81%D0%B2%D0%B8%D0%B4%D0%B5%D1%82%D0%B5%D0%BB%D1%8C%201980%20%D1%84%D0%B8%D0%BB%D1%8C%D0%BC","искать")</f>
        <v/>
      </c>
      <c r="N1887" s="3" t="n"/>
      <c r="O1887" s="2" t="n"/>
    </row>
    <row r="1888">
      <c r="A1888" s="2" t="n">
        <v>1887</v>
      </c>
      <c r="B1888" s="2" t="inlineStr">
        <is>
          <t>короткая</t>
        </is>
      </c>
      <c r="C1888" s="2" t="n">
        <v>7688</v>
      </c>
      <c r="D1888" s="3" t="inlineStr">
        <is>
          <t>Искренность</t>
        </is>
      </c>
      <c r="E1888" s="2" t="n">
        <v>1983</v>
      </c>
      <c r="F1888" s="2" t="inlineStr">
        <is>
          <t>телефильм</t>
        </is>
      </c>
      <c r="G1888" s="2" t="n"/>
      <c r="H1888" s="2" t="n">
        <v>73</v>
      </c>
      <c r="I1888" s="2" t="inlineStr"/>
      <c r="J1888" s="2" t="inlineStr"/>
      <c r="K1888" s="3" t="inlineStr">
        <is>
          <t>Фильм рассказывает о двух молодых людях, выбравших разные жизненные пути.</t>
        </is>
      </c>
      <c r="L1888" s="2" t="inlineStr">
        <is>
          <t>Кино_СССР сводный каталог.xlsx: список телефильмов</t>
        </is>
      </c>
      <c r="M1888" s="2">
        <f>HYPERLINK("https://ru.wikipedia.org/w/index.php?search=%D0%98%D1%81%D0%BA%D1%80%D0%B5%D0%BD%D0%BD%D0%BE%D1%81%D1%82%D1%8C%201983%20%D1%84%D0%B8%D0%BB%D1%8C%D0%BC","искать")</f>
        <v/>
      </c>
      <c r="N1888" s="3" t="n"/>
      <c r="O1888" s="2" t="n"/>
    </row>
    <row r="1889">
      <c r="A1889" s="2" t="n">
        <v>1888</v>
      </c>
      <c r="B1889" s="2" t="inlineStr">
        <is>
          <t>короткая</t>
        </is>
      </c>
      <c r="C1889" s="2" t="n">
        <v>11392</v>
      </c>
      <c r="D1889" s="3" t="inlineStr">
        <is>
          <t>Танцует Диляфруз Джаббарова</t>
        </is>
      </c>
      <c r="E1889" s="2" t="n">
        <v>1972</v>
      </c>
      <c r="F1889" s="2" t="inlineStr">
        <is>
          <t>не игровое</t>
        </is>
      </c>
      <c r="G1889" s="2" t="n"/>
      <c r="H1889" s="2" t="n">
        <v>73</v>
      </c>
      <c r="I1889" s="2" t="inlineStr"/>
      <c r="J1889" s="2" t="inlineStr"/>
      <c r="K1889" s="3" t="inlineStr">
        <is>
          <t>Фильм-концерт: танцы известной узбекской танцовщицы Дилафруз Джаббаровой.</t>
        </is>
      </c>
      <c r="L1889" s="2" t="inlineStr">
        <is>
          <t>Кино_СССР телефильмы и пропуски включить в базу.xlsx</t>
        </is>
      </c>
      <c r="M1889" s="2">
        <f>HYPERLINK("https://ru.wikipedia.org/w/index.php?search=%D0%A2%D0%B0%D0%BD%D1%86%D1%83%D0%B5%D1%82%20%D0%94%D0%B8%D0%BB%D1%8F%D1%84%D1%80%D1%83%D0%B7%20%D0%94%D0%B6%D0%B0%D0%B1%D0%B1%D0%B0%D1%80%D0%BE%D0%B2%D0%B0%201972%20%D1%84%D0%B8%D0%BB%D1%8C%D0%BC","искать")</f>
        <v/>
      </c>
      <c r="N1889" s="3" t="n"/>
      <c r="O1889" s="2" t="n"/>
    </row>
    <row r="1890">
      <c r="A1890" s="2" t="n">
        <v>1889</v>
      </c>
      <c r="B1890" s="2" t="inlineStr">
        <is>
          <t>короткая</t>
        </is>
      </c>
      <c r="C1890" s="2" t="n">
        <v>8773</v>
      </c>
      <c r="D1890" s="3" t="inlineStr">
        <is>
          <t>Концерт артистов оперетты</t>
        </is>
      </c>
      <c r="E1890" s="2" t="n">
        <v>1969</v>
      </c>
      <c r="F1890" s="2" t="inlineStr">
        <is>
          <t>кинофильм</t>
        </is>
      </c>
      <c r="G1890" s="2" t="n"/>
      <c r="H1890" s="2" t="n">
        <v>75</v>
      </c>
      <c r="I1890" s="2" t="inlineStr"/>
      <c r="J1890" s="2" t="inlineStr"/>
      <c r="K1890" s="3" t="inlineStr">
        <is>
          <t>Музыкальный фильм с участием артистов Одесского театра музыкальной комедии.</t>
        </is>
      </c>
      <c r="L1890" s="2" t="inlineStr">
        <is>
          <t>Кино_СССР сводный каталог.xlsx: список фильмов (доп.)</t>
        </is>
      </c>
      <c r="M1890" s="2">
        <f>HYPERLINK("https://ru.wikipedia.org/w/index.php?search=%D0%9A%D0%BE%D0%BD%D1%86%D0%B5%D1%80%D1%82%20%D0%B0%D1%80%D1%82%D0%B8%D1%81%D1%82%D0%BE%D0%B2%20%D0%BE%D0%BF%D0%B5%D1%80%D0%B5%D1%82%D1%82%D1%8B%201969%20%D1%84%D0%B8%D0%BB%D1%8C%D0%BC","искать")</f>
        <v/>
      </c>
      <c r="N1890" s="3" t="n"/>
      <c r="O1890" s="2" t="n"/>
    </row>
    <row r="1891">
      <c r="A1891" s="2" t="n">
        <v>1890</v>
      </c>
      <c r="B1891" s="2" t="inlineStr">
        <is>
          <t>короткая</t>
        </is>
      </c>
      <c r="C1891" s="2" t="n">
        <v>11366</v>
      </c>
      <c r="D1891" s="3" t="inlineStr">
        <is>
          <t>Голубой огонёк-1963</t>
        </is>
      </c>
      <c r="E1891" s="2" t="n">
        <v>1963</v>
      </c>
      <c r="F1891" s="2" t="inlineStr">
        <is>
          <t>не игровое</t>
        </is>
      </c>
      <c r="G1891" s="2" t="n"/>
      <c r="H1891" s="2" t="n">
        <v>75</v>
      </c>
      <c r="I1891" s="2" t="inlineStr"/>
      <c r="J1891" s="2" t="inlineStr"/>
      <c r="K1891" s="3" t="inlineStr">
        <is>
          <t>Телевизионный музыкальный фильм-концерт, посвящён встрече Нового 1964 года.</t>
        </is>
      </c>
      <c r="L1891" s="2" t="inlineStr">
        <is>
          <t>Кино_СССР телефильмы и пропуски включить в базу.xlsx</t>
        </is>
      </c>
      <c r="M1891" s="2">
        <f>HYPERLINK("https://ru.wikipedia.org/w/index.php?search=%D0%93%D0%BE%D0%BB%D1%83%D0%B1%D0%BE%D0%B9%20%D0%BE%D0%B3%D0%BE%D0%BD%D1%91%D0%BA-1963%201963%20%D1%84%D0%B8%D0%BB%D1%8C%D0%BC","искать")</f>
        <v/>
      </c>
      <c r="N1891" s="3" t="n"/>
      <c r="O1891" s="2" t="n"/>
    </row>
    <row r="1892">
      <c r="A1892" s="2" t="n">
        <v>1891</v>
      </c>
      <c r="B1892" s="2" t="inlineStr">
        <is>
          <t>короткая</t>
        </is>
      </c>
      <c r="C1892" s="2" t="n">
        <v>9855</v>
      </c>
      <c r="D1892" s="3" t="inlineStr">
        <is>
          <t>Там, за окошком, лето</t>
        </is>
      </c>
      <c r="E1892" s="2" t="n">
        <v>1968</v>
      </c>
      <c r="F1892" s="2" t="inlineStr">
        <is>
          <t>телефильм</t>
        </is>
      </c>
      <c r="G1892" s="2" t="inlineStr">
        <is>
          <t>ЭКРАН (ОСТАНКИНО)</t>
        </is>
      </c>
      <c r="H1892" s="2" t="n">
        <v>76</v>
      </c>
      <c r="I1892" s="2" t="inlineStr"/>
      <c r="J1892" s="2" t="inlineStr"/>
      <c r="K1892" s="3" t="inlineStr">
        <is>
          <t>О необыкновенных и веселых похождениях Буратино и зайчика Тепы по оранжерее.</t>
        </is>
      </c>
      <c r="L1892" s="2" t="inlineStr">
        <is>
          <t>https://www.kino-teatr.ru/short/movie/sov/9534/annot/</t>
        </is>
      </c>
      <c r="M1892" s="2">
        <f>HYPERLINK("https://ru.wikipedia.org/w/index.php?search=%D0%A2%D0%B0%D0%BC%2C%20%D0%B7%D0%B0%20%D0%BE%D0%BA%D0%BE%D1%88%D0%BA%D0%BE%D0%BC%2C%20%D0%BB%D0%B5%D1%82%D0%BE%201968%20%D1%84%D0%B8%D0%BB%D1%8C%D0%BC","искать")</f>
        <v/>
      </c>
      <c r="N1892" s="3" t="n"/>
      <c r="O1892" s="2" t="n"/>
    </row>
    <row r="1893">
      <c r="A1893" s="2" t="n">
        <v>1892</v>
      </c>
      <c r="B1893" s="2" t="inlineStr">
        <is>
          <t>короткая</t>
        </is>
      </c>
      <c r="C1893" s="2" t="n">
        <v>9880</v>
      </c>
      <c r="D1893" s="3" t="inlineStr">
        <is>
          <t>Проходная пешка</t>
        </is>
      </c>
      <c r="E1893" s="2" t="n">
        <v>1970</v>
      </c>
      <c r="F1893" s="2" t="inlineStr">
        <is>
          <t>телефильм</t>
        </is>
      </c>
      <c r="G1893" s="2" t="inlineStr">
        <is>
          <t>Грузиятелефильм</t>
        </is>
      </c>
      <c r="H1893" s="2" t="n">
        <v>77</v>
      </c>
      <c r="I1893" s="2" t="inlineStr"/>
      <c r="J1893" s="2" t="inlineStr"/>
      <c r="K1893" s="3" t="inlineStr">
        <is>
          <t>Рассказ о соседях, собирающихся регулярно во дворе, чтобы поиграть в шахматы.</t>
        </is>
      </c>
      <c r="L1893" s="2" t="inlineStr">
        <is>
          <t>https://www.kino-teatr.ru/short/movie/sov/86076/annot/</t>
        </is>
      </c>
      <c r="M1893" s="2">
        <f>HYPERLINK("https://ru.wikipedia.org/w/index.php?search=%D0%9F%D1%80%D0%BE%D1%85%D0%BE%D0%B4%D0%BD%D0%B0%D1%8F%20%D0%BF%D0%B5%D1%88%D0%BA%D0%B0%201970%20%D1%84%D0%B8%D0%BB%D1%8C%D0%BC","искать")</f>
        <v/>
      </c>
      <c r="N1893" s="3" t="n"/>
      <c r="O1893" s="2" t="n"/>
    </row>
    <row r="1894">
      <c r="A1894" s="2" t="n">
        <v>1893</v>
      </c>
      <c r="B1894" s="2" t="inlineStr">
        <is>
          <t>короткая</t>
        </is>
      </c>
      <c r="C1894" s="2" t="n">
        <v>11360</v>
      </c>
      <c r="D1894" s="3" t="inlineStr">
        <is>
          <t>Вечное представление</t>
        </is>
      </c>
      <c r="E1894" s="2" t="n">
        <v>1981</v>
      </c>
      <c r="F1894" s="2" t="inlineStr">
        <is>
          <t>не игровое</t>
        </is>
      </c>
      <c r="G1894" s="2" t="n"/>
      <c r="H1894" s="2" t="n">
        <v>77</v>
      </c>
      <c r="I1894" s="2" t="inlineStr"/>
      <c r="J1894" s="2" t="inlineStr"/>
      <c r="K1894" s="3" t="inlineStr">
        <is>
          <t>Концерт-бенефис, посвященный юбилею народной артистке Эстонской ССР Ите Эвер.</t>
        </is>
      </c>
      <c r="L1894" s="2" t="inlineStr">
        <is>
          <t>Кино_СССР телефильмы и пропуски включить в базу.xlsx</t>
        </is>
      </c>
      <c r="M1894" s="2">
        <f>HYPERLINK("https://ru.wikipedia.org/w/index.php?search=%D0%92%D0%B5%D1%87%D0%BD%D0%BE%D0%B5%20%D0%BF%D1%80%D0%B5%D0%B4%D1%81%D1%82%D0%B0%D0%B2%D0%BB%D0%B5%D0%BD%D0%B8%D0%B5%201981%20%D1%84%D0%B8%D0%BB%D1%8C%D0%BC","искать")</f>
        <v/>
      </c>
      <c r="N1894" s="3" t="n"/>
      <c r="O1894" s="2" t="n"/>
    </row>
    <row r="1895">
      <c r="A1895" s="2" t="n">
        <v>1894</v>
      </c>
      <c r="B1895" s="2" t="inlineStr">
        <is>
          <t>короткая</t>
        </is>
      </c>
      <c r="C1895" s="2" t="n">
        <v>9988</v>
      </c>
      <c r="D1895" s="3" t="inlineStr">
        <is>
          <t>Суббота и воскресенье</t>
        </is>
      </c>
      <c r="E1895" s="2" t="n">
        <v>1982</v>
      </c>
      <c r="F1895" s="2" t="inlineStr">
        <is>
          <t>телефильм</t>
        </is>
      </c>
      <c r="G1895" s="2" t="inlineStr">
        <is>
          <t>ТО "Экран", Подборки фильмов, фильмы про собак</t>
        </is>
      </c>
      <c r="H1895" s="2" t="n">
        <v>78</v>
      </c>
      <c r="I1895" s="2" t="inlineStr"/>
      <c r="J1895" s="2" t="inlineStr"/>
      <c r="K1895" s="3" t="inlineStr">
        <is>
          <t>Лирический рассказ о маленьком мальичике и его верном друге - дворовой собаке.</t>
        </is>
      </c>
      <c r="L1895" s="2" t="inlineStr">
        <is>
          <t>https://www.kino-teatr.ru/short/movie/sov/6863/annot/</t>
        </is>
      </c>
      <c r="M1895" s="2">
        <f>HYPERLINK("https://ru.wikipedia.org/w/index.php?search=%D0%A1%D1%83%D0%B1%D0%B1%D0%BE%D1%82%D0%B0%20%D0%B8%20%D0%B2%D0%BE%D1%81%D0%BA%D1%80%D0%B5%D1%81%D0%B5%D0%BD%D1%8C%D0%B5%201982%20%D1%84%D0%B8%D0%BB%D1%8C%D0%BC","искать")</f>
        <v/>
      </c>
      <c r="N1895" s="3" t="n"/>
      <c r="O1895" s="2" t="n"/>
    </row>
    <row r="1896">
      <c r="A1896" s="2" t="n">
        <v>1895</v>
      </c>
      <c r="B1896" s="2" t="inlineStr">
        <is>
          <t>короткая</t>
        </is>
      </c>
      <c r="C1896" s="2" t="n">
        <v>7577</v>
      </c>
      <c r="D1896" s="3" t="inlineStr">
        <is>
          <t>Если я полюблю...</t>
        </is>
      </c>
      <c r="E1896" s="2" t="n">
        <v>1976</v>
      </c>
      <c r="F1896" s="2" t="inlineStr">
        <is>
          <t>телефильм</t>
        </is>
      </c>
      <c r="G1896" s="2" t="n"/>
      <c r="H1896" s="2" t="n">
        <v>79</v>
      </c>
      <c r="I1896" s="2" t="inlineStr"/>
      <c r="J1896" s="2" t="inlineStr"/>
      <c r="K1896" s="3" t="inlineStr">
        <is>
          <t>О первой экспедиции выпускницы геологического института Шуры и ее первой любви.</t>
        </is>
      </c>
      <c r="L1896" s="2" t="inlineStr">
        <is>
          <t>Кино_СССР сводный каталог.xlsx: список телефильмов</t>
        </is>
      </c>
      <c r="M1896" s="2">
        <f>HYPERLINK("https://ru.wikipedia.org/w/index.php?search=%D0%95%D1%81%D0%BB%D0%B8%20%D1%8F%20%D0%BF%D0%BE%D0%BB%D1%8E%D0%B1%D0%BB%D1%8E...%201976%20%D1%84%D0%B8%D0%BB%D1%8C%D0%BC","искать")</f>
        <v/>
      </c>
      <c r="N1896" s="3" t="n"/>
      <c r="O1896" s="2" t="n"/>
    </row>
    <row r="1897">
      <c r="A1897" s="2" t="n">
        <v>1896</v>
      </c>
      <c r="B1897" s="2" t="inlineStr">
        <is>
          <t>короткая</t>
        </is>
      </c>
      <c r="C1897" s="2" t="n">
        <v>8866</v>
      </c>
      <c r="D1897" s="3" t="inlineStr">
        <is>
          <t>Не отстреленная музыка</t>
        </is>
      </c>
      <c r="E1897" s="2" t="n">
        <v>1990</v>
      </c>
      <c r="F1897" s="2" t="inlineStr">
        <is>
          <t>кинофильм</t>
        </is>
      </c>
      <c r="G1897" s="2" t="n"/>
      <c r="H1897" s="2" t="n">
        <v>80</v>
      </c>
      <c r="I1897" s="2" t="inlineStr"/>
      <c r="J1897" s="2" t="inlineStr"/>
      <c r="K1897" s="3" t="inlineStr">
        <is>
          <t>История любви бывшего «афганца» к красивой, нежной и беспредельно искренней Оле.</t>
        </is>
      </c>
      <c r="L1897" s="2" t="inlineStr">
        <is>
          <t>Кино_СССР сводный каталог.xlsx: список фильмов (доп.)</t>
        </is>
      </c>
      <c r="M1897" s="2">
        <f>HYPERLINK("https://ru.wikipedia.org/w/index.php?search=%D0%9D%D0%B5%20%D0%BE%D1%82%D1%81%D1%82%D1%80%D0%B5%D0%BB%D0%B5%D0%BD%D0%BD%D0%B0%D1%8F%20%D0%BC%D1%83%D0%B7%D1%8B%D0%BA%D0%B0%201990%20%D1%84%D0%B8%D0%BB%D1%8C%D0%BC","искать")</f>
        <v/>
      </c>
      <c r="N1897" s="3" t="n"/>
      <c r="O1897" s="2" t="n"/>
    </row>
    <row r="1898">
      <c r="A1898" s="2" t="n">
        <v>1897</v>
      </c>
      <c r="B1898" s="2" t="inlineStr">
        <is>
          <t>короткая</t>
        </is>
      </c>
      <c r="C1898" s="2" t="n">
        <v>9376</v>
      </c>
      <c r="D1898" s="3" t="inlineStr">
        <is>
          <t>Звёздная минута</t>
        </is>
      </c>
      <c r="E1898" s="2" t="n">
        <v>1972</v>
      </c>
      <c r="F1898" s="2" t="inlineStr">
        <is>
          <t>не игровое</t>
        </is>
      </c>
      <c r="G1898" s="2" t="n"/>
      <c r="H1898" s="2" t="n">
        <v>80</v>
      </c>
      <c r="I1898" s="2" t="inlineStr"/>
      <c r="J1898" s="2" t="inlineStr"/>
      <c r="K1898" s="3" t="inlineStr">
        <is>
          <t>Документальная картина о первом полёте человека в космос — полёте Юрия Гагарина.</t>
        </is>
      </c>
      <c r="L1898" s="2" t="inlineStr">
        <is>
          <t>Кино_СССР сводный каталог.xlsx: список фильмов (доп.)</t>
        </is>
      </c>
      <c r="M1898" s="2">
        <f>HYPERLINK("https://ru.wikipedia.org/w/index.php?search=%D0%97%D0%B2%D1%91%D0%B7%D0%B4%D0%BD%D0%B0%D1%8F%20%D0%BC%D0%B8%D0%BD%D1%83%D1%82%D0%B0%201972%20%D1%84%D0%B8%D0%BB%D1%8C%D0%BC","искать")</f>
        <v/>
      </c>
      <c r="N1898" s="3" t="n"/>
      <c r="O1898" s="2" t="n"/>
    </row>
    <row r="1899">
      <c r="A1899" s="2" t="n">
        <v>1898</v>
      </c>
      <c r="B1899" s="2" t="inlineStr">
        <is>
          <t>короткая</t>
        </is>
      </c>
      <c r="C1899" s="2" t="n">
        <v>7295</v>
      </c>
      <c r="D1899" s="3" t="inlineStr">
        <is>
          <t>В первый час</t>
        </is>
      </c>
      <c r="E1899" s="2" t="n">
        <v>1965</v>
      </c>
      <c r="F1899" s="2" t="inlineStr">
        <is>
          <t>телефильм</t>
        </is>
      </c>
      <c r="G1899" s="2" t="n"/>
      <c r="H1899" s="2" t="n">
        <v>81</v>
      </c>
      <c r="I1899" s="2" t="inlineStr"/>
      <c r="J1899" s="2" t="inlineStr"/>
      <c r="K1899" s="3" t="inlineStr">
        <is>
          <t>Новогоднее телевизионное музыкальное ревю с участием популярных артистов эстрады.</t>
        </is>
      </c>
      <c r="L1899" s="2" t="inlineStr">
        <is>
          <t>Кино_СССР сводный каталог.xlsx: список телефильмов</t>
        </is>
      </c>
      <c r="M1899" s="2">
        <f>HYPERLINK("https://ru.wikipedia.org/w/index.php?search=%D0%92%20%D0%BF%D0%B5%D1%80%D0%B2%D1%8B%D0%B9%20%D1%87%D0%B0%D1%81%201965%20%D1%84%D0%B8%D0%BB%D1%8C%D0%BC","искать")</f>
        <v/>
      </c>
      <c r="N1899" s="3" t="n"/>
      <c r="O1899" s="2" t="n"/>
    </row>
    <row r="1900">
      <c r="A1900" s="2" t="n">
        <v>1899</v>
      </c>
      <c r="B1900" s="2" t="inlineStr">
        <is>
          <t>короткая</t>
        </is>
      </c>
      <c r="C1900" s="2" t="n">
        <v>7299</v>
      </c>
      <c r="D1900" s="3" t="inlineStr">
        <is>
          <t>В семнадцать мальчишеских лет</t>
        </is>
      </c>
      <c r="E1900" s="2" t="n">
        <v>1985</v>
      </c>
      <c r="F1900" s="2" t="inlineStr">
        <is>
          <t>телефильм</t>
        </is>
      </c>
      <c r="G1900" s="2" t="n"/>
      <c r="H1900" s="2" t="n">
        <v>81</v>
      </c>
      <c r="I1900" s="2" t="inlineStr"/>
      <c r="J1900" s="2" t="inlineStr"/>
      <c r="K1900" s="3" t="inlineStr">
        <is>
          <t>Телефильм повествует о героизме героя Советского Союза чеченца Ханпаши Нурадилова</t>
        </is>
      </c>
      <c r="L1900" s="2" t="inlineStr">
        <is>
          <t>Кино_СССР сводный каталог.xlsx: список телефильмов</t>
        </is>
      </c>
      <c r="M1900" s="2">
        <f>HYPERLINK("https://ru.wikipedia.org/w/index.php?search=%D0%92%20%D1%81%D0%B5%D0%BC%D0%BD%D0%B0%D0%B4%D1%86%D0%B0%D1%82%D1%8C%20%D0%BC%D0%B0%D0%BB%D1%8C%D1%87%D0%B8%D1%88%D0%B5%D1%81%D0%BA%D0%B8%D1%85%20%D0%BB%D0%B5%D1%82%201985%20%D1%84%D0%B8%D0%BB%D1%8C%D0%BC","искать")</f>
        <v/>
      </c>
      <c r="N1900" s="3" t="n"/>
      <c r="O1900" s="2" t="n"/>
    </row>
    <row r="1901">
      <c r="A1901" s="2" t="n">
        <v>1900</v>
      </c>
      <c r="B1901" s="2" t="inlineStr">
        <is>
          <t>короткая</t>
        </is>
      </c>
      <c r="C1901" s="2" t="n">
        <v>11037</v>
      </c>
      <c r="D1901" s="3" t="inlineStr">
        <is>
          <t>Призываюсь весной</t>
        </is>
      </c>
      <c r="E1901" s="2" t="n">
        <v>1984</v>
      </c>
      <c r="F1901" s="2" t="inlineStr">
        <is>
          <t>фильм-спектакль</t>
        </is>
      </c>
      <c r="G1901" s="2" t="inlineStr">
        <is>
          <t>Главная редакция литературно-драматических программ ЦТ</t>
        </is>
      </c>
      <c r="H1901" s="2" t="n">
        <v>83</v>
      </c>
      <c r="I1901" s="2" t="inlineStr"/>
      <c r="J1901" s="2" t="inlineStr"/>
      <c r="K1901" s="3" t="inlineStr">
        <is>
          <t>Прапорщик военкомата Никита Одинцов занимается призывом молодежи на службу в армию.</t>
        </is>
      </c>
      <c r="L1901" s="2" t="inlineStr">
        <is>
          <t>https://www.kino-teatr.ru/teatr/movie/81371/annot/</t>
        </is>
      </c>
      <c r="M1901" s="2">
        <f>HYPERLINK("https://ru.wikipedia.org/w/index.php?search=%D0%9F%D1%80%D0%B8%D0%B7%D1%8B%D0%B2%D0%B0%D1%8E%D1%81%D1%8C%20%D0%B2%D0%B5%D1%81%D0%BD%D0%BE%D0%B9%201984%20%D1%84%D0%B8%D0%BB%D1%8C%D0%BC","искать")</f>
        <v/>
      </c>
      <c r="N1901" s="3" t="n"/>
      <c r="O1901" s="2" t="n"/>
    </row>
    <row r="1902">
      <c r="A1902" s="2" t="n">
        <v>1901</v>
      </c>
      <c r="B1902" s="2" t="inlineStr">
        <is>
          <t>короткая</t>
        </is>
      </c>
      <c r="C1902" s="2" t="n">
        <v>10000</v>
      </c>
      <c r="D1902" s="3" t="inlineStr">
        <is>
          <t>Происшествие</t>
        </is>
      </c>
      <c r="E1902" s="2" t="n">
        <v>1984</v>
      </c>
      <c r="F1902" s="2" t="inlineStr">
        <is>
          <t>кинофильм</t>
        </is>
      </c>
      <c r="G1902" s="2" t="inlineStr">
        <is>
          <t>Арменфильм</t>
        </is>
      </c>
      <c r="H1902" s="2" t="n">
        <v>85</v>
      </c>
      <c r="I1902" s="2" t="inlineStr"/>
      <c r="J1902" s="2" t="inlineStr"/>
      <c r="K1902" s="3" t="inlineStr">
        <is>
          <t>Автомобильная авария раскрывает характеры людей, оказавшихся в чрезвычайной ситуации.</t>
        </is>
      </c>
      <c r="L1902" s="2" t="inlineStr">
        <is>
          <t>https://www.kino-teatr.ru/short/movie/sov/84884/annot/</t>
        </is>
      </c>
      <c r="M1902" s="2">
        <f>HYPERLINK("https://ru.wikipedia.org/w/index.php?search=%D0%9F%D1%80%D0%BE%D0%B8%D1%81%D1%88%D0%B5%D1%81%D1%82%D0%B2%D0%B8%D0%B5%201984%20%D1%84%D0%B8%D0%BB%D1%8C%D0%BC","искать")</f>
        <v/>
      </c>
      <c r="N1902" s="3" t="n"/>
      <c r="O1902" s="2" t="n"/>
    </row>
    <row r="1903">
      <c r="A1903" s="2" t="n">
        <v>1902</v>
      </c>
      <c r="B1903" s="2" t="inlineStr">
        <is>
          <t>короткая</t>
        </is>
      </c>
      <c r="C1903" s="2" t="n">
        <v>9863</v>
      </c>
      <c r="D1903" s="3" t="inlineStr">
        <is>
          <t>Мужской хор</t>
        </is>
      </c>
      <c r="E1903" s="2" t="n">
        <v>1969</v>
      </c>
      <c r="F1903" s="2" t="inlineStr">
        <is>
          <t>телефильм</t>
        </is>
      </c>
      <c r="G1903" s="2" t="inlineStr">
        <is>
          <t>Грузия-фильм</t>
        </is>
      </c>
      <c r="H1903" s="2" t="n">
        <v>87</v>
      </c>
      <c r="I1903" s="2" t="inlineStr"/>
      <c r="J1903" s="2" t="inlineStr"/>
      <c r="K1903" s="3" t="inlineStr">
        <is>
          <t>С воодушевлением встретил мужской хор нового дирижера - молодую очаровательную женщину.</t>
        </is>
      </c>
      <c r="L1903" s="2" t="inlineStr">
        <is>
          <t>https://www.kino-teatr.ru/short/movie/sov/16024/annot/</t>
        </is>
      </c>
      <c r="M1903" s="2">
        <f>HYPERLINK("https://ru.wikipedia.org/w/index.php?search=%D0%9C%D1%83%D0%B6%D1%81%D0%BA%D0%BE%D0%B9%20%D1%85%D0%BE%D1%80%201969%20%D1%84%D0%B8%D0%BB%D1%8C%D0%BC","искать")</f>
        <v/>
      </c>
      <c r="N1903" s="3" t="n"/>
      <c r="O1903" s="2" t="n"/>
    </row>
    <row r="1904">
      <c r="A1904" s="2" t="n">
        <v>1903</v>
      </c>
      <c r="B1904" s="2" t="inlineStr">
        <is>
          <t>короткая</t>
        </is>
      </c>
      <c r="C1904" s="2" t="n">
        <v>7812</v>
      </c>
      <c r="D1904" s="3" t="inlineStr">
        <is>
          <t>Личная жизнь Деда Мороза</t>
        </is>
      </c>
      <c r="E1904" s="2" t="n">
        <v>1982</v>
      </c>
      <c r="F1904" s="2" t="inlineStr">
        <is>
          <t>телефильм</t>
        </is>
      </c>
      <c r="G1904" s="2" t="n"/>
      <c r="H1904" s="2" t="n">
        <v>89</v>
      </c>
      <c r="I1904" s="2" t="inlineStr"/>
      <c r="J1904" s="2" t="inlineStr"/>
      <c r="K1904" s="3" t="inlineStr">
        <is>
          <t>Телефильм рассказывает о буднях актера, подрабатывающего ролью Деда Мороза на утренниках.</t>
        </is>
      </c>
      <c r="L1904" s="2" t="inlineStr">
        <is>
          <t>Кино_СССР сводный каталог.xlsx: список телефильмов</t>
        </is>
      </c>
      <c r="M1904" s="2">
        <f>HYPERLINK("https://ru.wikipedia.org/w/index.php?search=%D0%9B%D0%B8%D1%87%D0%BD%D0%B0%D1%8F%20%D0%B6%D0%B8%D0%B7%D0%BD%D1%8C%20%D0%94%D0%B5%D0%B4%D0%B0%20%D0%9C%D0%BE%D1%80%D0%BE%D0%B7%D0%B0%201982%20%D1%84%D0%B8%D0%BB%D1%8C%D0%BC","искать")</f>
        <v/>
      </c>
      <c r="N1904" s="3" t="n"/>
      <c r="O1904" s="2" t="n"/>
    </row>
    <row r="1905">
      <c r="A1905" s="2" t="n">
        <v>1904</v>
      </c>
      <c r="B1905" s="2" t="inlineStr">
        <is>
          <t>короткая</t>
        </is>
      </c>
      <c r="C1905" s="2" t="n">
        <v>9989</v>
      </c>
      <c r="D1905" s="3" t="inlineStr">
        <is>
          <t>Этюд для домино с роялем</t>
        </is>
      </c>
      <c r="E1905" s="2" t="n">
        <v>1982</v>
      </c>
      <c r="F1905" s="2" t="inlineStr">
        <is>
          <t>телефильм</t>
        </is>
      </c>
      <c r="G1905" s="2" t="inlineStr">
        <is>
          <t>ТО "Экран"</t>
        </is>
      </c>
      <c r="H1905" s="2" t="n">
        <v>89</v>
      </c>
      <c r="I1905" s="2" t="inlineStr"/>
      <c r="J1905" s="2" t="inlineStr"/>
      <c r="K1905" s="3" t="inlineStr">
        <is>
          <t>Веселый рассказ о появлении в доме нового жильца, который игрой на рояле сдружил соседей.</t>
        </is>
      </c>
      <c r="L1905" s="2" t="inlineStr">
        <is>
          <t>https://www.kino-teatr.ru/short/movie/sov/8121/annot/</t>
        </is>
      </c>
      <c r="M1905" s="2">
        <f>HYPERLINK("https://ru.wikipedia.org/w/index.php?search=%D0%AD%D1%82%D1%8E%D0%B4%20%D0%B4%D0%BB%D1%8F%20%D0%B4%D0%BE%D0%BC%D0%B8%D0%BD%D0%BE%20%D1%81%20%D1%80%D0%BE%D1%8F%D0%BB%D0%B5%D0%BC%201982%20%D1%84%D0%B8%D0%BB%D1%8C%D0%BC","искать")</f>
        <v/>
      </c>
      <c r="N1905" s="3" t="n"/>
      <c r="O1905" s="2" t="n"/>
    </row>
    <row r="1906">
      <c r="A1906" s="2" t="n">
        <v>1905</v>
      </c>
      <c r="B1906" s="2" t="inlineStr">
        <is>
          <t>короткая</t>
        </is>
      </c>
      <c r="C1906" s="2" t="n">
        <v>7590</v>
      </c>
      <c r="D1906" s="3" t="inlineStr">
        <is>
          <t>Жених и невеста</t>
        </is>
      </c>
      <c r="E1906" s="2" t="n">
        <v>1970</v>
      </c>
      <c r="F1906" s="2" t="inlineStr">
        <is>
          <t>телефильм</t>
        </is>
      </c>
      <c r="G1906" s="2" t="n"/>
      <c r="H1906" s="2" t="n">
        <v>92</v>
      </c>
      <c r="I1906" s="2" t="inlineStr"/>
      <c r="J1906" s="2" t="inlineStr"/>
      <c r="K1906" s="3" t="inlineStr">
        <is>
          <t>Музыкальная кинокомедия о любви красавицы-таджички Гульноры и певца из Азербайджана Рустама.</t>
        </is>
      </c>
      <c r="L1906" s="2" t="inlineStr">
        <is>
          <t>Кино_СССР сводный каталог.xlsx: список телефильмов</t>
        </is>
      </c>
      <c r="M1906" s="2">
        <f>HYPERLINK("https://ru.wikipedia.org/w/index.php?search=%D0%96%D0%B5%D0%BD%D0%B8%D1%85%20%D0%B8%20%D0%BD%D0%B5%D0%B2%D0%B5%D1%81%D1%82%D0%B0%201970%20%D1%84%D0%B8%D0%BB%D1%8C%D0%BC","искать")</f>
        <v/>
      </c>
      <c r="N1906" s="3" t="n"/>
      <c r="O1906" s="2" t="n"/>
    </row>
    <row r="1907">
      <c r="A1907" s="2" t="n">
        <v>1906</v>
      </c>
      <c r="B1907" s="2" t="inlineStr">
        <is>
          <t>короткая</t>
        </is>
      </c>
      <c r="C1907" s="2" t="n">
        <v>8006</v>
      </c>
      <c r="D1907" s="3" t="inlineStr">
        <is>
          <t>Новые приключения Дони и Микки</t>
        </is>
      </c>
      <c r="E1907" s="2" t="n">
        <v>1973</v>
      </c>
      <c r="F1907" s="2" t="inlineStr">
        <is>
          <t>телефильм</t>
        </is>
      </c>
      <c r="G1907" s="2" t="inlineStr">
        <is>
          <t>Экран</t>
        </is>
      </c>
      <c r="H1907" s="2" t="n">
        <v>92</v>
      </c>
      <c r="I1907" s="2" t="inlineStr"/>
      <c r="J1907" s="2" t="inlineStr"/>
      <c r="K1907" s="3" t="inlineStr">
        <is>
          <t>Обезьянки Доня и Микки оказываются среди людей, и их проделки приводят к забавным ситуациям.</t>
        </is>
      </c>
      <c r="L1907" s="2" t="inlineStr">
        <is>
          <t>Кино_СССР сводный каталог.xlsx: список телефильмов</t>
        </is>
      </c>
      <c r="M1907" s="2">
        <f>HYPERLINK("https://ru.wikipedia.org/w/index.php?search=%D0%9D%D0%BE%D0%B2%D1%8B%D0%B5%20%D0%BF%D1%80%D0%B8%D0%BA%D0%BB%D1%8E%D1%87%D0%B5%D0%BD%D0%B8%D1%8F%20%D0%94%D0%BE%D0%BD%D0%B8%20%D0%B8%20%D0%9C%D0%B8%D0%BA%D0%BA%D0%B8%201973%20%D1%84%D0%B8%D0%BB%D1%8C%D0%BC","искать")</f>
        <v/>
      </c>
      <c r="N1907" s="3" t="n"/>
      <c r="O1907" s="2" t="n"/>
    </row>
    <row r="1908">
      <c r="A1908" s="2" t="n">
        <v>1907</v>
      </c>
      <c r="B1908" s="2" t="inlineStr">
        <is>
          <t>короткая</t>
        </is>
      </c>
      <c r="C1908" s="2" t="n">
        <v>8357</v>
      </c>
      <c r="D1908" s="3" t="inlineStr">
        <is>
          <t>Следствие ведут Знатоки</t>
        </is>
      </c>
      <c r="E1908" s="2" t="n">
        <v>1971</v>
      </c>
      <c r="F1908" s="2" t="inlineStr">
        <is>
          <t>телефильм</t>
        </is>
      </c>
      <c r="G1908" s="2" t="n"/>
      <c r="H1908" s="2" t="n">
        <v>92</v>
      </c>
      <c r="I1908" s="2" t="inlineStr"/>
      <c r="J1908" s="2" t="inlineStr"/>
      <c r="K1908" s="3" t="inlineStr">
        <is>
          <t>Трое следователей МУРа - Знаменский, Томин и Кибрит (ЗнаТоКи) - распутывают сложнейшие дела.</t>
        </is>
      </c>
      <c r="L1908" s="2" t="inlineStr">
        <is>
          <t>Кино_СССР сводный каталог.xlsx: список телефильмов</t>
        </is>
      </c>
      <c r="M1908" s="2">
        <f>HYPERLINK("https://ru.wikipedia.org/w/index.php?search=%D0%A1%D0%BB%D0%B5%D0%B4%D1%81%D1%82%D0%B2%D0%B8%D0%B5%20%D0%B2%D0%B5%D0%B4%D1%83%D1%82%20%D0%97%D0%BD%D0%B0%D1%82%D0%BE%D0%BA%D0%B8%201971%20%D1%84%D0%B8%D0%BB%D1%8C%D0%BC","искать")</f>
        <v/>
      </c>
      <c r="N1908" s="3" t="n"/>
      <c r="O1908" s="2" t="n"/>
    </row>
    <row r="1909">
      <c r="A1909" s="2" t="n">
        <v>1908</v>
      </c>
      <c r="B1909" s="2" t="inlineStr">
        <is>
          <t>короткая</t>
        </is>
      </c>
      <c r="C1909" s="2" t="n">
        <v>10022</v>
      </c>
      <c r="D1909" s="3" t="inlineStr">
        <is>
          <t>Покушение</t>
        </is>
      </c>
      <c r="E1909" s="2" t="n">
        <v>1987</v>
      </c>
      <c r="F1909" s="2" t="inlineStr">
        <is>
          <t>телефильм</t>
        </is>
      </c>
      <c r="G1909" s="2" t="inlineStr">
        <is>
          <t>ТО "Экран"</t>
        </is>
      </c>
      <c r="H1909" s="2" t="n">
        <v>93</v>
      </c>
      <c r="I1909" s="2" t="inlineStr"/>
      <c r="J1909" s="2" t="inlineStr"/>
      <c r="K1909" s="3" t="inlineStr">
        <is>
          <t>Эксцентрическая комедия о своеобразном возвращении спившегося строителя Феди к трезвой жизни.</t>
        </is>
      </c>
      <c r="L1909" s="2" t="inlineStr">
        <is>
          <t>https://www.kino-teatr.ru/short/movie/sov/5344/annot/</t>
        </is>
      </c>
      <c r="M1909" s="2">
        <f>HYPERLINK("https://ru.wikipedia.org/w/index.php?search=%D0%9F%D0%BE%D0%BA%D1%83%D1%88%D0%B5%D0%BD%D0%B8%D0%B5%201987%20%D1%84%D0%B8%D0%BB%D1%8C%D0%BC","искать")</f>
        <v/>
      </c>
      <c r="N1909" s="3" t="n"/>
      <c r="O1909" s="2" t="n"/>
    </row>
    <row r="1910">
      <c r="A1910" s="2" t="n">
        <v>1909</v>
      </c>
      <c r="B1910" s="2" t="inlineStr">
        <is>
          <t>короткая</t>
        </is>
      </c>
      <c r="C1910" s="2" t="n">
        <v>8037</v>
      </c>
      <c r="D1910" s="3" t="inlineStr">
        <is>
          <t>Односельчане</t>
        </is>
      </c>
      <c r="E1910" s="2" t="n">
        <v>1974</v>
      </c>
      <c r="F1910" s="2" t="inlineStr">
        <is>
          <t>телефильм</t>
        </is>
      </c>
      <c r="G1910" s="2" t="n"/>
      <c r="H1910" s="2" t="n">
        <v>94</v>
      </c>
      <c r="I1910" s="2" t="inlineStr"/>
      <c r="J1910" s="2" t="inlineStr"/>
      <c r="K1910" s="3" t="inlineStr">
        <is>
          <t>Համագյուղացիներ О приключениях рабочих-газопроводчиков и жителей села, куда этот газ проводят.</t>
        </is>
      </c>
      <c r="L1910" s="2" t="inlineStr">
        <is>
          <t>Кино_СССР сводный каталог.xlsx: список телефильмов</t>
        </is>
      </c>
      <c r="M1910" s="2">
        <f>HYPERLINK("https://ru.wikipedia.org/w/index.php?search=%D0%9E%D0%B4%D0%BD%D0%BE%D1%81%D0%B5%D0%BB%D1%8C%D1%87%D0%B0%D0%BD%D0%B5%201974%20%D1%84%D0%B8%D0%BB%D1%8C%D0%BC","искать")</f>
        <v/>
      </c>
      <c r="N1910" s="3" t="n"/>
      <c r="O1910" s="2" t="n"/>
    </row>
    <row r="1911">
      <c r="A1911" s="2" t="n">
        <v>1910</v>
      </c>
      <c r="B1911" s="2" t="inlineStr">
        <is>
          <t>короткая</t>
        </is>
      </c>
      <c r="C1911" s="2" t="n">
        <v>7699</v>
      </c>
      <c r="D1911" s="3" t="inlineStr">
        <is>
          <t>Как мы искали Тишку</t>
        </is>
      </c>
      <c r="E1911" s="2" t="n">
        <v>1970</v>
      </c>
      <c r="F1911" s="2" t="inlineStr">
        <is>
          <t>телефильм</t>
        </is>
      </c>
      <c r="G1911" s="2" t="n"/>
      <c r="H1911" s="2" t="n">
        <v>95</v>
      </c>
      <c r="I1911" s="2" t="inlineStr"/>
      <c r="J1911" s="2" t="inlineStr"/>
      <c r="K1911" s="3" t="inlineStr">
        <is>
          <t>О приключениях мальчика Миши, бабушки и милиционера, разыскивающих пропавшего медвежонка Тишку.</t>
        </is>
      </c>
      <c r="L1911" s="2" t="inlineStr">
        <is>
          <t>Кино_СССР сводный каталог.xlsx: список телефильмов</t>
        </is>
      </c>
      <c r="M1911" s="2">
        <f>HYPERLINK("https://ru.wikipedia.org/w/index.php?search=%D0%9A%D0%B0%D0%BA%20%D0%BC%D1%8B%20%D0%B8%D1%81%D0%BA%D0%B0%D0%BB%D0%B8%20%D0%A2%D0%B8%D1%88%D0%BA%D1%83%201970%20%D1%84%D0%B8%D0%BB%D1%8C%D0%BC","искать")</f>
        <v/>
      </c>
      <c r="N1911" s="3" t="n"/>
      <c r="O1911" s="2" t="n"/>
    </row>
    <row r="1912">
      <c r="A1912" s="2" t="n">
        <v>1911</v>
      </c>
      <c r="B1912" s="2" t="inlineStr">
        <is>
          <t>короткая</t>
        </is>
      </c>
      <c r="C1912" s="2" t="n">
        <v>10475</v>
      </c>
      <c r="D1912" s="3" t="inlineStr">
        <is>
          <t>Фернандо Магеллан</t>
        </is>
      </c>
      <c r="E1912" s="2" t="n">
        <v>1972</v>
      </c>
      <c r="F1912" s="2" t="inlineStr">
        <is>
          <t>фильм-спектакль</t>
        </is>
      </c>
      <c r="G1912" s="2" t="inlineStr">
        <is>
          <t>Центральное телевидение</t>
        </is>
      </c>
      <c r="H1912" s="2" t="n">
        <v>95</v>
      </c>
      <c r="I1912" s="2" t="inlineStr"/>
      <c r="J1912" s="2" t="inlineStr"/>
      <c r="K1912" s="3" t="inlineStr">
        <is>
          <t>О кругосветном путешествии испанской экспедиции во главе с Фернандо Магелланом в 1519-1522 г.г.</t>
        </is>
      </c>
      <c r="L1912" s="2" t="inlineStr">
        <is>
          <t>https://www.kino-teatr.ru/teatr/movie/106090/annot/</t>
        </is>
      </c>
      <c r="M1912" s="2">
        <f>HYPERLINK("https://ru.wikipedia.org/w/index.php?search=%D0%A4%D0%B5%D1%80%D0%BD%D0%B0%D0%BD%D0%B4%D0%BE%20%D0%9C%D0%B0%D0%B3%D0%B5%D0%BB%D0%BB%D0%B0%D0%BD%201972%20%D1%84%D0%B8%D0%BB%D1%8C%D0%BC","искать")</f>
        <v/>
      </c>
      <c r="N1912" s="3" t="n"/>
      <c r="O1912" s="2" t="n"/>
    </row>
    <row r="1913">
      <c r="A1913" s="2" t="n">
        <v>1912</v>
      </c>
      <c r="B1913" s="2" t="inlineStr">
        <is>
          <t>короткая</t>
        </is>
      </c>
      <c r="C1913" s="2" t="n">
        <v>7185</v>
      </c>
      <c r="D1913" s="3" t="inlineStr">
        <is>
          <t>А пароходы гудят и уходят...</t>
        </is>
      </c>
      <c r="E1913" s="2" t="n">
        <v>1972</v>
      </c>
      <c r="F1913" s="2" t="inlineStr">
        <is>
          <t>телефильм</t>
        </is>
      </c>
      <c r="G1913" s="2" t="n"/>
      <c r="H1913" s="2" t="n">
        <v>96</v>
      </c>
      <c r="I1913" s="2" t="inlineStr"/>
      <c r="J1913" s="2" t="inlineStr"/>
      <c r="K1913" s="3" t="inlineStr">
        <is>
          <t>Леонид Комков, несмотря на отсутствие опыта, одержим желанием стать рулевым на речном теплоходе.</t>
        </is>
      </c>
      <c r="L1913" s="2" t="inlineStr">
        <is>
          <t>Кино_СССР сводный каталог.xlsx: список телефильмов</t>
        </is>
      </c>
      <c r="M1913" s="2">
        <f>HYPERLINK("https://ru.wikipedia.org/w/index.php?search=%D0%90%20%D0%BF%D0%B0%D1%80%D0%BE%D1%85%D0%BE%D0%B4%D1%8B%20%D0%B3%D1%83%D0%B4%D1%8F%D1%82%20%D0%B8%20%D1%83%D1%85%D0%BE%D0%B4%D1%8F%D1%82...%201972%20%D1%84%D0%B8%D0%BB%D1%8C%D0%BC","искать")</f>
        <v/>
      </c>
      <c r="N1913" s="3" t="n"/>
      <c r="O1913" s="2" t="n"/>
    </row>
    <row r="1914">
      <c r="A1914" s="2" t="n">
        <v>1913</v>
      </c>
      <c r="B1914" s="2" t="inlineStr">
        <is>
          <t>короткая</t>
        </is>
      </c>
      <c r="C1914" s="2" t="n">
        <v>7350</v>
      </c>
      <c r="D1914" s="3" t="inlineStr">
        <is>
          <t>Во всём виновата Залина</t>
        </is>
      </c>
      <c r="E1914" s="2" t="n">
        <v>1977</v>
      </c>
      <c r="F1914" s="2" t="inlineStr">
        <is>
          <t>телефильм</t>
        </is>
      </c>
      <c r="G1914" s="2" t="n"/>
      <c r="H1914" s="2" t="n">
        <v>96</v>
      </c>
      <c r="I1914" s="2" t="inlineStr"/>
      <c r="J1914" s="2" t="inlineStr"/>
      <c r="K1914" s="3" t="inlineStr">
        <is>
          <t>Телефильм. О молодой девушке-мелиораторе Залине, приехавшей работать в колхоз в Северной Осетии.</t>
        </is>
      </c>
      <c r="L1914" s="2" t="inlineStr">
        <is>
          <t>Кино_СССР сводный каталог.xlsx: список телефильмов</t>
        </is>
      </c>
      <c r="M1914" s="2">
        <f>HYPERLINK("https://ru.wikipedia.org/w/index.php?search=%D0%92%D0%BE%20%D0%B2%D1%81%D1%91%D0%BC%20%D0%B2%D0%B8%D0%BD%D0%BE%D0%B2%D0%B0%D1%82%D0%B0%20%D0%97%D0%B0%D0%BB%D0%B8%D0%BD%D0%B0%201977%20%D1%84%D0%B8%D0%BB%D1%8C%D0%BC","искать")</f>
        <v/>
      </c>
      <c r="N1914" s="3" t="n"/>
      <c r="O1914" s="2" t="n"/>
    </row>
    <row r="1915">
      <c r="A1915" s="2" t="n">
        <v>1914</v>
      </c>
      <c r="B1915" s="2" t="inlineStr">
        <is>
          <t>короткая</t>
        </is>
      </c>
      <c r="C1915" s="2" t="n">
        <v>7544</v>
      </c>
      <c r="D1915" s="3" t="inlineStr">
        <is>
          <t>Домино</t>
        </is>
      </c>
      <c r="E1915" s="2" t="n">
        <v>1973</v>
      </c>
      <c r="F1915" s="2" t="inlineStr">
        <is>
          <t>телефильм</t>
        </is>
      </c>
      <c r="G1915" s="2" t="n"/>
      <c r="H1915" s="2" t="n">
        <v>96</v>
      </c>
      <c r="I1915" s="2" t="inlineStr"/>
      <c r="J1915" s="2" t="inlineStr"/>
      <c r="K1915" s="3" t="inlineStr">
        <is>
          <t>Фильм о животных. По мотивам повести Э.Сетон-Томпсона. История чернобурого лиса по имени Домино.</t>
        </is>
      </c>
      <c r="L1915" s="2" t="inlineStr">
        <is>
          <t>Кино_СССР сводный каталог.xlsx: список телефильмов</t>
        </is>
      </c>
      <c r="M1915" s="2">
        <f>HYPERLINK("https://ru.wikipedia.org/w/index.php?search=%D0%94%D0%BE%D0%BC%D0%B8%D0%BD%D0%BE%201973%20%D1%84%D0%B8%D0%BB%D1%8C%D0%BC","искать")</f>
        <v/>
      </c>
      <c r="N1915" s="3" t="n"/>
      <c r="O1915" s="2" t="n"/>
    </row>
    <row r="1916">
      <c r="A1916" s="2" t="n">
        <v>1915</v>
      </c>
      <c r="B1916" s="2" t="inlineStr">
        <is>
          <t>короткая</t>
        </is>
      </c>
      <c r="C1916" s="2" t="n">
        <v>7913</v>
      </c>
      <c r="D1916" s="3" t="inlineStr">
        <is>
          <t>Музыкальные игры</t>
        </is>
      </c>
      <c r="E1916" s="2" t="n">
        <v>1989</v>
      </c>
      <c r="F1916" s="2" t="inlineStr">
        <is>
          <t>телефильм</t>
        </is>
      </c>
      <c r="G1916" s="2" t="n"/>
      <c r="H1916" s="2" t="n">
        <v>96</v>
      </c>
      <c r="I1916" s="2" t="inlineStr"/>
      <c r="J1916" s="2" t="inlineStr"/>
      <c r="K1916" s="3" t="inlineStr">
        <is>
          <t>Фантастическое шоу с погонями и инопланетными шпионами и известными артистами советской эстрады.</t>
        </is>
      </c>
      <c r="L1916" s="2" t="inlineStr">
        <is>
          <t>Кино_СССР сводный каталог.xlsx: список телефильмов</t>
        </is>
      </c>
      <c r="M1916" s="2">
        <f>HYPERLINK("https://ru.wikipedia.org/w/index.php?search=%D0%9C%D1%83%D0%B7%D1%8B%D0%BA%D0%B0%D0%BB%D1%8C%D0%BD%D1%8B%D0%B5%20%D0%B8%D0%B3%D1%80%D1%8B%201989%20%D1%84%D0%B8%D0%BB%D1%8C%D0%BC","искать")</f>
        <v/>
      </c>
      <c r="N1916" s="3" t="n"/>
      <c r="O1916" s="2" t="n"/>
    </row>
    <row r="1917">
      <c r="A1917" s="2" t="n">
        <v>1916</v>
      </c>
      <c r="B1917" s="2" t="inlineStr">
        <is>
          <t>короткая</t>
        </is>
      </c>
      <c r="C1917" s="2" t="n">
        <v>9422</v>
      </c>
      <c r="D1917" s="3" t="inlineStr">
        <is>
          <t>Коктейль-мираж</t>
        </is>
      </c>
      <c r="E1917" s="2" t="n">
        <v>1991</v>
      </c>
      <c r="F1917" s="2" t="inlineStr">
        <is>
          <t>кинофильм</t>
        </is>
      </c>
      <c r="G1917" s="2" t="n"/>
      <c r="H1917" s="2" t="n">
        <v>96</v>
      </c>
      <c r="I1917" s="2" t="inlineStr"/>
      <c r="J1917" s="2" t="inlineStr"/>
      <c r="K1917" s="3" t="inlineStr">
        <is>
          <t>Сентиментальная история с детективным сюжетом о бедном художнике, решившем подзаработать в кафе.</t>
        </is>
      </c>
      <c r="L1917" s="2" t="inlineStr">
        <is>
          <t>Кино_СССР сводный каталог.xlsx: список фильмов (доп.)</t>
        </is>
      </c>
      <c r="M1917" s="2">
        <f>HYPERLINK("https://ru.wikipedia.org/w/index.php?search=%D0%9A%D0%BE%D0%BA%D1%82%D0%B5%D0%B9%D0%BB%D1%8C-%D0%BC%D0%B8%D1%80%D0%B0%D0%B6%201991%20%D1%84%D0%B8%D0%BB%D1%8C%D0%BC","искать")</f>
        <v/>
      </c>
      <c r="N1917" s="3" t="n"/>
      <c r="O1917" s="2" t="n"/>
    </row>
    <row r="1918">
      <c r="A1918" s="2" t="n">
        <v>1917</v>
      </c>
      <c r="B1918" s="2" t="inlineStr">
        <is>
          <t>короткая</t>
        </is>
      </c>
      <c r="C1918" s="2" t="n">
        <v>9495</v>
      </c>
      <c r="D1918" s="3" t="inlineStr">
        <is>
          <t>Не все кометы гаснут</t>
        </is>
      </c>
      <c r="E1918" s="2" t="n">
        <v>1982</v>
      </c>
      <c r="F1918" s="2" t="inlineStr">
        <is>
          <t>кинофильм</t>
        </is>
      </c>
      <c r="G1918" s="2" t="n"/>
      <c r="H1918" s="2" t="n">
        <v>96</v>
      </c>
      <c r="I1918" s="2" t="inlineStr"/>
      <c r="J1918" s="2" t="inlineStr"/>
      <c r="K1918" s="3" t="inlineStr">
        <is>
          <t>В фильме рассказывается о встрече ветеранов Великой Отечественной войны на месте былых сражений.</t>
        </is>
      </c>
      <c r="L1918" s="2" t="inlineStr">
        <is>
          <t>Кино_СССР сводный каталог.xlsx: список фильмов (доп.)</t>
        </is>
      </c>
      <c r="M1918" s="2">
        <f>HYPERLINK("https://ru.wikipedia.org/w/index.php?search=%D0%9D%D0%B5%20%D0%B2%D1%81%D0%B5%20%D0%BA%D0%BE%D0%BC%D0%B5%D1%82%D1%8B%20%D0%B3%D0%B0%D1%81%D0%BD%D1%83%D1%82%201982%20%D1%84%D0%B8%D0%BB%D1%8C%D0%BC","искать")</f>
        <v/>
      </c>
      <c r="N1918" s="3" t="n"/>
      <c r="O1918" s="2" t="n"/>
    </row>
    <row r="1919">
      <c r="A1919" s="2" t="n">
        <v>1918</v>
      </c>
      <c r="B1919" s="2" t="inlineStr">
        <is>
          <t>короткая</t>
        </is>
      </c>
      <c r="C1919" s="2" t="n">
        <v>9982</v>
      </c>
      <c r="D1919" s="3" t="inlineStr">
        <is>
          <t>Элия Исаакович и Маргарита Прокофьевна</t>
        </is>
      </c>
      <c r="E1919" s="2" t="n">
        <v>1981</v>
      </c>
      <c r="F1919" s="2" t="inlineStr">
        <is>
          <t>кинофильм</t>
        </is>
      </c>
      <c r="G1919" s="2" t="inlineStr">
        <is>
          <t>МОСФИЛЬМ</t>
        </is>
      </c>
      <c r="H1919" s="2" t="n">
        <v>96</v>
      </c>
      <c r="I1919" s="2" t="inlineStr"/>
      <c r="J1919" s="2" t="inlineStr"/>
      <c r="K1919" s="3" t="inlineStr">
        <is>
          <t>По одноименному рассказу Исаака Бабеля.
Встреча двух отверженных — гонимого еврея и проститутки.</t>
        </is>
      </c>
      <c r="L1919" s="2" t="inlineStr">
        <is>
          <t>https://www.kino-teatr.ru/short/movie/sov/8082/annot/</t>
        </is>
      </c>
      <c r="M1919" s="2">
        <f>HYPERLINK("https://ru.wikipedia.org/w/index.php?search=%D0%AD%D0%BB%D0%B8%D1%8F%20%D0%98%D1%81%D0%B0%D0%B0%D0%BA%D0%BE%D0%B2%D0%B8%D1%87%20%D0%B8%20%D0%9C%D0%B0%D1%80%D0%B3%D0%B0%D1%80%D0%B8%D1%82%D0%B0%20%D0%9F%D1%80%D0%BE%D0%BA%D0%BE%D1%84%D1%8C%D0%B5%D0%B2%D0%BD%D0%B0%201981%20%D1%84%D0%B8%D0%BB%D1%8C%D0%BC","искать")</f>
        <v/>
      </c>
      <c r="N1919" s="3" t="n"/>
      <c r="O1919" s="2" t="n"/>
    </row>
    <row r="1920">
      <c r="A1920" s="2" t="n">
        <v>1919</v>
      </c>
      <c r="B1920" s="2" t="inlineStr">
        <is>
          <t>короткая</t>
        </is>
      </c>
      <c r="C1920" s="2" t="n">
        <v>8853</v>
      </c>
      <c r="D1920" s="3" t="inlineStr">
        <is>
          <t>Муслима</t>
        </is>
      </c>
      <c r="E1920" s="2" t="n">
        <v>1971</v>
      </c>
      <c r="F1920" s="2" t="inlineStr">
        <is>
          <t>кинофильм</t>
        </is>
      </c>
      <c r="G1920" s="2" t="n"/>
      <c r="H1920" s="2" t="n">
        <v>97</v>
      </c>
      <c r="I1920" s="2" t="inlineStr"/>
      <c r="J1920" s="2" t="inlineStr"/>
      <c r="K1920" s="3" t="inlineStr">
        <is>
          <t>Муслима, потерявшая на войне мужа, приютила немку Эмилию с детьми, эвакуированными из Прибалтики.</t>
        </is>
      </c>
      <c r="L1920" s="2" t="inlineStr">
        <is>
          <t>Кино_СССР сводный каталог.xlsx: список фильмов (доп.)</t>
        </is>
      </c>
      <c r="M1920" s="2">
        <f>HYPERLINK("https://ru.wikipedia.org/w/index.php?search=%D0%9C%D1%83%D1%81%D0%BB%D0%B8%D0%BC%D0%B0%201971%20%D1%84%D0%B8%D0%BB%D1%8C%D0%BC","искать")</f>
        <v/>
      </c>
      <c r="N1920" s="3" t="n"/>
      <c r="O1920" s="2" t="n"/>
    </row>
    <row r="1921">
      <c r="A1921" s="2" t="n">
        <v>1920</v>
      </c>
      <c r="B1921" s="2" t="inlineStr">
        <is>
          <t>короткая</t>
        </is>
      </c>
      <c r="C1921" s="2" t="n">
        <v>9187</v>
      </c>
      <c r="D1921" s="3" t="inlineStr">
        <is>
          <t>Я - граница</t>
        </is>
      </c>
      <c r="E1921" s="2" t="n">
        <v>1973</v>
      </c>
      <c r="F1921" s="2" t="inlineStr">
        <is>
          <t>кинофильм</t>
        </is>
      </c>
      <c r="G1921" s="2" t="n"/>
      <c r="H1921" s="2" t="n">
        <v>97</v>
      </c>
      <c r="I1921" s="2" t="inlineStr"/>
      <c r="J1921" s="2" t="inlineStr"/>
      <c r="K1921" s="3" t="inlineStr">
        <is>
          <t>О том, как советским пограничникам удалось обнаружить и обезвредить агентов иностранной разведки.</t>
        </is>
      </c>
      <c r="L1921" s="2" t="inlineStr">
        <is>
          <t>Кино_СССР сводный каталог.xlsx: список фильмов (доп.)</t>
        </is>
      </c>
      <c r="M1921" s="2">
        <f>HYPERLINK("https://ru.wikipedia.org/w/index.php?search=%D0%AF%20-%20%D0%B3%D1%80%D0%B0%D0%BD%D0%B8%D1%86%D0%B0%201973%20%D1%84%D0%B8%D0%BB%D1%8C%D0%BC","искать")</f>
        <v/>
      </c>
      <c r="N1921" s="3" t="n"/>
      <c r="O1921" s="2" t="n"/>
    </row>
    <row r="1922">
      <c r="A1922" s="2" t="n">
        <v>1921</v>
      </c>
      <c r="B1922" s="2" t="inlineStr">
        <is>
          <t>короткая</t>
        </is>
      </c>
      <c r="C1922" s="2" t="n">
        <v>9892</v>
      </c>
      <c r="D1922" s="3" t="inlineStr">
        <is>
          <t>Мушкетёры 4 "А"</t>
        </is>
      </c>
      <c r="E1922" s="2" t="n">
        <v>1972</v>
      </c>
      <c r="F1922" s="2" t="inlineStr">
        <is>
          <t>телефильм</t>
        </is>
      </c>
      <c r="G1922" s="2" t="inlineStr">
        <is>
          <t>Одесская киностудия, Подборки фильмов, отечественные фильмы про школу</t>
        </is>
      </c>
      <c r="H1922" s="2" t="n">
        <v>97</v>
      </c>
      <c r="I1922" s="2" t="inlineStr"/>
      <c r="J1922" s="2" t="inlineStr"/>
      <c r="K1922" s="3" t="inlineStr">
        <is>
          <t>По заказу Гостелерадио СССР.
О летних приключениях четверых ребят из рыбацкого поселка на Днепре.</t>
        </is>
      </c>
      <c r="L1922" s="2" t="inlineStr">
        <is>
          <t>https://www.kino-teatr.ru/short/movie/sov/15954/annot/</t>
        </is>
      </c>
      <c r="M1922" s="2">
        <f>HYPERLINK("https://ru.wikipedia.org/w/index.php?search=%D0%9C%D1%83%D1%88%D0%BA%D0%B5%D1%82%D1%91%D1%80%D1%8B%204%20%22%D0%90%22%201972%20%D1%84%D0%B8%D0%BB%D1%8C%D0%BC","искать")</f>
        <v/>
      </c>
      <c r="N1922" s="3" t="n"/>
      <c r="O1922" s="2" t="n"/>
    </row>
    <row r="1923">
      <c r="A1923" s="2" t="n">
        <v>1922</v>
      </c>
      <c r="B1923" s="2" t="inlineStr">
        <is>
          <t>короткая</t>
        </is>
      </c>
      <c r="C1923" s="2" t="n">
        <v>10027</v>
      </c>
      <c r="D1923" s="3" t="inlineStr">
        <is>
          <t>Вызов</t>
        </is>
      </c>
      <c r="E1923" s="2" t="n">
        <v>1988</v>
      </c>
      <c r="F1923" s="2" t="inlineStr">
        <is>
          <t>телефильм</t>
        </is>
      </c>
      <c r="G1923" s="2" t="inlineStr">
        <is>
          <t>"Таллинфильм" по заказу Гостелерадио СССР</t>
        </is>
      </c>
      <c r="H1923" s="2" t="n">
        <v>97</v>
      </c>
      <c r="I1923" s="2" t="inlineStr"/>
      <c r="J1923" s="2" t="inlineStr"/>
      <c r="K1923" s="3" t="inlineStr">
        <is>
          <t>О женщине-враче, которая сама не понимая, что ее беспокоит, обратилась за помощью к экстрасенсу..</t>
        </is>
      </c>
      <c r="L1923" s="2" t="inlineStr">
        <is>
          <t>https://www.kino-teatr.ru/short/movie/sov/81547/annot/</t>
        </is>
      </c>
      <c r="M1923" s="2">
        <f>HYPERLINK("https://ru.wikipedia.org/w/index.php?search=%D0%92%D1%8B%D0%B7%D0%BE%D0%B2%201988%20%D1%84%D0%B8%D0%BB%D1%8C%D0%BC","искать")</f>
        <v/>
      </c>
      <c r="N1923" s="3" t="n"/>
      <c r="O1923" s="2" t="n"/>
    </row>
    <row r="1924">
      <c r="A1924" s="2" t="n">
        <v>1923</v>
      </c>
      <c r="B1924" s="2" t="inlineStr">
        <is>
          <t>короткая</t>
        </is>
      </c>
      <c r="C1924" s="2" t="n">
        <v>10177</v>
      </c>
      <c r="D1924" s="3" t="inlineStr">
        <is>
          <t>Ты приходи к нам, приходи...</t>
        </is>
      </c>
      <c r="E1924" s="2" t="n">
        <v>1966</v>
      </c>
      <c r="F1924" s="2" t="inlineStr">
        <is>
          <t>фильм-спектакль</t>
        </is>
      </c>
      <c r="G1924" s="2" t="inlineStr">
        <is>
          <t>Ленинградское ТВ</t>
        </is>
      </c>
      <c r="H1924" s="2" t="n">
        <v>97</v>
      </c>
      <c r="I1924" s="2" t="inlineStr"/>
      <c r="J1924" s="2" t="inlineStr"/>
      <c r="K1924" s="3" t="inlineStr">
        <is>
          <t>По одноименной повести Виктора Голявкина.
О трогательной дружбе двух мальчишек - Ляльки и Саньки.</t>
        </is>
      </c>
      <c r="L1924" s="2" t="inlineStr">
        <is>
          <t>https://www.kino-teatr.ru/teatr/movie/92877/annot/</t>
        </is>
      </c>
      <c r="M1924" s="2">
        <f>HYPERLINK("https://ru.wikipedia.org/w/index.php?search=%D0%A2%D1%8B%20%D0%BF%D1%80%D0%B8%D1%85%D0%BE%D0%B4%D0%B8%20%D0%BA%20%D0%BD%D0%B0%D0%BC%2C%20%D0%BF%D1%80%D0%B8%D1%85%D0%BE%D0%B4%D0%B8...%201966%20%D1%84%D0%B8%D0%BB%D1%8C%D0%BC","искать")</f>
        <v/>
      </c>
      <c r="N1924" s="3" t="n"/>
      <c r="O1924" s="2" t="n"/>
    </row>
    <row r="1925">
      <c r="A1925" s="2" t="n">
        <v>1924</v>
      </c>
      <c r="B1925" s="2" t="inlineStr">
        <is>
          <t>короткая</t>
        </is>
      </c>
      <c r="C1925" s="2" t="n">
        <v>8114</v>
      </c>
      <c r="D1925" s="3" t="inlineStr">
        <is>
          <t>Пишите письма</t>
        </is>
      </c>
      <c r="E1925" s="2" t="n">
        <v>1981</v>
      </c>
      <c r="F1925" s="2" t="inlineStr">
        <is>
          <t>телефильм</t>
        </is>
      </c>
      <c r="G1925" s="2" t="n"/>
      <c r="H1925" s="2" t="n">
        <v>98</v>
      </c>
      <c r="I1925" s="2" t="inlineStr"/>
      <c r="J1925" s="2" t="inlineStr"/>
      <c r="K1925" s="3" t="inlineStr">
        <is>
          <t>Кинокомедия о том, как в одном осетинском колхозе организовали вокально-инструментальный ансамбль.</t>
        </is>
      </c>
      <c r="L1925" s="2" t="inlineStr">
        <is>
          <t>Кино_СССР сводный каталог.xlsx: список телефильмов</t>
        </is>
      </c>
      <c r="M1925" s="2">
        <f>HYPERLINK("https://ru.wikipedia.org/w/index.php?search=%D0%9F%D0%B8%D1%88%D0%B8%D1%82%D0%B5%20%D0%BF%D0%B8%D1%81%D1%8C%D0%BC%D0%B0%201981%20%D1%84%D0%B8%D0%BB%D1%8C%D0%BC","искать")</f>
        <v/>
      </c>
      <c r="N1925" s="3" t="n"/>
      <c r="O1925" s="2" t="n"/>
    </row>
    <row r="1926">
      <c r="A1926" s="2" t="n">
        <v>1925</v>
      </c>
      <c r="B1926" s="2" t="inlineStr">
        <is>
          <t>короткая</t>
        </is>
      </c>
      <c r="C1926" s="2" t="n">
        <v>11019</v>
      </c>
      <c r="D1926" s="3" t="inlineStr">
        <is>
          <t>Хромой Тимур</t>
        </is>
      </c>
      <c r="E1926" s="2" t="n">
        <v>1983</v>
      </c>
      <c r="F1926" s="2" t="inlineStr">
        <is>
          <t>фильм-спектакль</t>
        </is>
      </c>
      <c r="G1926" s="2" t="n"/>
      <c r="H1926" s="2" t="n">
        <v>98</v>
      </c>
      <c r="I1926" s="2" t="inlineStr"/>
      <c r="J1926" s="2" t="inlineStr"/>
      <c r="K1926" s="3" t="inlineStr">
        <is>
          <t>Телевизионный спектакль. Ухудшение отношений между Амиром Тимуром и Баязидом стало причиной войны.</t>
        </is>
      </c>
      <c r="L1926" s="2" t="inlineStr">
        <is>
          <t>https://www.kino-teatr.ru/teatr/movie/106181/annot/</t>
        </is>
      </c>
      <c r="M1926" s="2">
        <f>HYPERLINK("https://ru.wikipedia.org/w/index.php?search=%D0%A5%D1%80%D0%BE%D0%BC%D0%BE%D0%B9%20%D0%A2%D0%B8%D0%BC%D1%83%D1%80%201983%20%D1%84%D0%B8%D0%BB%D1%8C%D0%BC","искать")</f>
        <v/>
      </c>
      <c r="N1926" s="3" t="n"/>
      <c r="O1926" s="2" t="n"/>
    </row>
    <row r="1927">
      <c r="A1927" s="2" t="n">
        <v>1926</v>
      </c>
      <c r="B1927" s="2" t="inlineStr">
        <is>
          <t>короткая</t>
        </is>
      </c>
      <c r="C1927" s="2" t="n">
        <v>8480</v>
      </c>
      <c r="D1927" s="3" t="inlineStr">
        <is>
          <t>Три оплеухи</t>
        </is>
      </c>
      <c r="E1927" s="2" t="n">
        <v>1982</v>
      </c>
      <c r="F1927" s="2" t="inlineStr">
        <is>
          <t>телефильм</t>
        </is>
      </c>
      <c r="G1927" s="2" t="n"/>
      <c r="H1927" s="2" t="n">
        <v>99</v>
      </c>
      <c r="I1927" s="2" t="inlineStr"/>
      <c r="J1927" s="2" t="inlineStr"/>
      <c r="K1927" s="3" t="inlineStr">
        <is>
          <t>Музыкальный фильм-сказка о молодом царе, который полюбил дочь ремесленника и решил на ней жениться.</t>
        </is>
      </c>
      <c r="L1927" s="2" t="inlineStr">
        <is>
          <t>Кино_СССР сводный каталог.xlsx: список телефильмов</t>
        </is>
      </c>
      <c r="M1927" s="2">
        <f>HYPERLINK("https://ru.wikipedia.org/w/index.php?search=%D0%A2%D1%80%D0%B8%20%D0%BE%D0%BF%D0%BB%D0%B5%D1%83%D1%85%D0%B8%201982%20%D1%84%D0%B8%D0%BB%D1%8C%D0%BC","искать")</f>
        <v/>
      </c>
      <c r="N1927" s="3" t="n"/>
      <c r="O1927" s="2" t="n"/>
    </row>
    <row r="1928">
      <c r="A1928" s="2" t="n">
        <v>1927</v>
      </c>
      <c r="B1928" s="2" t="inlineStr">
        <is>
          <t>короткая</t>
        </is>
      </c>
      <c r="C1928" s="2" t="n">
        <v>9382</v>
      </c>
      <c r="D1928" s="3" t="inlineStr">
        <is>
          <t>Зона</t>
        </is>
      </c>
      <c r="E1928" s="2" t="n">
        <v>1988</v>
      </c>
      <c r="F1928" s="2" t="inlineStr">
        <is>
          <t>кинофильм</t>
        </is>
      </c>
      <c r="G1928" s="2" t="n"/>
      <c r="H1928" s="2" t="n">
        <v>99</v>
      </c>
      <c r="I1928" s="2" t="inlineStr"/>
      <c r="J1928" s="2" t="inlineStr"/>
      <c r="K1928" s="3" t="inlineStr">
        <is>
          <t>По пьесе Миколы Кулиша. Голод 1925 года. История трех друзей-коммунистов, предавших высокие идеалы.</t>
        </is>
      </c>
      <c r="L1928" s="2" t="inlineStr">
        <is>
          <t>Кино_СССР сводный каталог.xlsx: список фильмов (доп.)</t>
        </is>
      </c>
      <c r="M1928" s="2">
        <f>HYPERLINK("https://ru.wikipedia.org/w/index.php?search=%D0%97%D0%BE%D0%BD%D0%B0%201988%20%D1%84%D0%B8%D0%BB%D1%8C%D0%BC","искать")</f>
        <v/>
      </c>
      <c r="N1928" s="3" t="n"/>
      <c r="O1928" s="2" t="n"/>
    </row>
    <row r="1929">
      <c r="A1929" s="2" t="n">
        <v>1928</v>
      </c>
      <c r="B1929" s="2" t="inlineStr">
        <is>
          <t>короткая</t>
        </is>
      </c>
      <c r="C1929" s="2" t="n">
        <v>10245</v>
      </c>
      <c r="D1929" s="3" t="inlineStr">
        <is>
          <t>Жизнь Матвея Кожемякина</t>
        </is>
      </c>
      <c r="E1929" s="2" t="n">
        <v>1968</v>
      </c>
      <c r="F1929" s="2" t="inlineStr">
        <is>
          <t>фильм-спектакль</t>
        </is>
      </c>
      <c r="G1929" s="2" t="inlineStr">
        <is>
          <t>Лентелефильм</t>
        </is>
      </c>
      <c r="H1929" s="2" t="n">
        <v>99</v>
      </c>
      <c r="I1929" s="2" t="inlineStr"/>
      <c r="J1929" s="2" t="inlineStr"/>
      <c r="K1929" s="3" t="inlineStr">
        <is>
          <t>По повести Максима Горького.
Матвей Кожемякин болел, страдал, бунтовал против надвигающейся смерти.</t>
        </is>
      </c>
      <c r="L1929" s="2" t="inlineStr">
        <is>
          <t>https://www.kino-teatr.ru/teatr/movie/14902/annot/</t>
        </is>
      </c>
      <c r="M1929" s="2">
        <f>HYPERLINK("https://ru.wikipedia.org/w/index.php?search=%D0%96%D0%B8%D0%B7%D0%BD%D1%8C%20%D0%9C%D0%B0%D1%82%D0%B2%D0%B5%D1%8F%20%D0%9A%D0%BE%D0%B6%D0%B5%D0%BC%D1%8F%D0%BA%D0%B8%D0%BD%D0%B0%201968%20%D1%84%D0%B8%D0%BB%D1%8C%D0%BC","искать")</f>
        <v/>
      </c>
      <c r="N1929" s="3" t="n"/>
      <c r="O1929" s="2" t="n"/>
    </row>
    <row r="1930">
      <c r="A1930" s="2" t="n">
        <v>1929</v>
      </c>
      <c r="B1930" s="2" t="inlineStr">
        <is>
          <t>короткая</t>
        </is>
      </c>
      <c r="C1930" s="2" t="n">
        <v>9928</v>
      </c>
      <c r="D1930" s="3" t="inlineStr">
        <is>
          <t>Ливень</t>
        </is>
      </c>
      <c r="E1930" s="2" t="n">
        <v>1977</v>
      </c>
      <c r="F1930" s="2" t="inlineStr">
        <is>
          <t>телефильм</t>
        </is>
      </c>
      <c r="G1930" s="2" t="inlineStr">
        <is>
          <t>Одесская к/ст по заказу Гостелерадио СССР</t>
        </is>
      </c>
      <c r="H1930" s="2" t="n">
        <v>100</v>
      </c>
      <c r="I1930" s="2" t="inlineStr"/>
      <c r="J1930" s="2" t="inlineStr"/>
      <c r="K1930" s="3" t="inlineStr">
        <is>
          <t>История о молодом человеке, который разочаровался в девушке, столкнувшись с ее душевной черствостью.</t>
        </is>
      </c>
      <c r="L1930" s="2" t="inlineStr">
        <is>
          <t>https://www.kino-teatr.ru/short/movie/sov/80870/annot/</t>
        </is>
      </c>
      <c r="M1930" s="2">
        <f>HYPERLINK("https://ru.wikipedia.org/w/index.php?search=%D0%9B%D0%B8%D0%B2%D0%B5%D0%BD%D1%8C%201977%20%D1%84%D0%B8%D0%BB%D1%8C%D0%BC","искать")</f>
        <v/>
      </c>
      <c r="N1930" s="3" t="n"/>
      <c r="O1930" s="2" t="n"/>
    </row>
    <row r="1931">
      <c r="A1931" s="2" t="n">
        <v>1930</v>
      </c>
      <c r="B1931" s="2" t="inlineStr">
        <is>
          <t>короткая</t>
        </is>
      </c>
      <c r="C1931" s="2" t="n">
        <v>7689</v>
      </c>
      <c r="D1931" s="3" t="inlineStr">
        <is>
          <t>Искусство нравиться женщинам</t>
        </is>
      </c>
      <c r="E1931" s="2" t="n">
        <v>1988</v>
      </c>
      <c r="F1931" s="2" t="inlineStr">
        <is>
          <t>телефильм</t>
        </is>
      </c>
      <c r="G1931" s="2" t="n"/>
      <c r="H1931" s="2" t="n">
        <v>101</v>
      </c>
      <c r="I1931" s="2" t="inlineStr"/>
      <c r="J1931" s="2" t="inlineStr"/>
      <c r="K1931" s="3" t="inlineStr">
        <is>
          <t>Несколько житейских историй случившихся в одном украинском селе. По мотивам рассказов Евгения Гуцала.</t>
        </is>
      </c>
      <c r="L1931" s="2" t="inlineStr">
        <is>
          <t>Кино_СССР сводный каталог.xlsx: список телефильмов</t>
        </is>
      </c>
      <c r="M1931" s="2">
        <f>HYPERLINK("https://ru.wikipedia.org/w/index.php?search=%D0%98%D1%81%D0%BA%D1%83%D1%81%D1%81%D1%82%D0%B2%D0%BE%20%D0%BD%D1%80%D0%B0%D0%B2%D0%B8%D1%82%D1%8C%D1%81%D1%8F%20%D0%B6%D0%B5%D0%BD%D1%89%D0%B8%D0%BD%D0%B0%D0%BC%201988%20%D1%84%D0%B8%D0%BB%D1%8C%D0%BC","искать")</f>
        <v/>
      </c>
      <c r="N1931" s="3" t="n"/>
      <c r="O1931" s="2" t="n"/>
    </row>
    <row r="1932">
      <c r="A1932" s="2" t="n">
        <v>1931</v>
      </c>
      <c r="B1932" s="2" t="inlineStr">
        <is>
          <t>короткая</t>
        </is>
      </c>
      <c r="C1932" s="2" t="n">
        <v>8746</v>
      </c>
      <c r="D1932" s="3" t="inlineStr">
        <is>
          <t>Излом</t>
        </is>
      </c>
      <c r="E1932" s="2" t="n">
        <v>1931</v>
      </c>
      <c r="F1932" s="2" t="inlineStr">
        <is>
          <t>кинофильм</t>
        </is>
      </c>
      <c r="G1932" s="2" t="n"/>
      <c r="H1932" s="2" t="n">
        <v>101</v>
      </c>
      <c r="I1932" s="2" t="inlineStr"/>
      <c r="J1932" s="2" t="inlineStr"/>
      <c r="K1932" s="3" t="inlineStr">
        <is>
          <t>Перерождение отсталого крымского пастуха-татарина в сознательного участника социалистической стройки.</t>
        </is>
      </c>
      <c r="L1932" s="2" t="inlineStr">
        <is>
          <t>Кино_СССР сводный каталог.xlsx: список фильмов (доп.)</t>
        </is>
      </c>
      <c r="M1932" s="2">
        <f>HYPERLINK("https://ru.wikipedia.org/w/index.php?search=%D0%98%D0%B7%D0%BB%D0%BE%D0%BC%201931%20%D1%84%D0%B8%D0%BB%D1%8C%D0%BC","искать")</f>
        <v/>
      </c>
      <c r="N1932" s="3" t="n"/>
      <c r="O1932" s="2" t="n"/>
    </row>
    <row r="1933">
      <c r="A1933" s="2" t="n">
        <v>1932</v>
      </c>
      <c r="B1933" s="2" t="inlineStr">
        <is>
          <t>короткая</t>
        </is>
      </c>
      <c r="C1933" s="2" t="n">
        <v>9979</v>
      </c>
      <c r="D1933" s="3" t="inlineStr">
        <is>
          <t>Через Босфор и Дарданеллы</t>
        </is>
      </c>
      <c r="E1933" s="2" t="n">
        <v>1981</v>
      </c>
      <c r="F1933" s="2" t="inlineStr">
        <is>
          <t>кинофильм</t>
        </is>
      </c>
      <c r="G1933" s="2" t="inlineStr">
        <is>
          <t>Мосфильм, экспериментальное молодёжное творческое объединение при участии Киностудии имени Горького</t>
        </is>
      </c>
      <c r="H1933" s="2" t="n">
        <v>101</v>
      </c>
      <c r="I1933" s="2" t="inlineStr"/>
      <c r="J1933" s="2" t="inlineStr"/>
      <c r="K1933" s="3" t="inlineStr">
        <is>
          <t>По мотивам рассказов Николая Фёдорова
Два друга – Димка и Мишка задумали отправить бутылочное письмо.</t>
        </is>
      </c>
      <c r="L1933" s="2" t="inlineStr">
        <is>
          <t>https://www.kino-teatr.ru/short/movie/sov/7810/annot/</t>
        </is>
      </c>
      <c r="M1933" s="2">
        <f>HYPERLINK("https://ru.wikipedia.org/w/index.php?search=%D0%A7%D0%B5%D1%80%D0%B5%D0%B7%20%D0%91%D0%BE%D1%81%D1%84%D0%BE%D1%80%20%D0%B8%20%D0%94%D0%B0%D1%80%D0%B4%D0%B0%D0%BD%D0%B5%D0%BB%D0%BB%D1%8B%201981%20%D1%84%D0%B8%D0%BB%D1%8C%D0%BC","искать")</f>
        <v/>
      </c>
      <c r="N1933" s="3" t="n"/>
      <c r="O1933" s="2" t="n"/>
    </row>
    <row r="1934">
      <c r="A1934" s="2" t="n">
        <v>1933</v>
      </c>
      <c r="B1934" s="2" t="inlineStr">
        <is>
          <t>короткая</t>
        </is>
      </c>
      <c r="C1934" s="2" t="n">
        <v>7463</v>
      </c>
      <c r="D1934" s="3" t="inlineStr">
        <is>
          <t>Гран-па</t>
        </is>
      </c>
      <c r="E1934" s="2" t="n">
        <v>1985</v>
      </c>
      <c r="F1934" s="2" t="inlineStr">
        <is>
          <t>телефильм</t>
        </is>
      </c>
      <c r="G1934" s="2" t="inlineStr">
        <is>
          <t>ТО "Экран"</t>
        </is>
      </c>
      <c r="H1934" s="2" t="n">
        <v>102</v>
      </c>
      <c r="I1934" s="2" t="inlineStr"/>
      <c r="J1934" s="2" t="inlineStr"/>
      <c r="K1934" s="3" t="inlineStr">
        <is>
          <t>Оставшись в блокадном Ленинграде, бывшая балерина Елизавета Тропинина вспоминает свой творческий путь.</t>
        </is>
      </c>
      <c r="L1934" s="2" t="inlineStr">
        <is>
          <t>Кино_СССР сводный каталог.xlsx: список телефильмов</t>
        </is>
      </c>
      <c r="M1934" s="2">
        <f>HYPERLINK("https://ru.wikipedia.org/w/index.php?search=%D0%93%D1%80%D0%B0%D0%BD-%D0%BF%D0%B0%201985%20%D1%84%D0%B8%D0%BB%D1%8C%D0%BC","искать")</f>
        <v/>
      </c>
      <c r="N1934" s="3" t="n"/>
      <c r="O1934" s="2" t="n"/>
    </row>
    <row r="1935">
      <c r="A1935" s="2" t="n">
        <v>1934</v>
      </c>
      <c r="B1935" s="2" t="inlineStr">
        <is>
          <t>короткая</t>
        </is>
      </c>
      <c r="C1935" s="2" t="n">
        <v>8152</v>
      </c>
      <c r="D1935" s="3" t="inlineStr">
        <is>
          <t>Пока не выпал снег</t>
        </is>
      </c>
      <c r="E1935" s="2" t="n">
        <v>1984</v>
      </c>
      <c r="F1935" s="2" t="inlineStr">
        <is>
          <t>телефильм</t>
        </is>
      </c>
      <c r="G1935" s="2" t="n"/>
      <c r="H1935" s="2" t="n">
        <v>102</v>
      </c>
      <c r="I1935" s="2" t="inlineStr"/>
      <c r="J1935" s="2" t="inlineStr"/>
      <c r="K1935" s="3" t="inlineStr">
        <is>
          <t>Готовясь к встрече бывших одноклассников, героиня фильма вспоминает школьные годы, свою первую любовь.</t>
        </is>
      </c>
      <c r="L1935" s="2" t="inlineStr">
        <is>
          <t>Кино_СССР сводный каталог.xlsx: список телефильмов</t>
        </is>
      </c>
      <c r="M1935" s="2">
        <f>HYPERLINK("https://ru.wikipedia.org/w/index.php?search=%D0%9F%D0%BE%D0%BA%D0%B0%20%D0%BD%D0%B5%20%D0%B2%D1%8B%D0%BF%D0%B0%D0%BB%20%D1%81%D0%BD%D0%B5%D0%B3%201984%20%D1%84%D0%B8%D0%BB%D1%8C%D0%BC","искать")</f>
        <v/>
      </c>
      <c r="N1935" s="3" t="n"/>
      <c r="O1935" s="2" t="n"/>
    </row>
    <row r="1936">
      <c r="A1936" s="2" t="n">
        <v>1935</v>
      </c>
      <c r="B1936" s="2" t="inlineStr">
        <is>
          <t>короткая</t>
        </is>
      </c>
      <c r="C1936" s="2" t="n">
        <v>9792</v>
      </c>
      <c r="D1936" s="3" t="inlineStr">
        <is>
          <t>Слуша-ай!..</t>
        </is>
      </c>
      <c r="E1936" s="2" t="n">
        <v>1963</v>
      </c>
      <c r="F1936" s="2" t="inlineStr">
        <is>
          <t>телефильм</t>
        </is>
      </c>
      <c r="G1936" s="2" t="inlineStr">
        <is>
          <t>Мосфильм</t>
        </is>
      </c>
      <c r="H1936" s="2" t="n">
        <v>102</v>
      </c>
      <c r="I1936" s="2" t="inlineStr"/>
      <c r="J1936" s="2" t="inlineStr"/>
      <c r="K1936" s="3" t="inlineStr">
        <is>
          <t>Телефильм по мотивам рассказов Юрия Германа.
О начале революционной деятельности Феликса Дзержинского.</t>
        </is>
      </c>
      <c r="L1936" s="2" t="inlineStr">
        <is>
          <t>https://www.kino-teatr.ru/kino/movie/sov/6545/annot/</t>
        </is>
      </c>
      <c r="M1936" s="2">
        <f>HYPERLINK("https://ru.wikipedia.org/w/index.php?search=%D0%A1%D0%BB%D1%83%D1%88%D0%B0-%D0%B0%D0%B9%21..%201963%20%D1%84%D0%B8%D0%BB%D1%8C%D0%BC","искать")</f>
        <v/>
      </c>
      <c r="N1936" s="3" t="n"/>
      <c r="O1936" s="2" t="n"/>
    </row>
    <row r="1937">
      <c r="A1937" s="2" t="n">
        <v>1936</v>
      </c>
      <c r="B1937" s="2" t="inlineStr">
        <is>
          <t>короткая</t>
        </is>
      </c>
      <c r="C1937" s="2" t="n">
        <v>10057</v>
      </c>
      <c r="D1937" s="3" t="inlineStr">
        <is>
          <t>Трасса</t>
        </is>
      </c>
      <c r="E1937" s="2" t="n">
        <v>1991</v>
      </c>
      <c r="F1937" s="2" t="inlineStr">
        <is>
          <t>телефильм</t>
        </is>
      </c>
      <c r="G1937" s="2" t="inlineStr">
        <is>
          <t>Грузтелефильм</t>
        </is>
      </c>
      <c r="H1937" s="2" t="n">
        <v>102</v>
      </c>
      <c r="I1937" s="2" t="inlineStr"/>
      <c r="J1937" s="2" t="inlineStr"/>
      <c r="K1937" s="3" t="inlineStr">
        <is>
          <t>Фильм показывает, как у городских пацанов развивается мужской характер, и как в них побеждает доброта.</t>
        </is>
      </c>
      <c r="L1937" s="2" t="inlineStr">
        <is>
          <t>https://www.kino-teatr.ru/short/movie/sov/86720/annot/</t>
        </is>
      </c>
      <c r="M1937" s="2">
        <f>HYPERLINK("https://ru.wikipedia.org/w/index.php?search=%D0%A2%D1%80%D0%B0%D1%81%D1%81%D0%B0%201991%20%D1%84%D0%B8%D0%BB%D1%8C%D0%BC","искать")</f>
        <v/>
      </c>
      <c r="N1937" s="3" t="n"/>
      <c r="O1937" s="2" t="n"/>
    </row>
    <row r="1938">
      <c r="A1938" s="2" t="n">
        <v>1937</v>
      </c>
      <c r="B1938" s="2" t="inlineStr">
        <is>
          <t>короткая</t>
        </is>
      </c>
      <c r="C1938" s="2" t="n">
        <v>9142</v>
      </c>
      <c r="D1938" s="3" t="inlineStr">
        <is>
          <t>Хамелеон</t>
        </is>
      </c>
      <c r="E1938" s="2" t="n">
        <v>1930</v>
      </c>
      <c r="F1938" s="2" t="inlineStr">
        <is>
          <t>кинофильм</t>
        </is>
      </c>
      <c r="G1938" s="2" t="n"/>
      <c r="H1938" s="2" t="n">
        <v>103</v>
      </c>
      <c r="I1938" s="2" t="inlineStr"/>
      <c r="J1938" s="2" t="inlineStr"/>
      <c r="K1938" s="3" t="inlineStr">
        <is>
          <t>О нэпмане, пытающемся приспособиться к условиям новой действительности. Копия фильма в ГФФ не хранится.</t>
        </is>
      </c>
      <c r="L1938" s="2" t="inlineStr">
        <is>
          <t>Кино_СССР сводный каталог.xlsx: список фильмов (доп.)</t>
        </is>
      </c>
      <c r="M1938" s="2">
        <f>HYPERLINK("https://ru.wikipedia.org/w/index.php?search=%D0%A5%D0%B0%D0%BC%D0%B5%D0%BB%D0%B5%D0%BE%D0%BD%201930%20%D1%84%D0%B8%D0%BB%D1%8C%D0%BC","искать")</f>
        <v/>
      </c>
      <c r="N1938" s="3" t="n"/>
      <c r="O1938" s="2" t="n"/>
    </row>
    <row r="1939">
      <c r="A1939" s="2" t="n">
        <v>1938</v>
      </c>
      <c r="B1939" s="2" t="inlineStr">
        <is>
          <t>короткая</t>
        </is>
      </c>
      <c r="C1939" s="2" t="n">
        <v>9774</v>
      </c>
      <c r="D1939" s="3" t="inlineStr">
        <is>
          <t>Шурави</t>
        </is>
      </c>
      <c r="E1939" s="2" t="n">
        <v>1988</v>
      </c>
      <c r="F1939" s="2" t="inlineStr">
        <is>
          <t>кинофильм</t>
        </is>
      </c>
      <c r="G1939" s="2" t="n"/>
      <c r="H1939" s="2" t="n">
        <v>103</v>
      </c>
      <c r="I1939" s="2" t="inlineStr"/>
      <c r="J1939" s="2" t="inlineStr"/>
      <c r="K1939" s="3" t="inlineStr">
        <is>
          <t>Фильм рассказывает о российском солдате, попавшем в плен к афганским душманам, и о его успешном побеге.</t>
        </is>
      </c>
      <c r="L1939" s="2" t="inlineStr">
        <is>
          <t>Кино_СССР сводный каталог.xlsx: список фильмов (доп.)</t>
        </is>
      </c>
      <c r="M1939" s="2">
        <f>HYPERLINK("https://ru.wikipedia.org/w/index.php?search=%D0%A8%D1%83%D1%80%D0%B0%D0%B2%D0%B8%201988%20%D1%84%D0%B8%D0%BB%D1%8C%D0%BC","искать")</f>
        <v/>
      </c>
      <c r="N1939" s="3" t="n"/>
      <c r="O1939" s="2" t="n"/>
    </row>
    <row r="1940">
      <c r="A1940" s="2" t="n">
        <v>1939</v>
      </c>
      <c r="B1940" s="2" t="inlineStr">
        <is>
          <t>короткая</t>
        </is>
      </c>
      <c r="C1940" s="2" t="n">
        <v>9828</v>
      </c>
      <c r="D1940" s="3" t="inlineStr">
        <is>
          <t>Мимино</t>
        </is>
      </c>
      <c r="E1940" s="2" t="n">
        <v>1965</v>
      </c>
      <c r="F1940" s="2" t="inlineStr">
        <is>
          <t>кинофильм</t>
        </is>
      </c>
      <c r="G1940" s="2" t="inlineStr">
        <is>
          <t>Грузия-фильм</t>
        </is>
      </c>
      <c r="H1940" s="2" t="n">
        <v>103</v>
      </c>
      <c r="I1940" s="2" t="inlineStr"/>
      <c r="J1940" s="2" t="inlineStr"/>
      <c r="K1940" s="3" t="inlineStr">
        <is>
          <t>მიმინო
Маленький мальчик поймал сокола и дрессирует его для охоты. Но сокол предпочёл свободу и улетел.</t>
        </is>
      </c>
      <c r="L1940" s="2" t="inlineStr">
        <is>
          <t>https://www.kino-teatr.ru/short/movie/sov/16600/annot/</t>
        </is>
      </c>
      <c r="M1940" s="2">
        <f>HYPERLINK("https://ru.wikipedia.org/w/index.php?search=%D0%9C%D0%B8%D0%BC%D0%B8%D0%BD%D0%BE%201965%20%D1%84%D0%B8%D0%BB%D1%8C%D0%BC","искать")</f>
        <v/>
      </c>
      <c r="N1940" s="3" t="n"/>
      <c r="O1940" s="2" t="n"/>
    </row>
    <row r="1941">
      <c r="A1941" s="2" t="n">
        <v>1940</v>
      </c>
      <c r="B1941" s="2" t="inlineStr">
        <is>
          <t>короткая</t>
        </is>
      </c>
      <c r="C1941" s="2" t="n">
        <v>9068</v>
      </c>
      <c r="D1941" s="3" t="inlineStr">
        <is>
          <t>Старики</t>
        </is>
      </c>
      <c r="E1941" s="2" t="n">
        <v>1974</v>
      </c>
      <c r="F1941" s="2" t="inlineStr">
        <is>
          <t>кинофильм</t>
        </is>
      </c>
      <c r="G1941" s="2" t="n"/>
      <c r="H1941" s="2" t="n">
        <v>104</v>
      </c>
      <c r="I1941" s="2" t="inlineStr"/>
      <c r="J1941" s="2" t="inlineStr"/>
      <c r="K1941" s="3" t="inlineStr">
        <is>
          <t>По мотивам рассказа Г.Чиковани "Лестница". О стариках грузинского села, организовавших хор долгожителей.</t>
        </is>
      </c>
      <c r="L1941" s="2" t="inlineStr">
        <is>
          <t>Кино_СССР сводный каталог.xlsx: список фильмов (доп.)</t>
        </is>
      </c>
      <c r="M1941" s="2">
        <f>HYPERLINK("https://ru.wikipedia.org/w/index.php?search=%D0%A1%D1%82%D0%B0%D1%80%D0%B8%D0%BA%D0%B8%201974%20%D1%84%D0%B8%D0%BB%D1%8C%D0%BC","искать")</f>
        <v/>
      </c>
      <c r="N1941" s="3" t="n"/>
      <c r="O1941" s="2" t="n"/>
    </row>
    <row r="1942">
      <c r="A1942" s="2" t="n">
        <v>1941</v>
      </c>
      <c r="B1942" s="2" t="inlineStr">
        <is>
          <t>короткая</t>
        </is>
      </c>
      <c r="C1942" s="2" t="n">
        <v>9900</v>
      </c>
      <c r="D1942" s="3" t="inlineStr">
        <is>
          <t>Где это видано, где это слыхано</t>
        </is>
      </c>
      <c r="E1942" s="2" t="n">
        <v>1973</v>
      </c>
      <c r="F1942" s="2" t="inlineStr">
        <is>
          <t>телефильм</t>
        </is>
      </c>
      <c r="G1942" s="2" t="inlineStr">
        <is>
          <t>Ленфильм</t>
        </is>
      </c>
      <c r="H1942" s="2" t="n">
        <v>104</v>
      </c>
      <c r="I1942" s="2" t="inlineStr"/>
      <c r="J1942" s="2" t="inlineStr"/>
      <c r="K1942" s="3" t="inlineStr">
        <is>
          <t>Телефильм. Смешная история артистического дебюта героя рассказов Виктора Драгунского - Дениса Кораблева.</t>
        </is>
      </c>
      <c r="L1942" s="2" t="inlineStr">
        <is>
          <t>https://www.kino-teatr.ru/short/movie/sov/1345/annot/</t>
        </is>
      </c>
      <c r="M1942" s="2">
        <f>HYPERLINK("https://ru.wikipedia.org/w/index.php?search=%D0%93%D0%B4%D0%B5%20%D1%8D%D1%82%D0%BE%20%D0%B2%D0%B8%D0%B4%D0%B0%D0%BD%D0%BE%2C%20%D0%B3%D0%B4%D0%B5%20%D1%8D%D1%82%D0%BE%20%D1%81%D0%BB%D1%8B%D1%85%D0%B0%D0%BD%D0%BE%201973%20%D1%84%D0%B8%D0%BB%D1%8C%D0%BC","искать")</f>
        <v/>
      </c>
      <c r="N1942" s="3" t="n"/>
      <c r="O1942" s="2" t="n"/>
    </row>
    <row r="1943">
      <c r="A1943" s="2" t="n">
        <v>1942</v>
      </c>
      <c r="B1943" s="2" t="inlineStr">
        <is>
          <t>короткая</t>
        </is>
      </c>
      <c r="C1943" s="2" t="n">
        <v>8090</v>
      </c>
      <c r="D1943" s="3" t="inlineStr">
        <is>
          <t>Первый парень</t>
        </is>
      </c>
      <c r="E1943" s="2" t="n">
        <v>1986</v>
      </c>
      <c r="F1943" s="2" t="inlineStr">
        <is>
          <t>телефильм</t>
        </is>
      </c>
      <c r="G1943" s="2" t="inlineStr">
        <is>
          <t>Мосфильм</t>
        </is>
      </c>
      <c r="H1943" s="2" t="n">
        <v>106</v>
      </c>
      <c r="I1943" s="2" t="inlineStr"/>
      <c r="J1943" s="2" t="inlineStr"/>
      <c r="K1943" s="3" t="inlineStr">
        <is>
          <t>Молодой агроном Виктор оставляет преуспевающий совхоз, чтобы возглавить отстающий колхоз в родной деревне.</t>
        </is>
      </c>
      <c r="L1943" s="2" t="inlineStr">
        <is>
          <t>Кино_СССР сводный каталог.xlsx: список телефильмов</t>
        </is>
      </c>
      <c r="M1943" s="2">
        <f>HYPERLINK("https://ru.wikipedia.org/w/index.php?search=%D0%9F%D0%B5%D1%80%D0%B2%D1%8B%D0%B9%20%D0%BF%D0%B0%D1%80%D0%B5%D0%BD%D1%8C%201986%20%D1%84%D0%B8%D0%BB%D1%8C%D0%BC","искать")</f>
        <v/>
      </c>
      <c r="N1943" s="3" t="n"/>
      <c r="O1943" s="2" t="n"/>
    </row>
    <row r="1944">
      <c r="A1944" s="2" t="n">
        <v>1943</v>
      </c>
      <c r="B1944" s="2" t="inlineStr">
        <is>
          <t>короткая</t>
        </is>
      </c>
      <c r="C1944" s="2" t="n">
        <v>8426</v>
      </c>
      <c r="D1944" s="3" t="inlineStr">
        <is>
          <t>Тадас Блинда</t>
        </is>
      </c>
      <c r="E1944" s="2" t="n">
        <v>1972</v>
      </c>
      <c r="F1944" s="2" t="inlineStr">
        <is>
          <t>телефильм</t>
        </is>
      </c>
      <c r="G1944" s="2" t="n"/>
      <c r="H1944" s="2" t="n">
        <v>106</v>
      </c>
      <c r="I1944" s="2" t="inlineStr"/>
      <c r="J1944" s="2" t="inlineStr"/>
      <c r="K1944" s="3" t="inlineStr">
        <is>
          <t>Телесериал. Легенда о знаменитом разбойнике, литовском Робин Гуде, убитом в 1877 году царскими жандармами.</t>
        </is>
      </c>
      <c r="L1944" s="2" t="inlineStr">
        <is>
          <t>Кино_СССР сводный каталог.xlsx: список телефильмов</t>
        </is>
      </c>
      <c r="M1944" s="2">
        <f>HYPERLINK("https://ru.wikipedia.org/w/index.php?search=%D0%A2%D0%B0%D0%B4%D0%B0%D1%81%20%D0%91%D0%BB%D0%B8%D0%BD%D0%B4%D0%B0%201972%20%D1%84%D0%B8%D0%BB%D1%8C%D0%BC","искать")</f>
        <v/>
      </c>
      <c r="N1944" s="3" t="n"/>
      <c r="O1944" s="2" t="n"/>
    </row>
    <row r="1945">
      <c r="A1945" s="2" t="n">
        <v>1944</v>
      </c>
      <c r="B1945" s="2" t="inlineStr">
        <is>
          <t>короткая</t>
        </is>
      </c>
      <c r="C1945" s="2" t="n">
        <v>9062</v>
      </c>
      <c r="D1945" s="3" t="inlineStr">
        <is>
          <t>Спасибо за ключ</t>
        </is>
      </c>
      <c r="E1945" s="2" t="n">
        <v>1969</v>
      </c>
      <c r="F1945" s="2" t="inlineStr">
        <is>
          <t>кинофильм</t>
        </is>
      </c>
      <c r="G1945" s="2" t="n"/>
      <c r="H1945" s="2" t="n">
        <v>106</v>
      </c>
      <c r="I1945" s="2" t="inlineStr"/>
      <c r="J1945" s="2" t="inlineStr"/>
      <c r="K1945" s="3" t="inlineStr">
        <is>
          <t>Хозяйка квартиры, уходя из дома, прячет ключ под ковриком. Беспечностью девушки пользуется квартирный вор.</t>
        </is>
      </c>
      <c r="L1945" s="2" t="inlineStr">
        <is>
          <t>Кино_СССР сводный каталог.xlsx: список фильмов (доп.)</t>
        </is>
      </c>
      <c r="M1945" s="2">
        <f>HYPERLINK("https://ru.wikipedia.org/w/index.php?search=%D0%A1%D0%BF%D0%B0%D1%81%D0%B8%D0%B1%D0%BE%20%D0%B7%D0%B0%20%D0%BA%D0%BB%D1%8E%D1%87%201969%20%D1%84%D0%B8%D0%BB%D1%8C%D0%BC","искать")</f>
        <v/>
      </c>
      <c r="N1945" s="3" t="n"/>
      <c r="O1945" s="2" t="n"/>
    </row>
    <row r="1946">
      <c r="A1946" s="2" t="n">
        <v>1945</v>
      </c>
      <c r="B1946" s="2" t="inlineStr">
        <is>
          <t>короткая</t>
        </is>
      </c>
      <c r="C1946" s="2" t="n">
        <v>9336</v>
      </c>
      <c r="D1946" s="3" t="inlineStr">
        <is>
          <t>Дикое поле</t>
        </is>
      </c>
      <c r="E1946" s="2" t="n">
        <v>1991</v>
      </c>
      <c r="F1946" s="2" t="inlineStr">
        <is>
          <t>кинофильм</t>
        </is>
      </c>
      <c r="G1946" s="2" t="n"/>
      <c r="H1946" s="2" t="n">
        <v>106</v>
      </c>
      <c r="I1946" s="2" t="inlineStr"/>
      <c r="J1946" s="2" t="inlineStr"/>
      <c r="K1946" s="3" t="inlineStr">
        <is>
          <t>1540 год. Немногочисленный отряд казаков вступает в битву с турками, совершающими набеги на их территорию.</t>
        </is>
      </c>
      <c r="L1946" s="2" t="inlineStr">
        <is>
          <t>Кино_СССР сводный каталог.xlsx: список фильмов (доп.)</t>
        </is>
      </c>
      <c r="M1946" s="2">
        <f>HYPERLINK("https://ru.wikipedia.org/w/index.php?search=%D0%94%D0%B8%D0%BA%D0%BE%D0%B5%20%D0%BF%D0%BE%D0%BB%D0%B5%201991%20%D1%84%D0%B8%D0%BB%D1%8C%D0%BC","искать")</f>
        <v/>
      </c>
      <c r="N1946" s="3" t="n"/>
      <c r="O1946" s="2" t="n"/>
    </row>
    <row r="1947">
      <c r="A1947" s="2" t="n">
        <v>1946</v>
      </c>
      <c r="B1947" s="2" t="inlineStr">
        <is>
          <t>короткая</t>
        </is>
      </c>
      <c r="C1947" s="2" t="n">
        <v>9925</v>
      </c>
      <c r="D1947" s="3" t="inlineStr">
        <is>
          <t>Когда матерей нет дома</t>
        </is>
      </c>
      <c r="E1947" s="2" t="n">
        <v>1977</v>
      </c>
      <c r="F1947" s="2" t="inlineStr">
        <is>
          <t>телефильм</t>
        </is>
      </c>
      <c r="G1947" s="2" t="inlineStr">
        <is>
          <t>Грузия-фильм</t>
        </is>
      </c>
      <c r="H1947" s="2" t="n">
        <v>106</v>
      </c>
      <c r="I1947" s="2" t="inlineStr"/>
      <c r="J1947" s="2" t="inlineStr"/>
      <c r="K1947" s="3" t="inlineStr">
        <is>
          <t>Телефильм о том, что может произойти с папами и сыновьями, когда мамы уезжают сдавать экзамены в институт.</t>
        </is>
      </c>
      <c r="L1947" s="2" t="inlineStr">
        <is>
          <t>https://www.kino-teatr.ru/short/movie/sov/84592/annot/</t>
        </is>
      </c>
      <c r="M1947" s="2">
        <f>HYPERLINK("https://ru.wikipedia.org/w/index.php?search=%D0%9A%D0%BE%D0%B3%D0%B4%D0%B0%20%D0%BC%D0%B0%D1%82%D0%B5%D1%80%D0%B5%D0%B9%20%D0%BD%D0%B5%D1%82%20%D0%B4%D0%BE%D0%BC%D0%B0%201977%20%D1%84%D0%B8%D0%BB%D1%8C%D0%BC","искать")</f>
        <v/>
      </c>
      <c r="N1947" s="3" t="n"/>
      <c r="O1947" s="2" t="n"/>
    </row>
    <row r="1948">
      <c r="A1948" s="2" t="n">
        <v>1947</v>
      </c>
      <c r="B1948" s="2" t="inlineStr">
        <is>
          <t>короткая</t>
        </is>
      </c>
      <c r="C1948" s="2" t="n">
        <v>8116</v>
      </c>
      <c r="D1948" s="3" t="inlineStr">
        <is>
          <t>Племянник</t>
        </is>
      </c>
      <c r="E1948" s="2" t="n">
        <v>1983</v>
      </c>
      <c r="F1948" s="2" t="inlineStr">
        <is>
          <t>телефильм</t>
        </is>
      </c>
      <c r="G1948" s="2" t="n"/>
      <c r="H1948" s="2" t="n">
        <v>107</v>
      </c>
      <c r="I1948" s="2" t="inlineStr"/>
      <c r="J1948" s="2" t="inlineStr"/>
      <c r="K1948" s="3" t="inlineStr">
        <is>
          <t>Телефильм. Одинокая женщина неожиданно видит по телевизору своего племянника, потерявшегося во время войны.</t>
        </is>
      </c>
      <c r="L1948" s="2" t="inlineStr">
        <is>
          <t>Кино_СССР сводный каталог.xlsx: список телефильмов</t>
        </is>
      </c>
      <c r="M1948" s="2">
        <f>HYPERLINK("https://ru.wikipedia.org/w/index.php?search=%D0%9F%D0%BB%D0%B5%D0%BC%D1%8F%D0%BD%D0%BD%D0%B8%D0%BA%201983%20%D1%84%D0%B8%D0%BB%D1%8C%D0%BC","искать")</f>
        <v/>
      </c>
      <c r="N1948" s="3" t="n"/>
      <c r="O1948" s="2" t="n"/>
    </row>
    <row r="1949">
      <c r="A1949" s="2" t="n">
        <v>1948</v>
      </c>
      <c r="B1949" s="2" t="inlineStr">
        <is>
          <t>короткая</t>
        </is>
      </c>
      <c r="C1949" s="2" t="n">
        <v>9103</v>
      </c>
      <c r="D1949" s="3" t="inlineStr">
        <is>
          <t>Тихий Джон</t>
        </is>
      </c>
      <c r="E1949" s="2" t="n">
        <v>1991</v>
      </c>
      <c r="F1949" s="2" t="inlineStr">
        <is>
          <t>кинофильм</t>
        </is>
      </c>
      <c r="G1949" s="2" t="n"/>
      <c r="H1949" s="2" t="n">
        <v>107</v>
      </c>
      <c r="I1949" s="2" t="inlineStr"/>
      <c r="J1949" s="2" t="inlineStr"/>
      <c r="K1949" s="3" t="inlineStr">
        <is>
          <t>О приключениях бывшего заключенного Тихого Джона, который помогает другу и завязывает с преступным прошлым.</t>
        </is>
      </c>
      <c r="L1949" s="2" t="inlineStr">
        <is>
          <t>Кино_СССР сводный каталог.xlsx: список фильмов (доп.)</t>
        </is>
      </c>
      <c r="M1949" s="2">
        <f>HYPERLINK("https://ru.wikipedia.org/w/index.php?search=%D0%A2%D0%B8%D1%85%D0%B8%D0%B9%20%D0%94%D0%B6%D0%BE%D0%BD%201991%20%D1%84%D0%B8%D0%BB%D1%8C%D0%BC","искать")</f>
        <v/>
      </c>
      <c r="N1949" s="3" t="n"/>
      <c r="O1949" s="2" t="n"/>
    </row>
    <row r="1950">
      <c r="A1950" s="2" t="n">
        <v>1949</v>
      </c>
      <c r="B1950" s="2" t="inlineStr">
        <is>
          <t>короткая</t>
        </is>
      </c>
      <c r="C1950" s="2" t="n">
        <v>9907</v>
      </c>
      <c r="D1950" s="3" t="inlineStr">
        <is>
          <t>Лягушка и эдельвейс</t>
        </is>
      </c>
      <c r="E1950" s="2" t="n">
        <v>1973</v>
      </c>
      <c r="F1950" s="2" t="inlineStr">
        <is>
          <t>телефильм</t>
        </is>
      </c>
      <c r="G1950" s="2" t="inlineStr">
        <is>
          <t>Казахтелефильм</t>
        </is>
      </c>
      <c r="H1950" s="2" t="n">
        <v>107</v>
      </c>
      <c r="I1950" s="2" t="inlineStr"/>
      <c r="J1950" s="2" t="inlineStr"/>
      <c r="K1950" s="3" t="inlineStr">
        <is>
          <t>О том, как семиклассник Марат, приехавший в аул из города, постепенно завоевывает уважение новых товарищей.</t>
        </is>
      </c>
      <c r="L1950" s="2" t="inlineStr">
        <is>
          <t>https://www.kino-teatr.ru/short/movie/sov/92669/annot/</t>
        </is>
      </c>
      <c r="M1950" s="2">
        <f>HYPERLINK("https://ru.wikipedia.org/w/index.php?search=%D0%9B%D1%8F%D0%B3%D1%83%D1%88%D0%BA%D0%B0%20%D0%B8%20%D1%8D%D0%B4%D0%B5%D0%BB%D1%8C%D0%B2%D0%B5%D0%B9%D1%81%201973%20%D1%84%D0%B8%D0%BB%D1%8C%D0%BC","искать")</f>
        <v/>
      </c>
      <c r="N1950" s="3" t="n"/>
      <c r="O1950" s="2" t="n"/>
    </row>
    <row r="1951">
      <c r="A1951" s="2" t="n">
        <v>1950</v>
      </c>
      <c r="B1951" s="2" t="inlineStr">
        <is>
          <t>короткая</t>
        </is>
      </c>
      <c r="C1951" s="2" t="n">
        <v>7380</v>
      </c>
      <c r="D1951" s="3" t="inlineStr">
        <is>
          <t>Вот моя деревня</t>
        </is>
      </c>
      <c r="E1951" s="2" t="n">
        <v>1972</v>
      </c>
      <c r="F1951" s="2" t="inlineStr">
        <is>
          <t>телефильм</t>
        </is>
      </c>
      <c r="G1951" s="2" t="n"/>
      <c r="H1951" s="2" t="n">
        <v>108</v>
      </c>
      <c r="I1951" s="2" t="inlineStr"/>
      <c r="J1951" s="2" t="inlineStr"/>
      <c r="K1951" s="3" t="inlineStr">
        <is>
          <t>О деревенских ребятах, которые, увлекшись игрой в детективы, узнали много интересного о своих односельчанах.</t>
        </is>
      </c>
      <c r="L1951" s="2" t="inlineStr">
        <is>
          <t>Кино_СССР сводный каталог.xlsx: список телефильмов</t>
        </is>
      </c>
      <c r="M1951" s="2">
        <f>HYPERLINK("https://ru.wikipedia.org/w/index.php?search=%D0%92%D0%BE%D1%82%20%D0%BC%D0%BE%D1%8F%20%D0%B4%D0%B5%D1%80%D0%B5%D0%B2%D0%BD%D1%8F%201972%20%D1%84%D0%B8%D0%BB%D1%8C%D0%BC","искать")</f>
        <v/>
      </c>
      <c r="N1951" s="3" t="n"/>
      <c r="O1951" s="2" t="n"/>
    </row>
    <row r="1952">
      <c r="A1952" s="2" t="n">
        <v>1951</v>
      </c>
      <c r="B1952" s="2" t="inlineStr">
        <is>
          <t>короткая</t>
        </is>
      </c>
      <c r="C1952" s="2" t="n">
        <v>7862</v>
      </c>
      <c r="D1952" s="3" t="inlineStr">
        <is>
          <t>Меланхолический вальс</t>
        </is>
      </c>
      <c r="E1952" s="2" t="n">
        <v>1990</v>
      </c>
      <c r="F1952" s="2" t="inlineStr">
        <is>
          <t>телефильм</t>
        </is>
      </c>
      <c r="G1952" s="2" t="n"/>
      <c r="H1952" s="2" t="n">
        <v>109</v>
      </c>
      <c r="I1952" s="2" t="inlineStr"/>
      <c r="J1952" s="2" t="inlineStr"/>
      <c r="K1952" s="3" t="inlineStr">
        <is>
          <t>По мотивам рассказов Ольги Кобылянской. Драматическая история трех сестер, решивших посвятить себя искусству.</t>
        </is>
      </c>
      <c r="L1952" s="2" t="inlineStr">
        <is>
          <t>Кино_СССР сводный каталог.xlsx: список телефильмов</t>
        </is>
      </c>
      <c r="M1952" s="2">
        <f>HYPERLINK("https://ru.wikipedia.org/w/index.php?search=%D0%9C%D0%B5%D0%BB%D0%B0%D0%BD%D1%85%D0%BE%D0%BB%D0%B8%D1%87%D0%B5%D1%81%D0%BA%D0%B8%D0%B9%20%D0%B2%D0%B0%D0%BB%D1%8C%D1%81%201990%20%D1%84%D0%B8%D0%BB%D1%8C%D0%BC","искать")</f>
        <v/>
      </c>
      <c r="N1952" s="3" t="n"/>
      <c r="O1952" s="2" t="n"/>
    </row>
    <row r="1953">
      <c r="A1953" s="2" t="n">
        <v>1952</v>
      </c>
      <c r="B1953" s="2" t="inlineStr">
        <is>
          <t>короткая</t>
        </is>
      </c>
      <c r="C1953" s="2" t="n">
        <v>7945</v>
      </c>
      <c r="D1953" s="3" t="inlineStr">
        <is>
          <t>Найти любимую</t>
        </is>
      </c>
      <c r="E1953" s="2" t="n">
        <v>1978</v>
      </c>
      <c r="F1953" s="2" t="inlineStr">
        <is>
          <t>телефильм</t>
        </is>
      </c>
      <c r="G1953" s="2" t="n"/>
      <c r="H1953" s="2" t="n">
        <v>110</v>
      </c>
      <c r="I1953" s="2" t="inlineStr"/>
      <c r="J1953" s="2" t="inlineStr"/>
      <c r="K1953" s="3" t="inlineStr">
        <is>
          <t>О юноше, работающем в железнодорожном депо и под влиянием своих наставников решившим стать учеником машиниста.</t>
        </is>
      </c>
      <c r="L1953" s="2" t="inlineStr">
        <is>
          <t>Кино_СССР сводный каталог.xlsx: список телефильмов</t>
        </is>
      </c>
      <c r="M1953" s="2">
        <f>HYPERLINK("https://ru.wikipedia.org/w/index.php?search=%D0%9D%D0%B0%D0%B9%D1%82%D0%B8%20%D0%BB%D1%8E%D0%B1%D0%B8%D0%BC%D1%83%D1%8E%201978%20%D1%84%D0%B8%D0%BB%D1%8C%D0%BC","искать")</f>
        <v/>
      </c>
      <c r="N1953" s="3" t="n"/>
      <c r="O1953" s="2" t="n"/>
    </row>
    <row r="1954">
      <c r="A1954" s="2" t="n">
        <v>1953</v>
      </c>
      <c r="B1954" s="2" t="inlineStr">
        <is>
          <t>короткая</t>
        </is>
      </c>
      <c r="C1954" s="2" t="n">
        <v>8692</v>
      </c>
      <c r="D1954" s="3" t="inlineStr">
        <is>
          <t>Дальше полёта стрелы</t>
        </is>
      </c>
      <c r="E1954" s="2" t="n">
        <v>1990</v>
      </c>
      <c r="F1954" s="2" t="inlineStr">
        <is>
          <t>кинофильм</t>
        </is>
      </c>
      <c r="G1954" s="2" t="n"/>
      <c r="H1954" s="2" t="n">
        <v>110</v>
      </c>
      <c r="I1954" s="2" t="inlineStr"/>
      <c r="J1954" s="2" t="inlineStr"/>
      <c r="K1954" s="3" t="inlineStr">
        <is>
          <t>Трагическая история молодого журналиста, который довольно часто в своей жизни идет против собственной совести.</t>
        </is>
      </c>
      <c r="L1954" s="2" t="inlineStr">
        <is>
          <t>Кино_СССР сводный каталог.xlsx: список фильмов (доп.)</t>
        </is>
      </c>
      <c r="M1954" s="2">
        <f>HYPERLINK("https://ru.wikipedia.org/w/index.php?search=%D0%94%D0%B0%D0%BB%D1%8C%D1%88%D0%B5%20%D0%BF%D0%BE%D0%BB%D1%91%D1%82%D0%B0%20%D1%81%D1%82%D1%80%D0%B5%D0%BB%D1%8B%201990%20%D1%84%D0%B8%D0%BB%D1%8C%D0%BC","искать")</f>
        <v/>
      </c>
      <c r="N1954" s="3" t="n"/>
      <c r="O1954" s="2" t="n"/>
    </row>
    <row r="1955">
      <c r="A1955" s="2" t="n">
        <v>1954</v>
      </c>
      <c r="B1955" s="2" t="inlineStr">
        <is>
          <t>короткая</t>
        </is>
      </c>
      <c r="C1955" s="2" t="n">
        <v>9096</v>
      </c>
      <c r="D1955" s="3" t="inlineStr">
        <is>
          <t>Твой выбор</t>
        </is>
      </c>
      <c r="E1955" s="2" t="n">
        <v>1985</v>
      </c>
      <c r="F1955" s="2" t="inlineStr">
        <is>
          <t>кинофильм</t>
        </is>
      </c>
      <c r="G1955" s="2" t="n"/>
      <c r="H1955" s="2" t="n">
        <v>110</v>
      </c>
      <c r="I1955" s="2" t="inlineStr"/>
      <c r="J1955" s="2" t="inlineStr"/>
      <c r="K1955" s="3" t="inlineStr">
        <is>
          <t>Телевизионная группа приехала в сберкассу для съёмки репортажа о преимуществах работы в сберегательных кассах.</t>
        </is>
      </c>
      <c r="L1955" s="2" t="inlineStr">
        <is>
          <t>Кино_СССР сводный каталог.xlsx: список фильмов (доп.)</t>
        </is>
      </c>
      <c r="M1955" s="2">
        <f>HYPERLINK("https://ru.wikipedia.org/w/index.php?search=%D0%A2%D0%B2%D0%BE%D0%B9%20%D0%B2%D1%8B%D0%B1%D0%BE%D1%80%201985%20%D1%84%D0%B8%D0%BB%D1%8C%D0%BC","искать")</f>
        <v/>
      </c>
      <c r="N1955" s="3" t="n"/>
      <c r="O1955" s="2" t="n"/>
    </row>
    <row r="1956">
      <c r="A1956" s="2" t="n">
        <v>1955</v>
      </c>
      <c r="B1956" s="2" t="inlineStr">
        <is>
          <t>короткая</t>
        </is>
      </c>
      <c r="C1956" s="2" t="n">
        <v>9119</v>
      </c>
      <c r="D1956" s="3" t="inlineStr">
        <is>
          <t>Убийца поневоле</t>
        </is>
      </c>
      <c r="E1956" s="2" t="n">
        <v>1990</v>
      </c>
      <c r="F1956" s="2" t="inlineStr">
        <is>
          <t>кинофильм</t>
        </is>
      </c>
      <c r="G1956" s="2" t="n"/>
      <c r="H1956" s="2" t="n">
        <v>110</v>
      </c>
      <c r="I1956" s="2" t="inlineStr"/>
      <c r="J1956" s="2" t="inlineStr"/>
      <c r="K1956" s="3" t="inlineStr">
        <is>
          <t>Боксёр оказывается вовлечён в преступные дела местной мафии, что приводит к трагическим переменам в его жизни.</t>
        </is>
      </c>
      <c r="L1956" s="2" t="inlineStr">
        <is>
          <t>Кино_СССР сводный каталог.xlsx: список фильмов (доп.)</t>
        </is>
      </c>
      <c r="M1956" s="2">
        <f>HYPERLINK("https://ru.wikipedia.org/w/index.php?search=%D0%A3%D0%B1%D0%B8%D0%B9%D1%86%D0%B0%20%D0%BF%D0%BE%D0%BD%D0%B5%D0%B2%D0%BE%D0%BB%D0%B5%201990%20%D1%84%D0%B8%D0%BB%D1%8C%D0%BC","искать")</f>
        <v/>
      </c>
      <c r="N1956" s="3" t="n"/>
      <c r="O1956" s="2" t="n"/>
    </row>
    <row r="1957">
      <c r="A1957" s="2" t="n">
        <v>1956</v>
      </c>
      <c r="B1957" s="2" t="inlineStr">
        <is>
          <t>короткая</t>
        </is>
      </c>
      <c r="C1957" s="2" t="n">
        <v>10116</v>
      </c>
      <c r="D1957" s="3" t="inlineStr">
        <is>
          <t>А разве кто-нибудь стрелял?</t>
        </is>
      </c>
      <c r="E1957" s="2" t="n">
        <v>1964</v>
      </c>
      <c r="F1957" s="2" t="inlineStr">
        <is>
          <t>фильм-спектакль</t>
        </is>
      </c>
      <c r="G1957" s="2" t="inlineStr">
        <is>
          <t>Центральное телевидение</t>
        </is>
      </c>
      <c r="H1957" s="2" t="n">
        <v>110</v>
      </c>
      <c r="I1957" s="2" t="inlineStr"/>
      <c r="J1957" s="2" t="inlineStr"/>
      <c r="K1957" s="3" t="inlineStr">
        <is>
          <t>По мотивам повести итальянского писателя Леонардо Шоша.
О противостоянии капитана Беллоди и сицилийской мафии.</t>
        </is>
      </c>
      <c r="L1957" s="2" t="inlineStr">
        <is>
          <t>https://www.kino-teatr.ru/teatr/movie/136284/annot/</t>
        </is>
      </c>
      <c r="M1957" s="2">
        <f>HYPERLINK("https://ru.wikipedia.org/w/index.php?search=%D0%90%20%D1%80%D0%B0%D0%B7%D0%B2%D0%B5%20%D0%BA%D1%82%D0%BE-%D0%BD%D0%B8%D0%B1%D1%83%D0%B4%D1%8C%20%D1%81%D1%82%D1%80%D0%B5%D0%BB%D1%8F%D0%BB%3F%201964%20%D1%84%D0%B8%D0%BB%D1%8C%D0%BC","искать")</f>
        <v/>
      </c>
      <c r="N1957" s="3" t="n"/>
      <c r="O1957" s="2" t="n"/>
    </row>
    <row r="1958">
      <c r="A1958" s="2" t="n">
        <v>1957</v>
      </c>
      <c r="B1958" s="2" t="inlineStr">
        <is>
          <t>короткая</t>
        </is>
      </c>
      <c r="C1958" s="2" t="n">
        <v>9720</v>
      </c>
      <c r="D1958" s="3" t="inlineStr">
        <is>
          <t>Фантастическая история</t>
        </is>
      </c>
      <c r="E1958" s="2" t="n">
        <v>1988</v>
      </c>
      <c r="F1958" s="2" t="inlineStr">
        <is>
          <t>кинофильм</t>
        </is>
      </c>
      <c r="G1958" s="2" t="n"/>
      <c r="H1958" s="2" t="n">
        <v>111</v>
      </c>
      <c r="I1958" s="2" t="inlineStr"/>
      <c r="J1958" s="2" t="inlineStr"/>
      <c r="K1958" s="3" t="inlineStr">
        <is>
          <t>Широкоформатный фильм. Старый кукольный мастер рассказывает своему маленькому другу историю своей первой любви.</t>
        </is>
      </c>
      <c r="L1958" s="2" t="inlineStr">
        <is>
          <t>Кино_СССР сводный каталог.xlsx: список фильмов (доп.)</t>
        </is>
      </c>
      <c r="M1958" s="2">
        <f>HYPERLINK("https://ru.wikipedia.org/w/index.php?search=%D0%A4%D0%B0%D0%BD%D1%82%D0%B0%D1%81%D1%82%D0%B8%D1%87%D0%B5%D1%81%D0%BA%D0%B0%D1%8F%20%D0%B8%D1%81%D1%82%D0%BE%D1%80%D0%B8%D1%8F%201988%20%D1%84%D0%B8%D0%BB%D1%8C%D0%BC","искать")</f>
        <v/>
      </c>
      <c r="N1958" s="3" t="n"/>
      <c r="O1958" s="2" t="n"/>
    </row>
    <row r="1959">
      <c r="A1959" s="2" t="n">
        <v>1958</v>
      </c>
      <c r="B1959" s="2" t="inlineStr">
        <is>
          <t>короткая</t>
        </is>
      </c>
      <c r="C1959" s="2" t="n">
        <v>10512</v>
      </c>
      <c r="D1959" s="3" t="inlineStr">
        <is>
          <t>Представление начинается</t>
        </is>
      </c>
      <c r="E1959" s="2" t="n">
        <v>1973</v>
      </c>
      <c r="F1959" s="2" t="inlineStr">
        <is>
          <t>фильм-спектакль</t>
        </is>
      </c>
      <c r="G1959" s="2" t="inlineStr">
        <is>
          <t>Главная редакция программ для детей и юношества ЦТ</t>
        </is>
      </c>
      <c r="H1959" s="2" t="n">
        <v>111</v>
      </c>
      <c r="I1959" s="2" t="inlineStr"/>
      <c r="J1959" s="2" t="inlineStr"/>
      <c r="K1959" s="3" t="inlineStr">
        <is>
          <t>Музыкальный телеспектакль о ребятах одного двора, решивших поставить спектакль "Золушка" в новой интерпретации.</t>
        </is>
      </c>
      <c r="L1959" s="2" t="inlineStr">
        <is>
          <t>https://www.kino-teatr.ru/teatr/movie/79288/annot/</t>
        </is>
      </c>
      <c r="M1959" s="2">
        <f>HYPERLINK("https://ru.wikipedia.org/w/index.php?search=%D0%9F%D1%80%D0%B5%D0%B4%D1%81%D1%82%D0%B0%D0%B2%D0%BB%D0%B5%D0%BD%D0%B8%D0%B5%20%D0%BD%D0%B0%D1%87%D0%B8%D0%BD%D0%B0%D0%B5%D1%82%D1%81%D1%8F%201973%20%D1%84%D0%B8%D0%BB%D1%8C%D0%BC","искать")</f>
        <v/>
      </c>
      <c r="N1959" s="3" t="n"/>
      <c r="O1959" s="2" t="n"/>
    </row>
    <row r="1960">
      <c r="A1960" s="2" t="n">
        <v>1959</v>
      </c>
      <c r="B1960" s="2" t="inlineStr">
        <is>
          <t>короткая</t>
        </is>
      </c>
      <c r="C1960" s="2" t="n">
        <v>8367</v>
      </c>
      <c r="D1960" s="3" t="inlineStr">
        <is>
          <t>Снег в июле</t>
        </is>
      </c>
      <c r="E1960" s="2" t="n">
        <v>1984</v>
      </c>
      <c r="F1960" s="2" t="inlineStr">
        <is>
          <t>телефильм</t>
        </is>
      </c>
      <c r="G1960" s="2" t="n"/>
      <c r="H1960" s="2" t="n">
        <v>112</v>
      </c>
      <c r="I1960" s="2" t="inlineStr"/>
      <c r="J1960" s="2" t="inlineStr"/>
      <c r="K1960" s="3" t="inlineStr">
        <is>
          <t>Телефильм. По мотивам романа Л.Лондона. В основе сюжета - конфликтная ситуация, возникшая при сдаче новостройки.</t>
        </is>
      </c>
      <c r="L1960" s="2" t="inlineStr">
        <is>
          <t>Кино_СССР сводный каталог.xlsx: список телефильмов</t>
        </is>
      </c>
      <c r="M1960" s="2">
        <f>HYPERLINK("https://ru.wikipedia.org/w/index.php?search=%D0%A1%D0%BD%D0%B5%D0%B3%20%D0%B2%20%D0%B8%D1%8E%D0%BB%D0%B5%201984%20%D1%84%D0%B8%D0%BB%D1%8C%D0%BC","искать")</f>
        <v/>
      </c>
      <c r="N1960" s="3" t="n"/>
      <c r="O1960" s="2" t="n"/>
    </row>
    <row r="1961">
      <c r="A1961" s="2" t="n">
        <v>1960</v>
      </c>
      <c r="B1961" s="2" t="inlineStr">
        <is>
          <t>короткая</t>
        </is>
      </c>
      <c r="C1961" s="2" t="n">
        <v>9975</v>
      </c>
      <c r="D1961" s="3" t="inlineStr">
        <is>
          <t>Скромный человек</t>
        </is>
      </c>
      <c r="E1961" s="2" t="n">
        <v>1981</v>
      </c>
      <c r="F1961" s="2" t="inlineStr">
        <is>
          <t>телефильм</t>
        </is>
      </c>
      <c r="G1961" s="2" t="inlineStr">
        <is>
          <t>студия т/ф “Ереван”</t>
        </is>
      </c>
      <c r="H1961" s="2" t="n">
        <v>113</v>
      </c>
      <c r="I1961" s="2" t="inlineStr"/>
      <c r="J1961" s="2" t="inlineStr"/>
      <c r="K1961" s="3" t="inlineStr">
        <is>
          <t>История о скромном чиновнике, которому чувство страха перед начальником не дает покоя даже на отдыхе в санатории.</t>
        </is>
      </c>
      <c r="L1961" s="2" t="inlineStr">
        <is>
          <t>https://www.kino-teatr.ru/short/movie/sov/84876/annot/</t>
        </is>
      </c>
      <c r="M1961" s="2">
        <f>HYPERLINK("https://ru.wikipedia.org/w/index.php?search=%D0%A1%D0%BA%D1%80%D0%BE%D0%BC%D0%BD%D1%8B%D0%B9%20%D1%87%D0%B5%D0%BB%D0%BE%D0%B2%D0%B5%D0%BA%201981%20%D1%84%D0%B8%D0%BB%D1%8C%D0%BC","искать")</f>
        <v/>
      </c>
      <c r="N1961" s="3" t="n"/>
      <c r="O1961" s="2" t="n"/>
    </row>
    <row r="1962">
      <c r="A1962" s="2" t="n">
        <v>1961</v>
      </c>
      <c r="B1962" s="2" t="inlineStr">
        <is>
          <t>короткая</t>
        </is>
      </c>
      <c r="C1962" s="2" t="n">
        <v>7546</v>
      </c>
      <c r="D1962" s="3" t="inlineStr">
        <is>
          <t>Дон Кихот моего детства</t>
        </is>
      </c>
      <c r="E1962" s="2" t="n">
        <v>1977</v>
      </c>
      <c r="F1962" s="2" t="inlineStr">
        <is>
          <t>телефильм</t>
        </is>
      </c>
      <c r="G1962" s="2" t="n"/>
      <c r="H1962" s="2" t="n">
        <v>114</v>
      </c>
      <c r="I1962" s="2" t="inlineStr"/>
      <c r="J1962" s="2" t="inlineStr"/>
      <c r="K1962" s="3" t="inlineStr">
        <is>
          <t>Телефильм-притча о молодом человеке, который живет в своем воображаемом мире и попадает в разные смешные ситуации.</t>
        </is>
      </c>
      <c r="L1962" s="2" t="inlineStr">
        <is>
          <t>Кино_СССР сводный каталог.xlsx: список телефильмов</t>
        </is>
      </c>
      <c r="M1962" s="2">
        <f>HYPERLINK("https://ru.wikipedia.org/w/index.php?search=%D0%94%D0%BE%D0%BD%20%D0%9A%D0%B8%D1%85%D0%BE%D1%82%20%D0%BC%D0%BE%D0%B5%D0%B3%D0%BE%20%D0%B4%D0%B5%D1%82%D1%81%D1%82%D0%B2%D0%B0%201977%20%D1%84%D0%B8%D0%BB%D1%8C%D0%BC","искать")</f>
        <v/>
      </c>
      <c r="N1962" s="3" t="n"/>
      <c r="O1962" s="2" t="n"/>
    </row>
    <row r="1963">
      <c r="A1963" s="2" t="n">
        <v>1962</v>
      </c>
      <c r="B1963" s="2" t="inlineStr">
        <is>
          <t>короткая</t>
        </is>
      </c>
      <c r="C1963" s="2" t="n">
        <v>7941</v>
      </c>
      <c r="D1963" s="3" t="inlineStr">
        <is>
          <t>Назначение</t>
        </is>
      </c>
      <c r="E1963" s="2" t="n">
        <v>1973</v>
      </c>
      <c r="F1963" s="2" t="inlineStr">
        <is>
          <t>телефильм</t>
        </is>
      </c>
      <c r="G1963" s="2" t="n"/>
      <c r="H1963" s="2" t="n">
        <v>114</v>
      </c>
      <c r="I1963" s="2" t="inlineStr"/>
      <c r="J1963" s="2" t="inlineStr"/>
      <c r="K1963" s="3" t="inlineStr">
        <is>
          <t>Герой сериала - инженер-строитель, творческая личность - борется за пересмотр проекта домостроительного комбината.</t>
        </is>
      </c>
      <c r="L1963" s="2" t="inlineStr">
        <is>
          <t>Кино_СССР сводный каталог.xlsx: список телефильмов</t>
        </is>
      </c>
      <c r="M1963" s="2">
        <f>HYPERLINK("https://ru.wikipedia.org/w/index.php?search=%D0%9D%D0%B0%D0%B7%D0%BD%D0%B0%D1%87%D0%B5%D0%BD%D0%B8%D0%B5%201973%20%D1%84%D0%B8%D0%BB%D1%8C%D0%BC","искать")</f>
        <v/>
      </c>
      <c r="N1963" s="3" t="n"/>
      <c r="O1963" s="2" t="n"/>
    </row>
    <row r="1964">
      <c r="A1964" s="2" t="n">
        <v>1963</v>
      </c>
      <c r="B1964" s="2" t="inlineStr">
        <is>
          <t>короткая</t>
        </is>
      </c>
      <c r="C1964" s="2" t="n">
        <v>7365</v>
      </c>
      <c r="D1964" s="3" t="inlineStr">
        <is>
          <t>Волшебная книга Мурада</t>
        </is>
      </c>
      <c r="E1964" s="2" t="n">
        <v>1976</v>
      </c>
      <c r="F1964" s="2" t="inlineStr">
        <is>
          <t>телефильм</t>
        </is>
      </c>
      <c r="G1964" s="2" t="n"/>
      <c r="H1964" s="2" t="n">
        <v>115</v>
      </c>
      <c r="I1964" s="2" t="inlineStr"/>
      <c r="J1964" s="2" t="inlineStr"/>
      <c r="K1964" s="3" t="inlineStr">
        <is>
          <t>Телефильм о том, как герой туркменских сказок Яртыгулак помог маленькому хвастунишке Мураду стать честным и смелым.</t>
        </is>
      </c>
      <c r="L1964" s="2" t="inlineStr">
        <is>
          <t>Кино_СССР сводный каталог.xlsx: список телефильмов</t>
        </is>
      </c>
      <c r="M1964" s="2">
        <f>HYPERLINK("https://ru.wikipedia.org/w/index.php?search=%D0%92%D0%BE%D0%BB%D1%88%D0%B5%D0%B1%D0%BD%D0%B0%D1%8F%20%D0%BA%D0%BD%D0%B8%D0%B3%D0%B0%20%D0%9C%D1%83%D1%80%D0%B0%D0%B4%D0%B0%201976%20%D1%84%D0%B8%D0%BB%D1%8C%D0%BC","искать")</f>
        <v/>
      </c>
      <c r="N1964" s="3" t="n"/>
      <c r="O1964" s="2" t="n"/>
    </row>
    <row r="1965">
      <c r="A1965" s="2" t="n">
        <v>1964</v>
      </c>
      <c r="B1965" s="2" t="inlineStr">
        <is>
          <t>короткая</t>
        </is>
      </c>
      <c r="C1965" s="2" t="n">
        <v>7311</v>
      </c>
      <c r="D1965" s="3" t="inlineStr">
        <is>
          <t>Василий Шукшин. По страницам прозы</t>
        </is>
      </c>
      <c r="E1965" s="2" t="n">
        <v>1978</v>
      </c>
      <c r="F1965" s="2" t="inlineStr">
        <is>
          <t>телефильм</t>
        </is>
      </c>
      <c r="G1965" s="2" t="n"/>
      <c r="H1965" s="2" t="n">
        <v>116</v>
      </c>
      <c r="I1965" s="2" t="inlineStr"/>
      <c r="J1965" s="2" t="inlineStr"/>
      <c r="K1965" s="3" t="inlineStr">
        <is>
          <t>Художественно-публицистический фильм о жизни и творчестве Василия Макаровича Шукшина с инсценировками его рассказов.</t>
        </is>
      </c>
      <c r="L1965" s="2" t="inlineStr">
        <is>
          <t>Кино_СССР сводный каталог.xlsx: список телефильмов</t>
        </is>
      </c>
      <c r="M1965" s="2">
        <f>HYPERLINK("https://ru.wikipedia.org/w/index.php?search=%D0%92%D0%B0%D1%81%D0%B8%D0%BB%D0%B8%D0%B9%20%D0%A8%D1%83%D0%BA%D1%88%D0%B8%D0%BD.%20%D0%9F%D0%BE%20%D1%81%D1%82%D1%80%D0%B0%D0%BD%D0%B8%D1%86%D0%B0%D0%BC%20%D0%BF%D1%80%D0%BE%D0%B7%D1%8B%201978%20%D1%84%D0%B8%D0%BB%D1%8C%D0%BC","искать")</f>
        <v/>
      </c>
      <c r="N1965" s="3" t="n"/>
      <c r="O1965" s="2" t="n"/>
    </row>
    <row r="1966">
      <c r="A1966" s="2" t="n">
        <v>1965</v>
      </c>
      <c r="B1966" s="2" t="inlineStr">
        <is>
          <t>короткая</t>
        </is>
      </c>
      <c r="C1966" s="2" t="n">
        <v>7833</v>
      </c>
      <c r="D1966" s="3" t="inlineStr">
        <is>
          <t>Люди и манекены</t>
        </is>
      </c>
      <c r="E1966" s="2" t="n">
        <v>1974</v>
      </c>
      <c r="F1966" s="2" t="inlineStr">
        <is>
          <t>телефильм</t>
        </is>
      </c>
      <c r="G1966" s="2" t="n"/>
      <c r="H1966" s="2" t="n">
        <v>117</v>
      </c>
      <c r="I1966" s="2" t="inlineStr"/>
      <c r="J1966" s="2" t="inlineStr"/>
      <c r="K1966" s="3" t="inlineStr">
        <is>
          <t>Телевизионный мини-сериал. Миниатюры, интермедии и монологи в исполнении Аркадия Райкина и актеров труппы его театра.</t>
        </is>
      </c>
      <c r="L1966" s="2" t="inlineStr">
        <is>
          <t>Кино_СССР сводный каталог.xlsx: список телефильмов</t>
        </is>
      </c>
      <c r="M1966" s="2">
        <f>HYPERLINK("https://ru.wikipedia.org/w/index.php?search=%D0%9B%D1%8E%D0%B4%D0%B8%20%D0%B8%20%D0%BC%D0%B0%D0%BD%D0%B5%D0%BA%D0%B5%D0%BD%D1%8B%201974%20%D1%84%D0%B8%D0%BB%D1%8C%D0%BC","искать")</f>
        <v/>
      </c>
      <c r="N1966" s="3" t="n"/>
      <c r="O1966" s="2" t="n"/>
    </row>
    <row r="1967">
      <c r="A1967" s="2" t="n">
        <v>1966</v>
      </c>
      <c r="B1967" s="2" t="inlineStr">
        <is>
          <t>короткая</t>
        </is>
      </c>
      <c r="C1967" s="2" t="n">
        <v>9556</v>
      </c>
      <c r="D1967" s="3" t="inlineStr">
        <is>
          <t>Побег на край света</t>
        </is>
      </c>
      <c r="E1967" s="2" t="n">
        <v>1991</v>
      </c>
      <c r="F1967" s="2" t="inlineStr">
        <is>
          <t>кинофильм</t>
        </is>
      </c>
      <c r="G1967" s="2" t="n"/>
      <c r="H1967" s="2" t="n">
        <v>117</v>
      </c>
      <c r="I1967" s="2" t="inlineStr"/>
      <c r="J1967" s="2" t="inlineStr"/>
      <c r="K1967" s="3" t="inlineStr">
        <is>
          <t>В поисках смысла жизни герои попадают в разные эпохи и страны, где переживают всевозможные романтические приключения.</t>
        </is>
      </c>
      <c r="L1967" s="2" t="inlineStr">
        <is>
          <t>Кино_СССР сводный каталог.xlsx: список фильмов (доп.)</t>
        </is>
      </c>
      <c r="M1967" s="2">
        <f>HYPERLINK("https://ru.wikipedia.org/w/index.php?search=%D0%9F%D0%BE%D0%B1%D0%B5%D0%B3%20%D0%BD%D0%B0%20%D0%BA%D1%80%D0%B0%D0%B9%20%D1%81%D0%B2%D0%B5%D1%82%D0%B0%201991%20%D1%84%D0%B8%D0%BB%D1%8C%D0%BC","искать")</f>
        <v/>
      </c>
      <c r="N1967" s="3" t="n"/>
      <c r="O1967" s="2" t="n"/>
    </row>
    <row r="1968">
      <c r="A1968" s="2" t="n">
        <v>1967</v>
      </c>
      <c r="B1968" s="2" t="inlineStr">
        <is>
          <t>короткая</t>
        </is>
      </c>
      <c r="C1968" s="2" t="n">
        <v>9867</v>
      </c>
      <c r="D1968" s="3" t="inlineStr">
        <is>
          <t>Фронт за околицей</t>
        </is>
      </c>
      <c r="E1968" s="2" t="n">
        <v>1969</v>
      </c>
      <c r="F1968" s="2" t="inlineStr">
        <is>
          <t>телефильм</t>
        </is>
      </c>
      <c r="G1968" s="2" t="inlineStr">
        <is>
          <t>Мосфильм</t>
        </is>
      </c>
      <c r="H1968" s="2" t="n">
        <v>117</v>
      </c>
      <c r="I1968" s="2" t="inlineStr"/>
      <c r="J1968" s="2" t="inlineStr"/>
      <c r="K1968" s="3" t="inlineStr">
        <is>
          <t>Телефильм. Психологическая новелла; о любви Якима и Анны, на пути которых к счастью роковым препятствием стала война.</t>
        </is>
      </c>
      <c r="L1968" s="2" t="inlineStr">
        <is>
          <t>https://www.kino-teatr.ru/short/movie/sov/14666/annot/</t>
        </is>
      </c>
      <c r="M1968" s="2">
        <f>HYPERLINK("https://ru.wikipedia.org/w/index.php?search=%D0%A4%D1%80%D0%BE%D0%BD%D1%82%20%D0%B7%D0%B0%20%D0%BE%D0%BA%D0%BE%D0%BB%D0%B8%D1%86%D0%B5%D0%B9%201969%20%D1%84%D0%B8%D0%BB%D1%8C%D0%BC","искать")</f>
        <v/>
      </c>
      <c r="N1968" s="3" t="n"/>
      <c r="O1968" s="2" t="n"/>
    </row>
    <row r="1969">
      <c r="A1969" s="2" t="n">
        <v>1968</v>
      </c>
      <c r="B1969" s="2" t="inlineStr">
        <is>
          <t>короткая</t>
        </is>
      </c>
      <c r="C1969" s="2" t="n">
        <v>7936</v>
      </c>
      <c r="D1969" s="3" t="inlineStr">
        <is>
          <t>На таёжных ветрах</t>
        </is>
      </c>
      <c r="E1969" s="2" t="n">
        <v>1979</v>
      </c>
      <c r="F1969" s="2" t="inlineStr">
        <is>
          <t>телефильм</t>
        </is>
      </c>
      <c r="G1969" s="2" t="n"/>
      <c r="H1969" s="2" t="n">
        <v>118</v>
      </c>
      <c r="I1969" s="2" t="inlineStr"/>
      <c r="J1969" s="2" t="inlineStr"/>
      <c r="K1969" s="3" t="inlineStr">
        <is>
          <t>По мотивам романа К.Лагунова "Одержимые" Фильм посвящен геологам-нефтеразведчикам, осваивающим северные районы страны.</t>
        </is>
      </c>
      <c r="L1969" s="2" t="inlineStr">
        <is>
          <t>Кино_СССР сводный каталог.xlsx: список телефильмов</t>
        </is>
      </c>
      <c r="M1969" s="2">
        <f>HYPERLINK("https://ru.wikipedia.org/w/index.php?search=%D0%9D%D0%B0%20%D1%82%D0%B0%D1%91%D0%B6%D0%BD%D1%8B%D1%85%20%D0%B2%D0%B5%D1%82%D1%80%D0%B0%D1%85%201979%20%D1%84%D0%B8%D0%BB%D1%8C%D0%BC","искать")</f>
        <v/>
      </c>
      <c r="N1969" s="3" t="n"/>
      <c r="O1969" s="2" t="n"/>
    </row>
    <row r="1970">
      <c r="A1970" s="2" t="n">
        <v>1969</v>
      </c>
      <c r="B1970" s="2" t="inlineStr">
        <is>
          <t>короткая</t>
        </is>
      </c>
      <c r="C1970" s="2" t="n">
        <v>7978</v>
      </c>
      <c r="D1970" s="3" t="inlineStr">
        <is>
          <t>Неизвестная...</t>
        </is>
      </c>
      <c r="E1970" s="2" t="n">
        <v>1966</v>
      </c>
      <c r="F1970" s="2" t="inlineStr">
        <is>
          <t>телефильм</t>
        </is>
      </c>
      <c r="G1970" s="2" t="n"/>
      <c r="H1970" s="2" t="n">
        <v>118</v>
      </c>
      <c r="I1970" s="2" t="inlineStr"/>
      <c r="J1970" s="2" t="inlineStr"/>
      <c r="K1970" s="3" t="inlineStr">
        <is>
          <t>О бесстрашной разведчице Руте Янсон, попавшей в плен к фашистам. Действие фильма происходит осенью 1944 года в Латвии.</t>
        </is>
      </c>
      <c r="L1970" s="2" t="inlineStr">
        <is>
          <t>Кино_СССР сводный каталог.xlsx: список телефильмов</t>
        </is>
      </c>
      <c r="M1970" s="2">
        <f>HYPERLINK("https://ru.wikipedia.org/w/index.php?search=%D0%9D%D0%B5%D0%B8%D0%B7%D0%B2%D0%B5%D1%81%D1%82%D0%BD%D0%B0%D1%8F...%201966%20%D1%84%D0%B8%D0%BB%D1%8C%D0%BC","искать")</f>
        <v/>
      </c>
      <c r="N1970" s="3" t="n"/>
      <c r="O1970" s="2" t="n"/>
    </row>
    <row r="1971">
      <c r="A1971" s="2" t="n">
        <v>1970</v>
      </c>
      <c r="B1971" s="2" t="inlineStr">
        <is>
          <t>короткая</t>
        </is>
      </c>
      <c r="C1971" s="2" t="n">
        <v>8200</v>
      </c>
      <c r="D1971" s="3" t="inlineStr">
        <is>
          <t>Приключения Алдара Косе</t>
        </is>
      </c>
      <c r="E1971" s="2" t="n">
        <v>1970</v>
      </c>
      <c r="F1971" s="2" t="inlineStr">
        <is>
          <t>телефильм</t>
        </is>
      </c>
      <c r="G1971" s="2" t="n"/>
      <c r="H1971" s="2" t="n">
        <v>118</v>
      </c>
      <c r="I1971" s="2" t="inlineStr"/>
      <c r="J1971" s="2" t="inlineStr"/>
      <c r="K1971" s="3" t="inlineStr">
        <is>
          <t>Музыкальный фильм о приключениях легендарного Алдара Косе, что в переводе с туркменского означает Безбородый обманщик.</t>
        </is>
      </c>
      <c r="L1971" s="2" t="inlineStr">
        <is>
          <t>Кино_СССР сводный каталог.xlsx: список телефильмов</t>
        </is>
      </c>
      <c r="M1971" s="2">
        <f>HYPERLINK("https://ru.wikipedia.org/w/index.php?search=%D0%9F%D1%80%D0%B8%D0%BA%D0%BB%D1%8E%D1%87%D0%B5%D0%BD%D0%B8%D1%8F%20%D0%90%D0%BB%D0%B4%D0%B0%D1%80%D0%B0%20%D0%9A%D0%BE%D1%81%D0%B5%201970%20%D1%84%D0%B8%D0%BB%D1%8C%D0%BC","искать")</f>
        <v/>
      </c>
      <c r="N1971" s="3" t="n"/>
      <c r="O1971" s="2" t="n"/>
    </row>
    <row r="1972">
      <c r="A1972" s="2" t="n">
        <v>1971</v>
      </c>
      <c r="B1972" s="2" t="inlineStr">
        <is>
          <t>короткая</t>
        </is>
      </c>
      <c r="C1972" s="2" t="n">
        <v>8405</v>
      </c>
      <c r="D1972" s="3" t="inlineStr">
        <is>
          <t>Сто первый</t>
        </is>
      </c>
      <c r="E1972" s="2" t="n">
        <v>1982</v>
      </c>
      <c r="F1972" s="2" t="inlineStr">
        <is>
          <t>телефильм</t>
        </is>
      </c>
      <c r="G1972" s="2" t="n"/>
      <c r="H1972" s="2" t="n">
        <v>118</v>
      </c>
      <c r="I1972" s="2" t="inlineStr"/>
      <c r="J1972" s="2" t="inlineStr"/>
      <c r="K1972" s="3" t="inlineStr">
        <is>
          <t>О деревенском парнишке, воспитаннике взвода разведки, будущем суворовце. Время действия - Великая Отечественная война.</t>
        </is>
      </c>
      <c r="L1972" s="2" t="inlineStr">
        <is>
          <t>Кино_СССР сводный каталог.xlsx: список телефильмов</t>
        </is>
      </c>
      <c r="M1972" s="2">
        <f>HYPERLINK("https://ru.wikipedia.org/w/index.php?search=%D0%A1%D1%82%D0%BE%20%D0%BF%D0%B5%D1%80%D0%B2%D1%8B%D0%B9%201982%20%D1%84%D0%B8%D0%BB%D1%8C%D0%BC","искать")</f>
        <v/>
      </c>
      <c r="N1972" s="3" t="n"/>
      <c r="O1972" s="2" t="n"/>
    </row>
    <row r="1973">
      <c r="A1973" s="2" t="n">
        <v>1972</v>
      </c>
      <c r="B1973" s="2" t="inlineStr">
        <is>
          <t>короткая</t>
        </is>
      </c>
      <c r="C1973" s="2" t="n">
        <v>8413</v>
      </c>
      <c r="D1973" s="3" t="inlineStr">
        <is>
          <t>Страх</t>
        </is>
      </c>
      <c r="E1973" s="2" t="n">
        <v>1980</v>
      </c>
      <c r="F1973" s="2" t="inlineStr">
        <is>
          <t>телефильм</t>
        </is>
      </c>
      <c r="G1973" s="2" t="n"/>
      <c r="H1973" s="2" t="n">
        <v>118</v>
      </c>
      <c r="I1973" s="2" t="inlineStr"/>
      <c r="J1973" s="2" t="inlineStr"/>
      <c r="K1973" s="3" t="inlineStr">
        <is>
          <t>По мотивам книги И. Головченко «Милицейские были». Сотрудники уголовного розыска расследуют убийство директора завода.</t>
        </is>
      </c>
      <c r="L1973" s="2" t="inlineStr">
        <is>
          <t>Кино_СССР сводный каталог.xlsx: список телефильмов</t>
        </is>
      </c>
      <c r="M1973" s="2">
        <f>HYPERLINK("https://ru.wikipedia.org/w/index.php?search=%D0%A1%D1%82%D1%80%D0%B0%D1%85%201980%20%D1%84%D0%B8%D0%BB%D1%8C%D0%BC","искать")</f>
        <v/>
      </c>
      <c r="N1973" s="3" t="n"/>
      <c r="O1973" s="2" t="n"/>
    </row>
    <row r="1974">
      <c r="A1974" s="2" t="n">
        <v>1973</v>
      </c>
      <c r="B1974" s="2" t="inlineStr">
        <is>
          <t>короткая</t>
        </is>
      </c>
      <c r="C1974" s="2" t="n">
        <v>8590</v>
      </c>
      <c r="D1974" s="3" t="inlineStr">
        <is>
          <t>Эксперимент</t>
        </is>
      </c>
      <c r="E1974" s="2" t="n">
        <v>1970</v>
      </c>
      <c r="F1974" s="2" t="inlineStr">
        <is>
          <t>телефильм</t>
        </is>
      </c>
      <c r="G1974" s="2" t="n"/>
      <c r="H1974" s="2" t="n">
        <v>118</v>
      </c>
      <c r="I1974" s="2" t="inlineStr"/>
      <c r="J1974" s="2" t="inlineStr"/>
      <c r="K1974" s="3" t="inlineStr">
        <is>
          <t>Музыкальная комедия о педагогическом эксперименте, который удался благодаря доброте и душевной щедрости его участников</t>
        </is>
      </c>
      <c r="L1974" s="2" t="inlineStr">
        <is>
          <t>Кино_СССР сводный каталог.xlsx: список телефильмов</t>
        </is>
      </c>
      <c r="M1974" s="2">
        <f>HYPERLINK("https://ru.wikipedia.org/w/index.php?search=%D0%AD%D0%BA%D1%81%D0%BF%D0%B5%D1%80%D0%B8%D0%BC%D0%B5%D0%BD%D1%82%201970%20%D1%84%D0%B8%D0%BB%D1%8C%D0%BC","искать")</f>
        <v/>
      </c>
      <c r="N1974" s="3" t="n"/>
      <c r="O1974" s="2" t="n"/>
    </row>
    <row r="1975">
      <c r="A1975" s="2" t="n">
        <v>1974</v>
      </c>
      <c r="B1975" s="2" t="inlineStr">
        <is>
          <t>короткая</t>
        </is>
      </c>
      <c r="C1975" s="2" t="n">
        <v>9377</v>
      </c>
      <c r="D1975" s="3" t="inlineStr">
        <is>
          <t>Звездоносцы</t>
        </is>
      </c>
      <c r="E1975" s="2" t="n">
        <v>1931</v>
      </c>
      <c r="F1975" s="2" t="inlineStr">
        <is>
          <t>кинофильм</t>
        </is>
      </c>
      <c r="G1975" s="2" t="n"/>
      <c r="H1975" s="2" t="n">
        <v>118</v>
      </c>
      <c r="I1975" s="2" t="inlineStr"/>
      <c r="J1975" s="2" t="inlineStr"/>
      <c r="K1975" s="3" t="inlineStr">
        <is>
          <t>Агитпропфильм. Об участии бойцов и командиров Красной Армии в колхозном строительстве. В ГФФ копия фильма не хранится.</t>
        </is>
      </c>
      <c r="L1975" s="2" t="inlineStr">
        <is>
          <t>Кино_СССР сводный каталог.xlsx: список фильмов (доп.)</t>
        </is>
      </c>
      <c r="M1975" s="2">
        <f>HYPERLINK("https://ru.wikipedia.org/w/index.php?search=%D0%97%D0%B2%D0%B5%D0%B7%D0%B4%D0%BE%D0%BD%D0%BE%D1%81%D1%86%D1%8B%201931%20%D1%84%D0%B8%D0%BB%D1%8C%D0%BC","искать")</f>
        <v/>
      </c>
      <c r="N1975" s="3" t="n"/>
      <c r="O1975" s="2" t="n"/>
    </row>
    <row r="1976">
      <c r="A1976" s="2" t="n">
        <v>1975</v>
      </c>
      <c r="B1976" s="2" t="inlineStr">
        <is>
          <t>короткая</t>
        </is>
      </c>
      <c r="C1976" s="2" t="n">
        <v>9933</v>
      </c>
      <c r="D1976" s="3" t="inlineStr">
        <is>
          <t>Дебют</t>
        </is>
      </c>
      <c r="E1976" s="2" t="n">
        <v>1978</v>
      </c>
      <c r="F1976" s="2" t="inlineStr">
        <is>
          <t>кинофильм</t>
        </is>
      </c>
      <c r="G1976" s="2" t="inlineStr">
        <is>
          <t>Беларусьфильм</t>
        </is>
      </c>
      <c r="H1976" s="2" t="n">
        <v>119</v>
      </c>
      <c r="I1976" s="2" t="inlineStr"/>
      <c r="J1976" s="2" t="inlineStr"/>
      <c r="K1976" s="3" t="inlineStr">
        <is>
          <t>Обыкновенный деревенский парень переживает волнующее событие: он приглашен на съемки фильма сыграть эпизодическую роль.</t>
        </is>
      </c>
      <c r="L1976" s="2" t="inlineStr">
        <is>
          <t>https://www.kino-teatr.ru/short/movie/sov/1682/annot/</t>
        </is>
      </c>
      <c r="M1976" s="2">
        <f>HYPERLINK("https://ru.wikipedia.org/w/index.php?search=%D0%94%D0%B5%D0%B1%D1%8E%D1%82%201978%20%D1%84%D0%B8%D0%BB%D1%8C%D0%BC","искать")</f>
        <v/>
      </c>
      <c r="N1976" s="3" t="n"/>
      <c r="O1976" s="2" t="n"/>
    </row>
    <row r="1977">
      <c r="A1977" s="2" t="n">
        <v>1976</v>
      </c>
      <c r="B1977" s="2" t="inlineStr">
        <is>
          <t>короткая</t>
        </is>
      </c>
      <c r="C1977" s="2" t="n">
        <v>10050</v>
      </c>
      <c r="D1977" s="3" t="inlineStr">
        <is>
          <t>Счастье</t>
        </is>
      </c>
      <c r="E1977" s="2" t="n">
        <v>1990</v>
      </c>
      <c r="F1977" s="2" t="inlineStr">
        <is>
          <t>кинофильм</t>
        </is>
      </c>
      <c r="G1977" s="2" t="inlineStr">
        <is>
          <t>Арменфильм (по заказу Госавтоинспекции Арм.ССР)</t>
        </is>
      </c>
      <c r="H1977" s="2" t="n">
        <v>119</v>
      </c>
      <c r="I1977" s="2" t="inlineStr"/>
      <c r="J1977" s="2" t="inlineStr"/>
      <c r="K1977" s="3" t="inlineStr">
        <is>
          <t>Мадам Араксия считает счастьем только личное обогащение, владение автомашинами, ради чего готова оклеветать окружающих.</t>
        </is>
      </c>
      <c r="L1977" s="2" t="inlineStr">
        <is>
          <t>https://www.kino-teatr.ru/short/movie/sov/85502/annot/</t>
        </is>
      </c>
      <c r="M1977" s="2">
        <f>HYPERLINK("https://ru.wikipedia.org/w/index.php?search=%D0%A1%D1%87%D0%B0%D1%81%D1%82%D1%8C%D0%B5%201990%20%D1%84%D0%B8%D0%BB%D1%8C%D0%BC","искать")</f>
        <v/>
      </c>
      <c r="N1977" s="3" t="n"/>
      <c r="O1977" s="2" t="n"/>
    </row>
    <row r="1978">
      <c r="A1978" s="2" t="n">
        <v>1977</v>
      </c>
      <c r="B1978" s="2" t="inlineStr">
        <is>
          <t>короткая</t>
        </is>
      </c>
      <c r="C1978" s="2" t="n">
        <v>10095</v>
      </c>
      <c r="D1978" s="3" t="inlineStr">
        <is>
          <t>Интервью у весны</t>
        </is>
      </c>
      <c r="E1978" s="2" t="n">
        <v>1962</v>
      </c>
      <c r="F1978" s="2" t="inlineStr">
        <is>
          <t>фильм-спектакль</t>
        </is>
      </c>
      <c r="G1978" s="2" t="inlineStr">
        <is>
          <t>Центральное телевидение</t>
        </is>
      </c>
      <c r="H1978" s="2" t="n">
        <v>119</v>
      </c>
      <c r="I1978" s="2" t="inlineStr"/>
      <c r="J1978" s="2" t="inlineStr"/>
      <c r="K1978" s="3" t="inlineStr">
        <is>
          <t>Театральная афиша Московских театров.
Диктор Аза Лихитченко берет интервью у героев премьерных спектаклей этого сезона.</t>
        </is>
      </c>
      <c r="L1978" s="2" t="inlineStr">
        <is>
          <t>https://www.kino-teatr.ru/teatr/movie/102145/annot/</t>
        </is>
      </c>
      <c r="M1978" s="2">
        <f>HYPERLINK("https://ru.wikipedia.org/w/index.php?search=%D0%98%D0%BD%D1%82%D0%B5%D1%80%D0%B2%D1%8C%D1%8E%20%D1%83%20%D0%B2%D0%B5%D1%81%D0%BD%D1%8B%201962%20%D1%84%D0%B8%D0%BB%D1%8C%D0%BC","искать")</f>
        <v/>
      </c>
      <c r="N1978" s="3" t="n"/>
      <c r="O1978" s="2" t="n"/>
    </row>
    <row r="1979">
      <c r="A1979" s="2" t="n">
        <v>1978</v>
      </c>
      <c r="B1979" s="2" t="inlineStr">
        <is>
          <t>короткая</t>
        </is>
      </c>
      <c r="C1979" s="2" t="n">
        <v>7186</v>
      </c>
      <c r="D1979" s="3" t="inlineStr">
        <is>
          <t>А человек играет на трубе</t>
        </is>
      </c>
      <c r="E1979" s="2" t="n">
        <v>1970</v>
      </c>
      <c r="F1979" s="2" t="inlineStr">
        <is>
          <t>телефильм</t>
        </is>
      </c>
      <c r="G1979" s="2" t="inlineStr">
        <is>
          <t>Одесская к/с</t>
        </is>
      </c>
      <c r="H1979" s="2" t="n">
        <v>120</v>
      </c>
      <c r="I1979" s="2" t="inlineStr"/>
      <c r="J1979" s="2" t="inlineStr"/>
      <c r="K1979" s="3" t="inlineStr">
        <is>
          <t>Зима... Карпаты... Хорошо воспитанный юный трубач любит девушку и мечтает о взаимности... (По заказу Гостелерадио СССР).</t>
        </is>
      </c>
      <c r="L1979" s="2" t="inlineStr">
        <is>
          <t>Кино_СССР сводный каталог.xlsx: список телефильмов</t>
        </is>
      </c>
      <c r="M1979" s="2">
        <f>HYPERLINK("https://ru.wikipedia.org/w/index.php?search=%D0%90%20%D1%87%D0%B5%D0%BB%D0%BE%D0%B2%D0%B5%D0%BA%20%D0%B8%D0%B3%D1%80%D0%B0%D0%B5%D1%82%20%D0%BD%D0%B0%20%D1%82%D1%80%D1%83%D0%B1%D0%B5%201970%20%D1%84%D0%B8%D0%BB%D1%8C%D0%BC","искать")</f>
        <v/>
      </c>
      <c r="N1979" s="3" t="n"/>
      <c r="O1979" s="2" t="n"/>
    </row>
    <row r="1980">
      <c r="A1980" s="2" t="n">
        <v>1979</v>
      </c>
      <c r="B1980" s="2" t="inlineStr">
        <is>
          <t>короткая</t>
        </is>
      </c>
      <c r="C1980" s="2" t="n">
        <v>9355</v>
      </c>
      <c r="D1980" s="3" t="inlineStr">
        <is>
          <t>Железный мужчина</t>
        </is>
      </c>
      <c r="E1980" s="2" t="n">
        <v>1991</v>
      </c>
      <c r="F1980" s="2" t="inlineStr">
        <is>
          <t>кинофильм</t>
        </is>
      </c>
      <c r="G1980" s="2" t="n"/>
      <c r="H1980" s="2" t="n">
        <v>120</v>
      </c>
      <c r="I1980" s="2" t="inlineStr"/>
      <c r="J1980" s="2" t="inlineStr"/>
      <c r="K1980" s="3" t="inlineStr">
        <is>
          <t>История о том, как несколько женщин, собравшись в сауне, решили пожалеть одинокую подругу, одолжив ей мужа одной из них.</t>
        </is>
      </c>
      <c r="L1980" s="2" t="inlineStr">
        <is>
          <t>Кино_СССР сводный каталог.xlsx: список фильмов (доп.)</t>
        </is>
      </c>
      <c r="M1980" s="2">
        <f>HYPERLINK("https://ru.wikipedia.org/w/index.php?search=%D0%96%D0%B5%D0%BB%D0%B5%D0%B7%D0%BD%D1%8B%D0%B9%20%D0%BC%D1%83%D0%B6%D1%87%D0%B8%D0%BD%D0%B0%201991%20%D1%84%D0%B8%D0%BB%D1%8C%D0%BC","искать")</f>
        <v/>
      </c>
      <c r="N1980" s="3" t="n"/>
      <c r="O1980" s="2" t="n"/>
    </row>
    <row r="1981">
      <c r="A1981" s="2" t="n">
        <v>1980</v>
      </c>
      <c r="B1981" s="2" t="inlineStr">
        <is>
          <t>короткая</t>
        </is>
      </c>
      <c r="C1981" s="2" t="n">
        <v>9927</v>
      </c>
      <c r="D1981" s="3" t="inlineStr">
        <is>
          <t>Лакумы по-чегемски</t>
        </is>
      </c>
      <c r="E1981" s="2" t="n">
        <v>1977</v>
      </c>
      <c r="F1981" s="2" t="inlineStr">
        <is>
          <t>телефильм</t>
        </is>
      </c>
      <c r="G1981" s="2" t="inlineStr">
        <is>
          <t>Северо-Осетинская и Кабардино-Балкарская студии телевидения</t>
        </is>
      </c>
      <c r="H1981" s="2" t="n">
        <v>120</v>
      </c>
      <c r="I1981" s="2" t="inlineStr"/>
      <c r="J1981" s="2" t="inlineStr"/>
      <c r="K1981" s="3" t="inlineStr">
        <is>
          <t>Современный вариант рассказа О.Генри "Пимиентские блинчики".
События фильма происходят в наше время на Северном Кавказе.</t>
        </is>
      </c>
      <c r="L1981" s="2" t="inlineStr">
        <is>
          <t>https://www.kino-teatr.ru/short/movie/sov/81011/annot/</t>
        </is>
      </c>
      <c r="M1981" s="2">
        <f>HYPERLINK("https://ru.wikipedia.org/w/index.php?search=%D0%9B%D0%B0%D0%BA%D1%83%D0%BC%D1%8B%20%D0%BF%D0%BE-%D1%87%D0%B5%D0%B3%D0%B5%D0%BC%D1%81%D0%BA%D0%B8%201977%20%D1%84%D0%B8%D0%BB%D1%8C%D0%BC","искать")</f>
        <v/>
      </c>
      <c r="N1981" s="3" t="n"/>
      <c r="O1981" s="2" t="n"/>
    </row>
    <row r="1982">
      <c r="A1982" s="2" t="n">
        <v>1981</v>
      </c>
      <c r="B1982" s="2" t="inlineStr">
        <is>
          <t>короткая</t>
        </is>
      </c>
      <c r="C1982" s="2" t="n">
        <v>9943</v>
      </c>
      <c r="D1982" s="3" t="inlineStr">
        <is>
          <t>Мишка-телепат</t>
        </is>
      </c>
      <c r="E1982" s="2" t="n">
        <v>1979</v>
      </c>
      <c r="F1982" s="2" t="inlineStr">
        <is>
          <t>телефильм</t>
        </is>
      </c>
      <c r="G1982" s="2" t="inlineStr">
        <is>
          <t>Узбектелефильм</t>
        </is>
      </c>
      <c r="H1982" s="2" t="n">
        <v>120</v>
      </c>
      <c r="I1982" s="2" t="inlineStr"/>
      <c r="J1982" s="2" t="inlineStr"/>
      <c r="K1982" s="3" t="inlineStr">
        <is>
          <t>По одноименному рассказу В.Барабаша.
О забавных приключениях Мишки, Шавката и Улубека из 6 "А" класса Ташкентской школы.</t>
        </is>
      </c>
      <c r="L1982" s="2" t="inlineStr">
        <is>
          <t>https://www.kino-teatr.ru/short/movie/sov/92667/annot/</t>
        </is>
      </c>
      <c r="M1982" s="2">
        <f>HYPERLINK("https://ru.wikipedia.org/w/index.php?search=%D0%9C%D0%B8%D1%88%D0%BA%D0%B0-%D1%82%D0%B5%D0%BB%D0%B5%D0%BF%D0%B0%D1%82%201979%20%D1%84%D0%B8%D0%BB%D1%8C%D0%BC","искать")</f>
        <v/>
      </c>
      <c r="N1982" s="3" t="n"/>
      <c r="O1982" s="2" t="n"/>
    </row>
    <row r="1983">
      <c r="A1983" s="2" t="n">
        <v>1982</v>
      </c>
      <c r="B1983" s="2" t="inlineStr">
        <is>
          <t>короткая</t>
        </is>
      </c>
      <c r="C1983" s="2" t="n">
        <v>8246</v>
      </c>
      <c r="D1983" s="3" t="inlineStr">
        <is>
          <t>Пусть цветёт иван-чай</t>
        </is>
      </c>
      <c r="E1983" s="2" t="n">
        <v>1984</v>
      </c>
      <c r="F1983" s="2" t="inlineStr">
        <is>
          <t>телефильм</t>
        </is>
      </c>
      <c r="G1983" s="2" t="n"/>
      <c r="H1983" s="2" t="n">
        <v>121</v>
      </c>
      <c r="I1983" s="2" t="inlineStr"/>
      <c r="J1983" s="2" t="inlineStr"/>
      <c r="K1983" s="3" t="inlineStr">
        <is>
          <t>Трогательная история о дружбе ребят, которые помогают встретиться после почти полувековой разлуки двум одиноким старикам.</t>
        </is>
      </c>
      <c r="L1983" s="2" t="inlineStr">
        <is>
          <t>Кино_СССР сводный каталог.xlsx: список телефильмов</t>
        </is>
      </c>
      <c r="M1983" s="2">
        <f>HYPERLINK("https://ru.wikipedia.org/w/index.php?search=%D0%9F%D1%83%D1%81%D1%82%D1%8C%20%D1%86%D0%B2%D0%B5%D1%82%D1%91%D1%82%20%D0%B8%D0%B2%D0%B0%D0%BD-%D1%87%D0%B0%D0%B9%201984%20%D1%84%D0%B8%D0%BB%D1%8C%D0%BC","искать")</f>
        <v/>
      </c>
      <c r="N1983" s="3" t="n"/>
      <c r="O1983" s="2" t="n"/>
    </row>
    <row r="1984">
      <c r="A1984" s="2" t="n">
        <v>1983</v>
      </c>
      <c r="B1984" s="2" t="inlineStr">
        <is>
          <t>короткая</t>
        </is>
      </c>
      <c r="C1984" s="2" t="n">
        <v>9974</v>
      </c>
      <c r="D1984" s="3" t="inlineStr">
        <is>
          <t>Разговор</t>
        </is>
      </c>
      <c r="E1984" s="2" t="n">
        <v>1981</v>
      </c>
      <c r="F1984" s="2" t="inlineStr">
        <is>
          <t>телефильм</t>
        </is>
      </c>
      <c r="G1984" s="2" t="n"/>
      <c r="H1984" s="2" t="n">
        <v>121</v>
      </c>
      <c r="I1984" s="2" t="inlineStr"/>
      <c r="J1984" s="2" t="inlineStr"/>
      <c r="K1984" s="3" t="inlineStr">
        <is>
          <t>Девушка пришла поделиться с любимым важной новостью, но по телевизору идёт трансляция очень интересного хоккейного матча.</t>
        </is>
      </c>
      <c r="L1984" s="2" t="inlineStr">
        <is>
          <t>https://www.kino-teatr.ru/short/movie/sov/190626/annot/</t>
        </is>
      </c>
      <c r="M1984" s="2">
        <f>HYPERLINK("https://ru.wikipedia.org/w/index.php?search=%D0%A0%D0%B0%D0%B7%D0%B3%D0%BE%D0%B2%D0%BE%D1%80%201981%20%D1%84%D0%B8%D0%BB%D1%8C%D0%BC","искать")</f>
        <v/>
      </c>
      <c r="N1984" s="3" t="n"/>
      <c r="O1984" s="2" t="n"/>
    </row>
    <row r="1985">
      <c r="A1985" s="2" t="n">
        <v>1984</v>
      </c>
      <c r="B1985" s="2" t="inlineStr">
        <is>
          <t>короткая</t>
        </is>
      </c>
      <c r="C1985" s="2" t="n">
        <v>7575</v>
      </c>
      <c r="D1985" s="3" t="inlineStr">
        <is>
          <t>Если любишь...</t>
        </is>
      </c>
      <c r="E1985" s="2" t="n">
        <v>1982</v>
      </c>
      <c r="F1985" s="2" t="inlineStr">
        <is>
          <t>телефильм</t>
        </is>
      </c>
      <c r="G1985" s="2" t="n"/>
      <c r="H1985" s="2" t="n">
        <v>122</v>
      </c>
      <c r="I1985" s="2" t="inlineStr"/>
      <c r="J1985" s="2" t="inlineStr"/>
      <c r="K1985" s="3" t="inlineStr">
        <is>
          <t>Телефильм. Судьба главного героя фильма складывалась вполне благополучно, но случайная встреча круто меняет всю его жизнь.</t>
        </is>
      </c>
      <c r="L1985" s="2" t="inlineStr">
        <is>
          <t>Кино_СССР сводный каталог.xlsx: список телефильмов</t>
        </is>
      </c>
      <c r="M1985" s="2">
        <f>HYPERLINK("https://ru.wikipedia.org/w/index.php?search=%D0%95%D1%81%D0%BB%D0%B8%20%D0%BB%D1%8E%D0%B1%D0%B8%D1%88%D1%8C...%201982%20%D1%84%D0%B8%D0%BB%D1%8C%D0%BC","искать")</f>
        <v/>
      </c>
      <c r="N1985" s="3" t="n"/>
      <c r="O1985" s="2" t="n"/>
    </row>
    <row r="1986">
      <c r="A1986" s="2" t="n">
        <v>1985</v>
      </c>
      <c r="B1986" s="2" t="inlineStr">
        <is>
          <t>короткая</t>
        </is>
      </c>
      <c r="C1986" s="2" t="n">
        <v>8852</v>
      </c>
      <c r="D1986" s="3" t="inlineStr">
        <is>
          <t>Мумия в наколках</t>
        </is>
      </c>
      <c r="E1986" s="2" t="n">
        <v>1991</v>
      </c>
      <c r="F1986" s="2" t="inlineStr">
        <is>
          <t>кинофильм</t>
        </is>
      </c>
      <c r="G1986" s="2" t="n"/>
      <c r="H1986" s="2" t="n">
        <v>122</v>
      </c>
      <c r="I1986" s="2" t="inlineStr"/>
      <c r="J1986" s="2" t="inlineStr"/>
      <c r="K1986" s="3" t="inlineStr">
        <is>
          <t>У «погоревшего» кооператива ритуальных услуг был оставлен невостребованный труп, оживший в результате опытов экстрасенсов.</t>
        </is>
      </c>
      <c r="L1986" s="2" t="inlineStr">
        <is>
          <t>Кино_СССР сводный каталог.xlsx: список фильмов (доп.)</t>
        </is>
      </c>
      <c r="M1986" s="2">
        <f>HYPERLINK("https://ru.wikipedia.org/w/index.php?search=%D0%9C%D1%83%D0%BC%D0%B8%D1%8F%20%D0%B2%20%D0%BD%D0%B0%D0%BA%D0%BE%D0%BB%D0%BA%D0%B0%D1%85%201991%20%D1%84%D0%B8%D0%BB%D1%8C%D0%BC","искать")</f>
        <v/>
      </c>
      <c r="N1986" s="3" t="n"/>
      <c r="O1986" s="2" t="n"/>
    </row>
    <row r="1987">
      <c r="A1987" s="2" t="n">
        <v>1986</v>
      </c>
      <c r="B1987" s="2" t="inlineStr">
        <is>
          <t>короткая</t>
        </is>
      </c>
      <c r="C1987" s="2" t="n">
        <v>9914</v>
      </c>
      <c r="D1987" s="3" t="inlineStr">
        <is>
          <t>Пассажир</t>
        </is>
      </c>
      <c r="E1987" s="2" t="n">
        <v>1975</v>
      </c>
      <c r="F1987" s="2" t="inlineStr">
        <is>
          <t>телефильм</t>
        </is>
      </c>
      <c r="G1987" s="2" t="inlineStr">
        <is>
          <t>Новосибирская студия телевидения</t>
        </is>
      </c>
      <c r="H1987" s="2" t="n">
        <v>122</v>
      </c>
      <c r="I1987" s="2" t="inlineStr"/>
      <c r="J1987" s="2" t="inlineStr"/>
      <c r="K1987" s="3" t="inlineStr">
        <is>
          <t>По мотивам рассказа И.Назарова "Быль великой реки".
Юноша Игорь во время аварии на барже не растерялся и проявил мужество.</t>
        </is>
      </c>
      <c r="L1987" s="2" t="inlineStr">
        <is>
          <t>https://www.kino-teatr.ru/short/movie/sov/92658/annot/</t>
        </is>
      </c>
      <c r="M1987" s="2">
        <f>HYPERLINK("https://ru.wikipedia.org/w/index.php?search=%D0%9F%D0%B0%D1%81%D1%81%D0%B0%D0%B6%D0%B8%D1%80%201975%20%D1%84%D0%B8%D0%BB%D1%8C%D0%BC","искать")</f>
        <v/>
      </c>
      <c r="N1987" s="3" t="n"/>
      <c r="O1987" s="2" t="n"/>
    </row>
    <row r="1988">
      <c r="A1988" s="2" t="n">
        <v>1987</v>
      </c>
      <c r="B1988" s="2" t="inlineStr">
        <is>
          <t>короткая</t>
        </is>
      </c>
      <c r="C1988" s="2" t="n">
        <v>8558</v>
      </c>
      <c r="D1988" s="3" t="inlineStr">
        <is>
          <t>Четверка по пению</t>
        </is>
      </c>
      <c r="E1988" s="2" t="n">
        <v>1973</v>
      </c>
      <c r="F1988" s="2" t="inlineStr">
        <is>
          <t>телефильм</t>
        </is>
      </c>
      <c r="G1988" s="2" t="n"/>
      <c r="H1988" s="2" t="n">
        <v>123</v>
      </c>
      <c r="I1988" s="2" t="inlineStr"/>
      <c r="J1988" s="2" t="inlineStr"/>
      <c r="K1988" s="3" t="inlineStr">
        <is>
          <t>Телефильм об увлекательном путешествии по родному краю школьника Ермека, поехавшего во время летних каникул в гости к дяде.</t>
        </is>
      </c>
      <c r="L1988" s="2" t="inlineStr">
        <is>
          <t>Кино_СССР сводный каталог.xlsx: список телефильмов</t>
        </is>
      </c>
      <c r="M1988" s="2">
        <f>HYPERLINK("https://ru.wikipedia.org/w/index.php?search=%D0%A7%D0%B5%D1%82%D0%B2%D0%B5%D1%80%D0%BA%D0%B0%20%D0%BF%D0%BE%20%D0%BF%D0%B5%D0%BD%D0%B8%D1%8E%201973%20%D1%84%D0%B8%D0%BB%D1%8C%D0%BC","искать")</f>
        <v/>
      </c>
      <c r="N1988" s="3" t="n"/>
      <c r="O1988" s="2" t="n"/>
    </row>
    <row r="1989">
      <c r="A1989" s="2" t="n">
        <v>1988</v>
      </c>
      <c r="B1989" s="2" t="inlineStr">
        <is>
          <t>короткая</t>
        </is>
      </c>
      <c r="C1989" s="2" t="n">
        <v>9865</v>
      </c>
      <c r="D1989" s="3" t="inlineStr">
        <is>
          <t>Фанос-неудачник</t>
        </is>
      </c>
      <c r="E1989" s="2" t="n">
        <v>1969</v>
      </c>
      <c r="F1989" s="2" t="inlineStr">
        <is>
          <t>кинофильм</t>
        </is>
      </c>
      <c r="G1989" s="2" t="inlineStr">
        <is>
          <t>кинообъединение “Ереван” Ер.СТ</t>
        </is>
      </c>
      <c r="H1989" s="2" t="n">
        <v>123</v>
      </c>
      <c r="I1989" s="2" t="inlineStr"/>
      <c r="J1989" s="2" t="inlineStr"/>
      <c r="K1989" s="3" t="inlineStr">
        <is>
          <t>Ձախորդ Փանոսը
По одноименной сказке Ованеса Туманяна.
Все, что бы ни предпринял неудачник Панос, оборачивается против него.</t>
        </is>
      </c>
      <c r="L1989" s="2" t="inlineStr">
        <is>
          <t>https://www.kino-teatr.ru/short/movie/sov/85497/annot/</t>
        </is>
      </c>
      <c r="M1989" s="2">
        <f>HYPERLINK("https://ru.wikipedia.org/w/index.php?search=%D0%A4%D0%B0%D0%BD%D0%BE%D1%81-%D0%BD%D0%B5%D1%83%D0%B4%D0%B0%D1%87%D0%BD%D0%B8%D0%BA%201969%20%D1%84%D0%B8%D0%BB%D1%8C%D0%BC","искать")</f>
        <v/>
      </c>
      <c r="N1989" s="3" t="n"/>
      <c r="O1989" s="2" t="n"/>
    </row>
    <row r="1990">
      <c r="A1990" s="2" t="n">
        <v>1989</v>
      </c>
      <c r="B1990" s="2" t="inlineStr">
        <is>
          <t>короткая</t>
        </is>
      </c>
      <c r="C1990" s="2" t="n">
        <v>7446</v>
      </c>
      <c r="D1990" s="3" t="inlineStr">
        <is>
          <t>Голубой лев</t>
        </is>
      </c>
      <c r="E1990" s="2" t="n">
        <v>1979</v>
      </c>
      <c r="F1990" s="2" t="inlineStr">
        <is>
          <t>телефильм</t>
        </is>
      </c>
      <c r="G1990" s="2" t="inlineStr">
        <is>
          <t>Арменфильм</t>
        </is>
      </c>
      <c r="H1990" s="2" t="n">
        <v>124</v>
      </c>
      <c r="I1990" s="2" t="inlineStr"/>
      <c r="J1990" s="2" t="inlineStr"/>
      <c r="K1990" s="3" t="inlineStr">
        <is>
          <t>Двое преступников решили украсть редчайшую почтовую марку. Но в квартире оказался человек, который становится их заложником.</t>
        </is>
      </c>
      <c r="L1990" s="2" t="inlineStr">
        <is>
          <t>Кино_СССР сводный каталог.xlsx: список телефильмов</t>
        </is>
      </c>
      <c r="M1990" s="2">
        <f>HYPERLINK("https://ru.wikipedia.org/w/index.php?search=%D0%93%D0%BE%D0%BB%D1%83%D0%B1%D0%BE%D0%B9%20%D0%BB%D0%B5%D0%B2%201979%20%D1%84%D0%B8%D0%BB%D1%8C%D0%BC","искать")</f>
        <v/>
      </c>
      <c r="N1990" s="3" t="n"/>
      <c r="O1990" s="2" t="n"/>
    </row>
    <row r="1991">
      <c r="A1991" s="2" t="n">
        <v>1990</v>
      </c>
      <c r="B1991" s="2" t="inlineStr">
        <is>
          <t>короткая</t>
        </is>
      </c>
      <c r="C1991" s="2" t="n">
        <v>9915</v>
      </c>
      <c r="D1991" s="3" t="inlineStr">
        <is>
          <t>Птичье молоко</t>
        </is>
      </c>
      <c r="E1991" s="2" t="n">
        <v>1975</v>
      </c>
      <c r="F1991" s="2" t="inlineStr">
        <is>
          <t>телефильм</t>
        </is>
      </c>
      <c r="G1991" s="2" t="inlineStr">
        <is>
          <t>Грузия-фильм по заказу государственного комитета Совета Министров СССР по телевидению и радиовещанию</t>
        </is>
      </c>
      <c r="H1991" s="2" t="n">
        <v>124</v>
      </c>
      <c r="I1991" s="2" t="inlineStr"/>
      <c r="J1991" s="2" t="inlineStr"/>
      <c r="K1991" s="3" t="inlineStr">
        <is>
          <t>Телефильм по мотивам грузинских народных сказок. Герой фильма - добрый и храбрый мальчик, помогающий людям бороться со злом.</t>
        </is>
      </c>
      <c r="L1991" s="2" t="inlineStr">
        <is>
          <t>https://www.kino-teatr.ru/short/movie/sov/37669/annot/</t>
        </is>
      </c>
      <c r="M1991" s="2">
        <f>HYPERLINK("https://ru.wikipedia.org/w/index.php?search=%D0%9F%D1%82%D0%B8%D1%87%D1%8C%D0%B5%20%D0%BC%D0%BE%D0%BB%D0%BE%D0%BA%D0%BE%201975%20%D1%84%D0%B8%D0%BB%D1%8C%D0%BC","искать")</f>
        <v/>
      </c>
      <c r="N1991" s="3" t="n"/>
      <c r="O1991" s="2" t="n"/>
    </row>
    <row r="1992">
      <c r="A1992" s="2" t="n">
        <v>1991</v>
      </c>
      <c r="B1992" s="2" t="inlineStr">
        <is>
          <t>короткая</t>
        </is>
      </c>
      <c r="C1992" s="2" t="n">
        <v>10093</v>
      </c>
      <c r="D1992" s="3" t="inlineStr">
        <is>
          <t>Дама с камелиями</t>
        </is>
      </c>
      <c r="E1992" s="2" t="n">
        <v>1962</v>
      </c>
      <c r="F1992" s="2" t="inlineStr">
        <is>
          <t>фильм-спектакль</t>
        </is>
      </c>
      <c r="G1992" s="2" t="inlineStr">
        <is>
          <t>Radiotelevisão Portuguesa (RTP)</t>
        </is>
      </c>
      <c r="H1992" s="2" t="n">
        <v>124</v>
      </c>
      <c r="I1992" s="2" t="inlineStr"/>
      <c r="J1992" s="2" t="inlineStr"/>
      <c r="K1992" s="3" t="inlineStr">
        <is>
          <t>На основе произведения Александра Дюма-сына.
История трагической любви парижской куртизанки Маргариты Готье и Армана Дюваля.</t>
        </is>
      </c>
      <c r="L1992" s="2" t="inlineStr">
        <is>
          <t>https://www.kino-teatr.ru/teatr/movie/130591/annot/</t>
        </is>
      </c>
      <c r="M1992" s="2">
        <f>HYPERLINK("https://ru.wikipedia.org/w/index.php?search=%D0%94%D0%B0%D0%BC%D0%B0%20%D1%81%20%D0%BA%D0%B0%D0%BC%D0%B5%D0%BB%D0%B8%D1%8F%D0%BC%D0%B8%201962%20%D1%84%D0%B8%D0%BB%D1%8C%D0%BC","искать")</f>
        <v/>
      </c>
      <c r="N1992" s="3" t="n"/>
      <c r="O1992" s="2" t="n"/>
    </row>
    <row r="1993">
      <c r="A1993" s="2" t="n">
        <v>1992</v>
      </c>
      <c r="B1993" s="2" t="inlineStr">
        <is>
          <t>короткая</t>
        </is>
      </c>
      <c r="C1993" s="2" t="n">
        <v>8877</v>
      </c>
      <c r="D1993" s="3" t="inlineStr">
        <is>
          <t>Нокдаун</t>
        </is>
      </c>
      <c r="E1993" s="2" t="n">
        <v>1989</v>
      </c>
      <c r="F1993" s="2" t="inlineStr">
        <is>
          <t>кинофильм</t>
        </is>
      </c>
      <c r="G1993" s="2" t="n"/>
      <c r="H1993" s="2" t="n">
        <v>125</v>
      </c>
      <c r="I1993" s="2" t="inlineStr"/>
      <c r="J1993" s="2" t="inlineStr"/>
      <c r="K1993" s="3" t="inlineStr">
        <is>
          <t>Любовная драма на фоне спортивных состязаний и психологических потрясений молодого боксера Даира, однажды потерявшего зрение.</t>
        </is>
      </c>
      <c r="L1993" s="2" t="inlineStr">
        <is>
          <t>Кино_СССР сводный каталог.xlsx: список фильмов (доп.)</t>
        </is>
      </c>
      <c r="M1993" s="2">
        <f>HYPERLINK("https://ru.wikipedia.org/w/index.php?search=%D0%9D%D0%BE%D0%BA%D0%B4%D0%B0%D1%83%D0%BD%201989%20%D1%84%D0%B8%D0%BB%D1%8C%D0%BC","искать")</f>
        <v/>
      </c>
      <c r="N1993" s="3" t="n"/>
      <c r="O1993" s="2" t="n"/>
    </row>
    <row r="1994">
      <c r="A1994" s="2" t="n">
        <v>1993</v>
      </c>
      <c r="B1994" s="2" t="inlineStr">
        <is>
          <t>короткая</t>
        </is>
      </c>
      <c r="C1994" s="2" t="n">
        <v>9939</v>
      </c>
      <c r="D1994" s="3" t="inlineStr">
        <is>
          <t>Откуда вода течет</t>
        </is>
      </c>
      <c r="E1994" s="2" t="n">
        <v>1978</v>
      </c>
      <c r="F1994" s="2" t="inlineStr">
        <is>
          <t>телефильм</t>
        </is>
      </c>
      <c r="G1994" s="2" t="inlineStr">
        <is>
          <t>Таджиктелефильм</t>
        </is>
      </c>
      <c r="H1994" s="2" t="n">
        <v>125</v>
      </c>
      <c r="I1994" s="2" t="inlineStr"/>
      <c r="J1994" s="2" t="inlineStr"/>
      <c r="K1994" s="3" t="inlineStr">
        <is>
          <t>По одноименной повести А.Шукухи.
О приключениях пятилетних Асада и Пети, когда они решили найти, откуда приходит вода в арык.</t>
        </is>
      </c>
      <c r="L1994" s="2" t="inlineStr">
        <is>
          <t>https://www.kino-teatr.ru/short/movie/sov/92657/annot/</t>
        </is>
      </c>
      <c r="M1994" s="2">
        <f>HYPERLINK("https://ru.wikipedia.org/w/index.php?search=%D0%9E%D1%82%D0%BA%D1%83%D0%B4%D0%B0%20%D0%B2%D0%BE%D0%B4%D0%B0%20%D1%82%D0%B5%D1%87%D0%B5%D1%82%201978%20%D1%84%D0%B8%D0%BB%D1%8C%D0%BC","искать")</f>
        <v/>
      </c>
      <c r="N1994" s="3" t="n"/>
      <c r="O1994" s="2" t="n"/>
    </row>
    <row r="1995">
      <c r="A1995" s="2" t="n">
        <v>1994</v>
      </c>
      <c r="B1995" s="2" t="inlineStr">
        <is>
          <t>короткая</t>
        </is>
      </c>
      <c r="C1995" s="2" t="n">
        <v>8146</v>
      </c>
      <c r="D1995" s="3" t="inlineStr">
        <is>
          <t>Поехал поезд в Бульзибар</t>
        </is>
      </c>
      <c r="E1995" s="2" t="n">
        <v>1986</v>
      </c>
      <c r="F1995" s="2" t="inlineStr">
        <is>
          <t>телефильм</t>
        </is>
      </c>
      <c r="G1995" s="2" t="n"/>
      <c r="H1995" s="2" t="n">
        <v>126</v>
      </c>
      <c r="I1995" s="2" t="inlineStr"/>
      <c r="J1995" s="2" t="inlineStr"/>
      <c r="K1995" s="3" t="inlineStr">
        <is>
          <t>Телефильм. Мюзикл о веселом фантастическом путешествии учеников со своим учителем в сказку с приключениями, песнями и танцами.</t>
        </is>
      </c>
      <c r="L1995" s="2" t="inlineStr">
        <is>
          <t>Кино_СССР сводный каталог.xlsx: список телефильмов</t>
        </is>
      </c>
      <c r="M1995" s="2">
        <f>HYPERLINK("https://ru.wikipedia.org/w/index.php?search=%D0%9F%D0%BE%D0%B5%D1%85%D0%B0%D0%BB%20%D0%BF%D0%BE%D0%B5%D0%B7%D0%B4%20%D0%B2%20%D0%91%D1%83%D0%BB%D1%8C%D0%B7%D0%B8%D0%B1%D0%B0%D1%80%201986%20%D1%84%D0%B8%D0%BB%D1%8C%D0%BC","искать")</f>
        <v/>
      </c>
      <c r="N1995" s="3" t="n"/>
      <c r="O1995" s="2" t="n"/>
    </row>
    <row r="1996">
      <c r="A1996" s="2" t="n">
        <v>1995</v>
      </c>
      <c r="B1996" s="2" t="inlineStr">
        <is>
          <t>короткая</t>
        </is>
      </c>
      <c r="C1996" s="2" t="n">
        <v>8689</v>
      </c>
      <c r="D1996" s="3" t="inlineStr">
        <is>
          <t>Гюль и Толмаз</t>
        </is>
      </c>
      <c r="E1996" s="2" t="n">
        <v>1929</v>
      </c>
      <c r="F1996" s="2" t="inlineStr">
        <is>
          <t>кинофильм</t>
        </is>
      </c>
      <c r="G1996" s="2" t="n"/>
      <c r="H1996" s="2" t="n">
        <v>126</v>
      </c>
      <c r="I1996" s="2" t="inlineStr"/>
      <c r="J1996" s="2" t="inlineStr"/>
      <c r="K1996" s="3" t="inlineStr">
        <is>
          <t>Драма по мотивам народной легенды. О любви дочери бая к простому пастуху. Картина не была закончена, материалы не сохранились.</t>
        </is>
      </c>
      <c r="L1996" s="2" t="inlineStr">
        <is>
          <t>Кино_СССР сводный каталог.xlsx: список фильмов (доп.)</t>
        </is>
      </c>
      <c r="M1996" s="2">
        <f>HYPERLINK("https://ru.wikipedia.org/w/index.php?search=%D0%93%D1%8E%D0%BB%D1%8C%20%D0%B8%20%D0%A2%D0%BE%D0%BB%D0%BC%D0%B0%D0%B7%201929%20%D1%84%D0%B8%D0%BB%D1%8C%D0%BC","искать")</f>
        <v/>
      </c>
      <c r="N1996" s="3" t="n"/>
      <c r="O1996" s="2" t="n"/>
    </row>
    <row r="1997">
      <c r="A1997" s="2" t="n">
        <v>1996</v>
      </c>
      <c r="B1997" s="2" t="inlineStr">
        <is>
          <t>короткая</t>
        </is>
      </c>
      <c r="C1997" s="2" t="n">
        <v>10547</v>
      </c>
      <c r="D1997" s="3" t="inlineStr">
        <is>
          <t>В восемнадцать мальчишеских лет</t>
        </is>
      </c>
      <c r="E1997" s="2" t="n">
        <v>1974</v>
      </c>
      <c r="F1997" s="2" t="inlineStr">
        <is>
          <t>фильм-спектакль</t>
        </is>
      </c>
      <c r="G1997" s="2" t="n"/>
      <c r="H1997" s="2" t="n">
        <v>126</v>
      </c>
      <c r="I1997" s="2" t="inlineStr"/>
      <c r="J1997" s="2" t="inlineStr"/>
      <c r="K1997" s="3" t="inlineStr">
        <is>
          <t>О жизни летчика-истребителя Тимура Фрунзе, героически погибшего в неравном бою с немецко-фашистскими захватчиками под Москвой.</t>
        </is>
      </c>
      <c r="L1997" s="2" t="inlineStr">
        <is>
          <t>https://www.kino-teatr.ru/teatr/movie/81261/annot/</t>
        </is>
      </c>
      <c r="M1997" s="2">
        <f>HYPERLINK("https://ru.wikipedia.org/w/index.php?search=%D0%92%20%D0%B2%D0%BE%D1%81%D0%B5%D0%BC%D0%BD%D0%B0%D0%B4%D1%86%D0%B0%D1%82%D1%8C%20%D0%BC%D0%B0%D0%BB%D1%8C%D1%87%D0%B8%D1%88%D0%B5%D1%81%D0%BA%D0%B8%D1%85%20%D0%BB%D0%B5%D1%82%201974%20%D1%84%D0%B8%D0%BB%D1%8C%D0%BC","искать")</f>
        <v/>
      </c>
      <c r="N1997" s="3" t="n"/>
      <c r="O1997" s="2" t="n"/>
    </row>
    <row r="1998">
      <c r="A1998" s="2" t="n">
        <v>1997</v>
      </c>
      <c r="B1998" s="2" t="inlineStr">
        <is>
          <t>короткая</t>
        </is>
      </c>
      <c r="C1998" s="2" t="n">
        <v>8245</v>
      </c>
      <c r="D1998" s="3" t="inlineStr">
        <is>
          <t>Пусть прилетают чайки</t>
        </is>
      </c>
      <c r="E1998" s="2" t="n">
        <v>1978</v>
      </c>
      <c r="F1998" s="2" t="inlineStr">
        <is>
          <t>телефильм</t>
        </is>
      </c>
      <c r="G1998" s="2" t="n"/>
      <c r="H1998" s="2" t="n">
        <v>127</v>
      </c>
      <c r="I1998" s="2" t="inlineStr"/>
      <c r="J1998" s="2" t="inlineStr"/>
      <c r="K1998" s="3" t="inlineStr">
        <is>
          <t>По мотивам повести У.Умарбекова «У кого нет забот». О поисках геологами места для строительства плотины вблизи горного кишлака.</t>
        </is>
      </c>
      <c r="L1998" s="2" t="inlineStr">
        <is>
          <t>Кино_СССР сводный каталог.xlsx: список телефильмов</t>
        </is>
      </c>
      <c r="M1998" s="2">
        <f>HYPERLINK("https://ru.wikipedia.org/w/index.php?search=%D0%9F%D1%83%D1%81%D1%82%D1%8C%20%D0%BF%D1%80%D0%B8%D0%BB%D0%B5%D1%82%D0%B0%D1%8E%D1%82%20%D1%87%D0%B0%D0%B9%D0%BA%D0%B8%201978%20%D1%84%D0%B8%D0%BB%D1%8C%D0%BC","искать")</f>
        <v/>
      </c>
      <c r="N1998" s="3" t="n"/>
      <c r="O1998" s="2" t="n"/>
    </row>
    <row r="1999">
      <c r="A1999" s="2" t="n">
        <v>1998</v>
      </c>
      <c r="B1999" s="2" t="inlineStr">
        <is>
          <t>короткая</t>
        </is>
      </c>
      <c r="C1999" s="2" t="n">
        <v>8673</v>
      </c>
      <c r="D1999" s="3" t="inlineStr">
        <is>
          <t>Выкидыш</t>
        </is>
      </c>
      <c r="E1999" s="2" t="n">
        <v>1991</v>
      </c>
      <c r="F1999" s="2" t="inlineStr">
        <is>
          <t>кинофильм</t>
        </is>
      </c>
      <c r="G1999" s="2" t="inlineStr">
        <is>
          <t>Творческое объединение"Алан", Одесская киностудия</t>
        </is>
      </c>
      <c r="H1999" s="2" t="n">
        <v>127</v>
      </c>
      <c r="I1999" s="2" t="inlineStr"/>
      <c r="J1999" s="2" t="inlineStr"/>
      <c r="K1999" s="3" t="inlineStr">
        <is>
          <t>В центре сюжета фильма, снятого в сюрреалистической манере, - трагедия молодого интеллигента, покончившего жизнь самоубийством.</t>
        </is>
      </c>
      <c r="L1999" s="2" t="inlineStr">
        <is>
          <t>Кино_СССР сводный каталог.xlsx: список фильмов (доп.)</t>
        </is>
      </c>
      <c r="M1999" s="2">
        <f>HYPERLINK("https://ru.wikipedia.org/w/index.php?search=%D0%92%D1%8B%D0%BA%D0%B8%D0%B4%D1%8B%D1%88%201991%20%D1%84%D0%B8%D0%BB%D1%8C%D0%BC","искать")</f>
        <v/>
      </c>
      <c r="N1999" s="3" t="n"/>
      <c r="O1999" s="2" t="n"/>
    </row>
    <row r="2000">
      <c r="A2000" s="2" t="n">
        <v>1999</v>
      </c>
      <c r="B2000" s="2" t="inlineStr">
        <is>
          <t>короткая</t>
        </is>
      </c>
      <c r="C2000" s="2" t="n">
        <v>8676</v>
      </c>
      <c r="D2000" s="3" t="inlineStr">
        <is>
          <t>Газельхан</t>
        </is>
      </c>
      <c r="E2000" s="2" t="n">
        <v>1991</v>
      </c>
      <c r="F2000" s="2" t="inlineStr">
        <is>
          <t>кинофильм</t>
        </is>
      </c>
      <c r="G2000" s="2" t="n"/>
      <c r="H2000" s="2" t="n">
        <v>127</v>
      </c>
      <c r="I2000" s="2" t="inlineStr"/>
      <c r="J2000" s="2" t="inlineStr"/>
      <c r="K2000" s="3" t="inlineStr">
        <is>
          <t>Фильм состоит из отдельных эпизодов соединенной единой сюжетной линией из жизни поэта Алиага Вахида создающий обобщенный образ.</t>
        </is>
      </c>
      <c r="L2000" s="2" t="inlineStr">
        <is>
          <t>Кино_СССР сводный каталог.xlsx: список фильмов (доп.)</t>
        </is>
      </c>
      <c r="M2000" s="2">
        <f>HYPERLINK("https://ru.wikipedia.org/w/index.php?search=%D0%93%D0%B0%D0%B7%D0%B5%D0%BB%D1%8C%D1%85%D0%B0%D0%BD%201991%20%D1%84%D0%B8%D0%BB%D1%8C%D0%BC","искать")</f>
        <v/>
      </c>
      <c r="N2000" s="3" t="n"/>
      <c r="O2000" s="2" t="n"/>
    </row>
    <row r="2001">
      <c r="A2001" s="2" t="n">
        <v>2000</v>
      </c>
      <c r="B2001" s="2" t="inlineStr">
        <is>
          <t>короткая</t>
        </is>
      </c>
      <c r="C2001" s="2" t="n">
        <v>9864</v>
      </c>
      <c r="D2001" s="3" t="inlineStr">
        <is>
          <t>У Лукоморья</t>
        </is>
      </c>
      <c r="E2001" s="2" t="n">
        <v>1969</v>
      </c>
      <c r="F2001" s="2" t="inlineStr">
        <is>
          <t>телефильм</t>
        </is>
      </c>
      <c r="G2001" s="2" t="inlineStr">
        <is>
          <t>ТО Экран</t>
        </is>
      </c>
      <c r="H2001" s="2" t="n">
        <v>127</v>
      </c>
      <c r="I2001" s="2" t="inlineStr"/>
      <c r="J2001" s="2" t="inlineStr"/>
      <c r="K2001" s="3" t="inlineStr">
        <is>
          <t>Детский фильм по мотивам рассказа Р.Кутуя "С закрытыми глазами".
Рассказ о дружбе десятилетнего Ильки со своей старшей сестрой.</t>
        </is>
      </c>
      <c r="L2001" s="2" t="inlineStr">
        <is>
          <t>https://www.kino-teatr.ru/short/movie/sov/9577/annot/</t>
        </is>
      </c>
      <c r="M2001" s="2">
        <f>HYPERLINK("https://ru.wikipedia.org/w/index.php?search=%D0%A3%20%D0%9B%D1%83%D0%BA%D0%BE%D0%BC%D0%BE%D1%80%D1%8C%D1%8F%201969%20%D1%84%D0%B8%D0%BB%D1%8C%D0%BC","искать")</f>
        <v/>
      </c>
      <c r="N2001" s="3" t="n"/>
      <c r="O2001" s="2" t="n"/>
    </row>
    <row r="2002">
      <c r="A2002" s="2" t="n">
        <v>2001</v>
      </c>
      <c r="B2002" s="2" t="inlineStr">
        <is>
          <t>короткая</t>
        </is>
      </c>
      <c r="C2002" s="2" t="n">
        <v>8408</v>
      </c>
      <c r="D2002" s="3" t="inlineStr">
        <is>
          <t>Страницы первой любви</t>
        </is>
      </c>
      <c r="E2002" s="2" t="n">
        <v>1964</v>
      </c>
      <c r="F2002" s="2" t="inlineStr">
        <is>
          <t>телефильм</t>
        </is>
      </c>
      <c r="G2002" s="2" t="n"/>
      <c r="H2002" s="2" t="n">
        <v>128</v>
      </c>
      <c r="I2002" s="2" t="inlineStr"/>
      <c r="J2002" s="2" t="inlineStr"/>
      <c r="K2002" s="3" t="inlineStr">
        <is>
          <t>По повести В. Рослякова «Обыкновенная история». О судьбе девушки, уехавшей из родного Орла в Сибирь и нашедшей там свое счастье.</t>
        </is>
      </c>
      <c r="L2002" s="2" t="inlineStr">
        <is>
          <t>Кино_СССР сводный каталог.xlsx: список телефильмов</t>
        </is>
      </c>
      <c r="M2002" s="2">
        <f>HYPERLINK("https://ru.wikipedia.org/w/index.php?search=%D0%A1%D1%82%D1%80%D0%B0%D0%BD%D0%B8%D1%86%D1%8B%20%D0%BF%D0%B5%D1%80%D0%B2%D0%BE%D0%B9%20%D0%BB%D1%8E%D0%B1%D0%B2%D0%B8%201964%20%D1%84%D0%B8%D0%BB%D1%8C%D0%BC","искать")</f>
        <v/>
      </c>
      <c r="N2002" s="3" t="n"/>
      <c r="O2002" s="2" t="n"/>
    </row>
    <row r="2003">
      <c r="A2003" s="2" t="n">
        <v>2002</v>
      </c>
      <c r="B2003" s="2" t="inlineStr">
        <is>
          <t>короткая</t>
        </is>
      </c>
      <c r="C2003" s="2" t="n">
        <v>8753</v>
      </c>
      <c r="D2003" s="3" t="inlineStr">
        <is>
          <t>Кайрат</t>
        </is>
      </c>
      <c r="E2003" s="2" t="n">
        <v>1991</v>
      </c>
      <c r="F2003" s="2" t="inlineStr">
        <is>
          <t>кинофильм</t>
        </is>
      </c>
      <c r="G2003" s="2" t="n"/>
      <c r="H2003" s="2" t="n">
        <v>128</v>
      </c>
      <c r="I2003" s="2" t="inlineStr"/>
      <c r="J2003" s="2" t="inlineStr"/>
      <c r="K2003" s="3" t="inlineStr">
        <is>
          <t>Молодой человек, оказавшись в большом городе, пытается прорваться сквозь стену одиночества и понять мотивы поведения окружающих.</t>
        </is>
      </c>
      <c r="L2003" s="2" t="inlineStr">
        <is>
          <t>Кино_СССР сводный каталог.xlsx: список фильмов (доп.)</t>
        </is>
      </c>
      <c r="M2003" s="2">
        <f>HYPERLINK("https://ru.wikipedia.org/w/index.php?search=%D0%9A%D0%B0%D0%B9%D1%80%D0%B0%D1%82%201991%20%D1%84%D0%B8%D0%BB%D1%8C%D0%BC","искать")</f>
        <v/>
      </c>
      <c r="N2003" s="3" t="n"/>
      <c r="O2003" s="2" t="n"/>
    </row>
    <row r="2004">
      <c r="A2004" s="2" t="n">
        <v>2003</v>
      </c>
      <c r="B2004" s="2" t="inlineStr">
        <is>
          <t>короткая</t>
        </is>
      </c>
      <c r="C2004" s="2" t="n">
        <v>8822</v>
      </c>
      <c r="D2004" s="3" t="inlineStr">
        <is>
          <t>Мария, Мирабела в Транзистории</t>
        </is>
      </c>
      <c r="E2004" s="2" t="n">
        <v>1988</v>
      </c>
      <c r="F2004" s="2" t="inlineStr">
        <is>
          <t>мультфильм</t>
        </is>
      </c>
      <c r="G2004" s="2" t="inlineStr">
        <is>
          <t>Мосфильм; Romania Film; Союзмультфильм</t>
        </is>
      </c>
      <c r="H2004" s="2" t="n">
        <v>128</v>
      </c>
      <c r="I2004" s="2" t="inlineStr"/>
      <c r="J2004" s="2" t="inlineStr"/>
      <c r="K2004" s="3" t="inlineStr">
        <is>
          <t>Мария и Мирабела вместе с лягушонком, бабочкой и светлячком попадают в волшебную страну Транзисторию, скрытую внутри телевизора.</t>
        </is>
      </c>
      <c r="L2004" s="2" t="inlineStr">
        <is>
          <t>Кино_СССР сводный каталог.xlsx: список фильмов (доп.)</t>
        </is>
      </c>
      <c r="M2004" s="2">
        <f>HYPERLINK("https://ru.wikipedia.org/w/index.php?search=%D0%9C%D0%B0%D1%80%D0%B8%D1%8F%2C%20%D0%9C%D0%B8%D1%80%D0%B0%D0%B1%D0%B5%D0%BB%D0%B0%20%D0%B2%20%D0%A2%D1%80%D0%B0%D0%BD%D0%B7%D0%B8%D1%81%D1%82%D0%BE%D1%80%D0%B8%D0%B8%201988%20%D1%84%D0%B8%D0%BB%D1%8C%D0%BC","искать")</f>
        <v/>
      </c>
      <c r="N2004" s="3" t="n"/>
      <c r="O2004" s="2" t="n"/>
    </row>
    <row r="2005">
      <c r="A2005" s="2" t="n">
        <v>2004</v>
      </c>
      <c r="B2005" s="2" t="inlineStr">
        <is>
          <t>короткая</t>
        </is>
      </c>
      <c r="C2005" s="2" t="n">
        <v>9046</v>
      </c>
      <c r="D2005" s="3" t="inlineStr">
        <is>
          <t>Слёзы и меч</t>
        </is>
      </c>
      <c r="E2005" s="2" t="n">
        <v>1991</v>
      </c>
      <c r="F2005" s="2" t="inlineStr">
        <is>
          <t>кинофильм</t>
        </is>
      </c>
      <c r="G2005" s="2" t="n"/>
      <c r="H2005" s="2" t="n">
        <v>128</v>
      </c>
      <c r="I2005" s="2" t="inlineStr"/>
      <c r="J2005" s="2" t="inlineStr"/>
      <c r="K2005" s="3" t="inlineStr">
        <is>
          <t>По роману Сатыма Улуг-заде «Восе». О предводителе крестьянского восстания в Таджикистане, горце Восе. Время действия — 1885 год.</t>
        </is>
      </c>
      <c r="L2005" s="2" t="inlineStr">
        <is>
          <t>Кино_СССР сводный каталог.xlsx: список фильмов (доп.)</t>
        </is>
      </c>
      <c r="M2005" s="2">
        <f>HYPERLINK("https://ru.wikipedia.org/w/index.php?search=%D0%A1%D0%BB%D1%91%D0%B7%D1%8B%20%D0%B8%20%D0%BC%D0%B5%D1%87%201991%20%D1%84%D0%B8%D0%BB%D1%8C%D0%BC","искать")</f>
        <v/>
      </c>
      <c r="N2005" s="3" t="n"/>
      <c r="O2005" s="2" t="n"/>
    </row>
    <row r="2006">
      <c r="A2006" s="2" t="n">
        <v>2005</v>
      </c>
      <c r="B2006" s="2" t="inlineStr">
        <is>
          <t>короткая</t>
        </is>
      </c>
      <c r="C2006" s="2" t="n">
        <v>9139</v>
      </c>
      <c r="D2006" s="3" t="inlineStr">
        <is>
          <t>Феофания, рисующая смерть</t>
        </is>
      </c>
      <c r="E2006" s="2" t="n">
        <v>1991</v>
      </c>
      <c r="F2006" s="2" t="inlineStr">
        <is>
          <t>кинофильм</t>
        </is>
      </c>
      <c r="G2006" s="2" t="n"/>
      <c r="H2006" s="2" t="n">
        <v>128</v>
      </c>
      <c r="I2006" s="2" t="inlineStr"/>
      <c r="J2006" s="2" t="inlineStr"/>
      <c r="K2006" s="3" t="inlineStr">
        <is>
          <t>Действие фильма происходит в деревне славян во времена начинающейся их христианизации. Борьба двух религий приводит к трагедиям.</t>
        </is>
      </c>
      <c r="L2006" s="2" t="inlineStr">
        <is>
          <t>Кино_СССР сводный каталог.xlsx: список фильмов (доп.)</t>
        </is>
      </c>
      <c r="M2006" s="2">
        <f>HYPERLINK("https://ru.wikipedia.org/w/index.php?search=%D0%A4%D0%B5%D0%BE%D1%84%D0%B0%D0%BD%D0%B8%D1%8F%2C%20%D1%80%D0%B8%D1%81%D1%83%D1%8E%D1%89%D0%B0%D1%8F%20%D1%81%D0%BC%D0%B5%D1%80%D1%82%D1%8C%201991%20%D1%84%D0%B8%D0%BB%D1%8C%D0%BC","искать")</f>
        <v/>
      </c>
      <c r="N2006" s="3" t="n"/>
      <c r="O2006" s="2" t="n"/>
    </row>
    <row r="2007">
      <c r="A2007" s="2" t="n">
        <v>2006</v>
      </c>
      <c r="B2007" s="2" t="inlineStr">
        <is>
          <t>короткая</t>
        </is>
      </c>
      <c r="C2007" s="2" t="n">
        <v>9952</v>
      </c>
      <c r="D2007" s="3" t="inlineStr">
        <is>
          <t>До встречи, друг...</t>
        </is>
      </c>
      <c r="E2007" s="2" t="n">
        <v>1980</v>
      </c>
      <c r="F2007" s="2" t="inlineStr">
        <is>
          <t>кинофильм</t>
        </is>
      </c>
      <c r="G2007" s="2" t="inlineStr">
        <is>
          <t>Грузия-фильм, Подборки фильмов, фильмы про собак</t>
        </is>
      </c>
      <c r="H2007" s="2" t="n">
        <v>128</v>
      </c>
      <c r="I2007" s="2" t="inlineStr"/>
      <c r="J2007" s="2" t="inlineStr"/>
      <c r="K2007" s="3" t="inlineStr">
        <is>
          <t>Лирическая киноновелла. Смешной и трогательный рассказ о преданной собачке, которая помогла двум молодым людям найти друг друга.</t>
        </is>
      </c>
      <c r="L2007" s="2" t="inlineStr">
        <is>
          <t>https://www.kino-teatr.ru/short/movie/sov/14568/annot/</t>
        </is>
      </c>
      <c r="M2007" s="2">
        <f>HYPERLINK("https://ru.wikipedia.org/w/index.php?search=%D0%94%D0%BE%20%D0%B2%D1%81%D1%82%D1%80%D0%B5%D1%87%D0%B8%2C%20%D0%B4%D1%80%D1%83%D0%B3...%201980%20%D1%84%D0%B8%D0%BB%D1%8C%D0%BC","искать")</f>
        <v/>
      </c>
      <c r="N2007" s="3" t="n"/>
      <c r="O2007" s="2" t="n"/>
    </row>
    <row r="2008">
      <c r="A2008" s="2" t="n">
        <v>2007</v>
      </c>
      <c r="B2008" s="2" t="inlineStr">
        <is>
          <t>короткая</t>
        </is>
      </c>
      <c r="C2008" s="2" t="n">
        <v>10400</v>
      </c>
      <c r="D2008" s="3" t="inlineStr">
        <is>
          <t>Коммунары</t>
        </is>
      </c>
      <c r="E2008" s="2" t="n">
        <v>1971</v>
      </c>
      <c r="F2008" s="2" t="inlineStr">
        <is>
          <t>фильм-спектакль</t>
        </is>
      </c>
      <c r="G2008" s="2" t="inlineStr">
        <is>
          <t>Главная редакция литературно-драматических программ ЦТ</t>
        </is>
      </c>
      <c r="H2008" s="2" t="n">
        <v>128</v>
      </c>
      <c r="I2008" s="2" t="inlineStr"/>
      <c r="J2008" s="2" t="inlineStr"/>
      <c r="K2008" s="3" t="inlineStr">
        <is>
          <t>По мотивам романа Г.Маркова "Отец и сын". Действие происходит в 1921 году. О первых днях коммуны, созданной в сибирской деревне.</t>
        </is>
      </c>
      <c r="L2008" s="2" t="inlineStr">
        <is>
          <t>https://www.kino-teatr.ru/teatr/movie/15385/annot/</t>
        </is>
      </c>
      <c r="M2008" s="2">
        <f>HYPERLINK("https://ru.wikipedia.org/w/index.php?search=%D0%9A%D0%BE%D0%BC%D0%BC%D1%83%D0%BD%D0%B0%D1%80%D1%8B%201971%20%D1%84%D0%B8%D0%BB%D1%8C%D0%BC","искать")</f>
        <v/>
      </c>
      <c r="N2008" s="3" t="n"/>
      <c r="O2008" s="2" t="n"/>
    </row>
    <row r="2009">
      <c r="A2009" s="2" t="n">
        <v>2008</v>
      </c>
      <c r="B2009" s="2" t="inlineStr">
        <is>
          <t>короткая</t>
        </is>
      </c>
      <c r="C2009" s="2" t="n">
        <v>7960</v>
      </c>
      <c r="D2009" s="3" t="inlineStr">
        <is>
          <t>Не ждали, не гадали!</t>
        </is>
      </c>
      <c r="E2009" s="2" t="n">
        <v>1982</v>
      </c>
      <c r="F2009" s="2" t="inlineStr">
        <is>
          <t>телефильм</t>
        </is>
      </c>
      <c r="G2009" s="2" t="n"/>
      <c r="H2009" s="2" t="n">
        <v>129</v>
      </c>
      <c r="I2009" s="2" t="inlineStr"/>
      <c r="J2009" s="2" t="inlineStr"/>
      <c r="K2009" s="3" t="inlineStr">
        <is>
          <t>Телефильм. Эта история началась с того, что в квартиру научного сотрудника Долгорукова неожиданно вторгся заблудившийся... ослик.</t>
        </is>
      </c>
      <c r="L2009" s="2" t="inlineStr">
        <is>
          <t>Кино_СССР сводный каталог.xlsx: список телефильмов</t>
        </is>
      </c>
      <c r="M2009" s="2">
        <f>HYPERLINK("https://ru.wikipedia.org/w/index.php?search=%D0%9D%D0%B5%20%D0%B6%D0%B4%D0%B0%D0%BB%D0%B8%2C%20%D0%BD%D0%B5%20%D0%B3%D0%B0%D0%B4%D0%B0%D0%BB%D0%B8%21%201982%20%D1%84%D0%B8%D0%BB%D1%8C%D0%BC","искать")</f>
        <v/>
      </c>
      <c r="N2009" s="3" t="n"/>
      <c r="O2009" s="2" t="n"/>
    </row>
    <row r="2010">
      <c r="A2010" s="2" t="n">
        <v>2009</v>
      </c>
      <c r="B2010" s="2" t="inlineStr">
        <is>
          <t>короткая</t>
        </is>
      </c>
      <c r="C2010" s="2" t="n">
        <v>8951</v>
      </c>
      <c r="D2010" s="3" t="inlineStr">
        <is>
          <t>Полёт стрелы</t>
        </is>
      </c>
      <c r="E2010" s="2" t="n">
        <v>1991</v>
      </c>
      <c r="F2010" s="2" t="inlineStr">
        <is>
          <t>кинофильм</t>
        </is>
      </c>
      <c r="G2010" s="2" t="n"/>
      <c r="H2010" s="2" t="n">
        <v>129</v>
      </c>
      <c r="I2010" s="2" t="inlineStr"/>
      <c r="J2010" s="2" t="inlineStr"/>
      <c r="K2010" s="3" t="inlineStr">
        <is>
          <t>Современная молодая женщина, бывшая спортсменка, — в поисках любви и возможного счастья переживает очередную душевную катастрофу.</t>
        </is>
      </c>
      <c r="L2010" s="2" t="inlineStr">
        <is>
          <t>Кино_СССР сводный каталог.xlsx: список фильмов (доп.)</t>
        </is>
      </c>
      <c r="M2010" s="2">
        <f>HYPERLINK("https://ru.wikipedia.org/w/index.php?search=%D0%9F%D0%BE%D0%BB%D1%91%D1%82%20%D1%81%D1%82%D1%80%D0%B5%D0%BB%D1%8B%201991%20%D1%84%D0%B8%D0%BB%D1%8C%D0%BC","искать")</f>
        <v/>
      </c>
      <c r="N2010" s="3" t="n"/>
      <c r="O2010" s="2" t="n"/>
    </row>
    <row r="2011">
      <c r="A2011" s="2" t="n">
        <v>2010</v>
      </c>
      <c r="B2011" s="2" t="inlineStr">
        <is>
          <t>короткая</t>
        </is>
      </c>
      <c r="C2011" s="2" t="n">
        <v>9292</v>
      </c>
      <c r="D2011" s="3" t="inlineStr">
        <is>
          <t>Входящая в море</t>
        </is>
      </c>
      <c r="E2011" s="2" t="n">
        <v>1965</v>
      </c>
      <c r="F2011" s="2" t="inlineStr">
        <is>
          <t>кинофильм</t>
        </is>
      </c>
      <c r="G2011" s="2" t="n"/>
      <c r="H2011" s="2" t="n">
        <v>129</v>
      </c>
      <c r="I2011" s="2" t="inlineStr"/>
      <c r="J2011" s="2" t="inlineStr"/>
      <c r="K2011" s="3" t="inlineStr">
        <is>
          <t>Маленькая девочка играет у моря рядом с родителями. Поэтический фильм посвящён началу человеческой жизни и месту человека в мире.</t>
        </is>
      </c>
      <c r="L2011" s="2" t="inlineStr">
        <is>
          <t>Кино_СССР сводный каталог.xlsx: список фильмов (доп.)</t>
        </is>
      </c>
      <c r="M2011" s="2">
        <f>HYPERLINK("https://ru.wikipedia.org/w/index.php?search=%D0%92%D1%85%D0%BE%D0%B4%D1%8F%D1%89%D0%B0%D1%8F%20%D0%B2%20%D0%BC%D0%BE%D1%80%D0%B5%201965%20%D1%84%D0%B8%D0%BB%D1%8C%D0%BC","искать")</f>
        <v/>
      </c>
      <c r="N2011" s="3" t="n"/>
      <c r="O2011" s="2" t="n"/>
    </row>
    <row r="2012">
      <c r="A2012" s="2" t="n">
        <v>2011</v>
      </c>
      <c r="B2012" s="2" t="inlineStr">
        <is>
          <t>короткая</t>
        </is>
      </c>
      <c r="C2012" s="2" t="n">
        <v>9426</v>
      </c>
      <c r="D2012" s="3" t="inlineStr">
        <is>
          <t>Комедия о Лисистрате</t>
        </is>
      </c>
      <c r="E2012" s="2" t="n">
        <v>1989</v>
      </c>
      <c r="F2012" s="2" t="inlineStr">
        <is>
          <t>кинофильм</t>
        </is>
      </c>
      <c r="G2012" s="2" t="n"/>
      <c r="H2012" s="2" t="n">
        <v>129</v>
      </c>
      <c r="I2012" s="2" t="inlineStr"/>
      <c r="J2012" s="2" t="inlineStr"/>
      <c r="K2012" s="3" t="inlineStr">
        <is>
          <t>По мотивам произведений Аристофана. О женщинах, решивших не подпускать к себе мужчин, пока те не прекратят воевать друг с другом.</t>
        </is>
      </c>
      <c r="L2012" s="2" t="inlineStr">
        <is>
          <t>Кино_СССР сводный каталог.xlsx: список фильмов (доп.)</t>
        </is>
      </c>
      <c r="M2012" s="2">
        <f>HYPERLINK("https://ru.wikipedia.org/w/index.php?search=%D0%9A%D0%BE%D0%BC%D0%B5%D0%B4%D0%B8%D1%8F%20%D0%BE%20%D0%9B%D0%B8%D1%81%D0%B8%D1%81%D1%82%D1%80%D0%B0%D1%82%D0%B5%201989%20%D1%84%D0%B8%D0%BB%D1%8C%D0%BC","искать")</f>
        <v/>
      </c>
      <c r="N2012" s="3" t="n"/>
      <c r="O2012" s="2" t="n"/>
    </row>
    <row r="2013">
      <c r="A2013" s="2" t="n">
        <v>2012</v>
      </c>
      <c r="B2013" s="2" t="inlineStr">
        <is>
          <t>короткая</t>
        </is>
      </c>
      <c r="C2013" s="2" t="n">
        <v>9990</v>
      </c>
      <c r="D2013" s="3" t="inlineStr">
        <is>
          <t>Воскресенье с 11 до 17</t>
        </is>
      </c>
      <c r="E2013" s="2" t="n">
        <v>1983</v>
      </c>
      <c r="F2013" s="2" t="inlineStr">
        <is>
          <t>телефильм</t>
        </is>
      </c>
      <c r="G2013" s="2" t="inlineStr">
        <is>
          <t>Минсктелефильм</t>
        </is>
      </c>
      <c r="H2013" s="2" t="n">
        <v>129</v>
      </c>
      <c r="I2013" s="2" t="inlineStr"/>
      <c r="J2013" s="2" t="inlineStr"/>
      <c r="K2013" s="3" t="inlineStr">
        <is>
          <t>Девочка видится с отцом только по воскресеньям, с 11 до 17. После свиданий она плачет и хочет, чтобы родители всегда были вместе.</t>
        </is>
      </c>
      <c r="L2013" s="2" t="inlineStr">
        <is>
          <t>https://www.kino-teatr.ru/short/movie/sov/88795/annot/</t>
        </is>
      </c>
      <c r="M2013" s="2">
        <f>HYPERLINK("https://ru.wikipedia.org/w/index.php?search=%D0%92%D0%BE%D1%81%D0%BA%D1%80%D0%B5%D1%81%D0%B5%D0%BD%D1%8C%D0%B5%20%D1%81%2011%20%D0%B4%D0%BE%2017%201983%20%D1%84%D0%B8%D0%BB%D1%8C%D0%BC","искать")</f>
        <v/>
      </c>
      <c r="N2013" s="3" t="n"/>
      <c r="O2013" s="2" t="n"/>
    </row>
    <row r="2014">
      <c r="A2014" s="2" t="n">
        <v>2013</v>
      </c>
      <c r="B2014" s="2" t="inlineStr">
        <is>
          <t>короткая</t>
        </is>
      </c>
      <c r="C2014" s="2" t="n">
        <v>7912</v>
      </c>
      <c r="D2014" s="3" t="inlineStr">
        <is>
          <t>Мужчины не плачут</t>
        </is>
      </c>
      <c r="E2014" s="2" t="n">
        <v>1968</v>
      </c>
      <c r="F2014" s="2" t="inlineStr">
        <is>
          <t>телефильм</t>
        </is>
      </c>
      <c r="G2014" s="2" t="n"/>
      <c r="H2014" s="2" t="n">
        <v>130</v>
      </c>
      <c r="I2014" s="2" t="inlineStr"/>
      <c r="J2014" s="2" t="inlineStr"/>
      <c r="K2014" s="3" t="inlineStr">
        <is>
          <t>Телефильм. Группа мужчин отправляется на остров, где они будут дышать свежим воздухом и заниматься легкими физическими нагрузками.</t>
        </is>
      </c>
      <c r="L2014" s="2" t="inlineStr">
        <is>
          <t>Кино_СССР сводный каталог.xlsx: список телефильмов</t>
        </is>
      </c>
      <c r="M2014" s="2">
        <f>HYPERLINK("https://ru.wikipedia.org/w/index.php?search=%D0%9C%D1%83%D0%B6%D1%87%D0%B8%D0%BD%D1%8B%20%D0%BD%D0%B5%20%D0%BF%D0%BB%D0%B0%D1%87%D1%83%D1%82%201968%20%D1%84%D0%B8%D0%BB%D1%8C%D0%BC","искать")</f>
        <v/>
      </c>
      <c r="N2014" s="3" t="n"/>
      <c r="O2014" s="2" t="n"/>
    </row>
    <row r="2015">
      <c r="A2015" s="2" t="n">
        <v>2014</v>
      </c>
      <c r="B2015" s="2" t="inlineStr">
        <is>
          <t>короткая</t>
        </is>
      </c>
      <c r="C2015" s="2" t="n">
        <v>9862</v>
      </c>
      <c r="D2015" s="3" t="inlineStr">
        <is>
          <t>Лицо в полоску</t>
        </is>
      </c>
      <c r="E2015" s="2" t="n">
        <v>1969</v>
      </c>
      <c r="F2015" s="2" t="inlineStr">
        <is>
          <t>телефильм</t>
        </is>
      </c>
      <c r="G2015" s="2" t="inlineStr">
        <is>
          <t>Беларусьфильм</t>
        </is>
      </c>
      <c r="H2015" s="2" t="n">
        <v>130</v>
      </c>
      <c r="I2015" s="2" t="inlineStr"/>
      <c r="J2015" s="2" t="inlineStr"/>
      <c r="K2015" s="3" t="inlineStr">
        <is>
          <t>Телефильм по рассказу В.Горбука.
О том, как Дима и Таня увлеченно рисовали на асфальте все, что они видели вокруг и о чем мечтали.</t>
        </is>
      </c>
      <c r="L2015" s="2" t="inlineStr">
        <is>
          <t>https://www.kino-teatr.ru/short/movie/sov/82035/annot/</t>
        </is>
      </c>
      <c r="M2015" s="2">
        <f>HYPERLINK("https://ru.wikipedia.org/w/index.php?search=%D0%9B%D0%B8%D1%86%D0%BE%20%D0%B2%20%D0%BF%D0%BE%D0%BB%D0%BE%D1%81%D0%BA%D1%83%201969%20%D1%84%D0%B8%D0%BB%D1%8C%D0%BC","искать")</f>
        <v/>
      </c>
      <c r="N2015" s="3" t="n"/>
      <c r="O2015" s="2" t="n"/>
    </row>
    <row r="2016">
      <c r="A2016" s="2" t="n">
        <v>2015</v>
      </c>
      <c r="B2016" s="2" t="inlineStr">
        <is>
          <t>короткая</t>
        </is>
      </c>
      <c r="C2016" s="2" t="n">
        <v>7964</v>
      </c>
      <c r="D2016" s="3" t="inlineStr">
        <is>
          <t>Не покидай...</t>
        </is>
      </c>
      <c r="E2016" s="2" t="n">
        <v>1989</v>
      </c>
      <c r="F2016" s="2" t="inlineStr">
        <is>
          <t>телефильм</t>
        </is>
      </c>
      <c r="G2016" s="2" t="n"/>
      <c r="H2016" s="2" t="n">
        <v>131</v>
      </c>
      <c r="I2016" s="2" t="inlineStr"/>
      <c r="J2016" s="2" t="inlineStr"/>
      <c r="K2016" s="3" t="inlineStr">
        <is>
          <t>Ироническая музыкальная сказка о короле, принцессе, бродячих актерах и наследном принце, о двух королевствах: Абидонии и Пенагонии.</t>
        </is>
      </c>
      <c r="L2016" s="2" t="inlineStr">
        <is>
          <t>Кино_СССР сводный каталог.xlsx: список телефильмов</t>
        </is>
      </c>
      <c r="M2016" s="2">
        <f>HYPERLINK("https://ru.wikipedia.org/w/index.php?search=%D0%9D%D0%B5%20%D0%BF%D0%BE%D0%BA%D0%B8%D0%B4%D0%B0%D0%B9...%201989%20%D1%84%D0%B8%D0%BB%D1%8C%D0%BC","искать")</f>
        <v/>
      </c>
      <c r="N2016" s="3" t="n"/>
      <c r="O2016" s="2" t="n"/>
    </row>
    <row r="2017">
      <c r="A2017" s="2" t="n">
        <v>2016</v>
      </c>
      <c r="B2017" s="2" t="inlineStr">
        <is>
          <t>короткая</t>
        </is>
      </c>
      <c r="C2017" s="2" t="n">
        <v>9672</v>
      </c>
      <c r="D2017" s="3" t="inlineStr">
        <is>
          <t>Степной цвет</t>
        </is>
      </c>
      <c r="E2017" s="2" t="n">
        <v>1931</v>
      </c>
      <c r="F2017" s="2" t="inlineStr">
        <is>
          <t>кинофильм</t>
        </is>
      </c>
      <c r="G2017" s="2" t="n"/>
      <c r="H2017" s="2" t="n">
        <v>131</v>
      </c>
      <c r="I2017" s="2" t="inlineStr"/>
      <c r="J2017" s="2" t="inlineStr"/>
      <c r="K2017" s="3" t="inlineStr">
        <is>
          <t>Главный герой — крестьянин, который, поддавшись кулацкой агитации, уходит в город, но возвращается оттуда сознательным пролетарием.</t>
        </is>
      </c>
      <c r="L2017" s="2" t="inlineStr">
        <is>
          <t>Кино_СССР сводный каталог.xlsx: список фильмов (доп.)</t>
        </is>
      </c>
      <c r="M2017" s="2">
        <f>HYPERLINK("https://ru.wikipedia.org/w/index.php?search=%D0%A1%D1%82%D0%B5%D0%BF%D0%BD%D0%BE%D0%B9%20%D1%86%D0%B2%D0%B5%D1%82%201931%20%D1%84%D0%B8%D0%BB%D1%8C%D0%BC","искать")</f>
        <v/>
      </c>
      <c r="N2017" s="3" t="n"/>
      <c r="O2017" s="2" t="n"/>
    </row>
    <row r="2018">
      <c r="A2018" s="2" t="n">
        <v>2017</v>
      </c>
      <c r="B2018" s="2" t="inlineStr">
        <is>
          <t>короткая</t>
        </is>
      </c>
      <c r="C2018" s="2" t="n">
        <v>8532</v>
      </c>
      <c r="D2018" s="3" t="inlineStr">
        <is>
          <t>Цемент</t>
        </is>
      </c>
      <c r="E2018" s="2" t="n">
        <v>1973</v>
      </c>
      <c r="F2018" s="2" t="inlineStr">
        <is>
          <t>телефильм</t>
        </is>
      </c>
      <c r="G2018" s="2" t="n"/>
      <c r="H2018" s="2" t="n">
        <v>132</v>
      </c>
      <c r="I2018" s="2" t="inlineStr"/>
      <c r="J2018" s="2" t="inlineStr"/>
      <c r="K2018" s="3" t="inlineStr">
        <is>
          <t>Телефильм по мотивам одноименного романа Федора Гладкова. О восстановлении цементного завода, разрушенного в годы Гражданской войны.</t>
        </is>
      </c>
      <c r="L2018" s="2" t="inlineStr">
        <is>
          <t>Кино_СССР сводный каталог.xlsx: список телефильмов</t>
        </is>
      </c>
      <c r="M2018" s="2">
        <f>HYPERLINK("https://ru.wikipedia.org/w/index.php?search=%D0%A6%D0%B5%D0%BC%D0%B5%D0%BD%D1%82%201973%20%D1%84%D0%B8%D0%BB%D1%8C%D0%BC","искать")</f>
        <v/>
      </c>
      <c r="N2018" s="3" t="n"/>
      <c r="O2018" s="2" t="n"/>
    </row>
    <row r="2019">
      <c r="A2019" s="2" t="n">
        <v>2018</v>
      </c>
      <c r="B2019" s="2" t="inlineStr">
        <is>
          <t>короткая</t>
        </is>
      </c>
      <c r="C2019" s="2" t="n">
        <v>9003</v>
      </c>
      <c r="D2019" s="3" t="inlineStr">
        <is>
          <t>Пять похищенных монахов</t>
        </is>
      </c>
      <c r="E2019" s="2" t="n">
        <v>1991</v>
      </c>
      <c r="F2019" s="2" t="inlineStr">
        <is>
          <t>кинофильм</t>
        </is>
      </c>
      <c r="G2019" s="2" t="n"/>
      <c r="H2019" s="2" t="n">
        <v>132</v>
      </c>
      <c r="I2019" s="2" t="inlineStr"/>
      <c r="J2019" s="2" t="inlineStr"/>
      <c r="K2019" s="3" t="inlineStr">
        <is>
          <t>Похищена крупная партия алмазов. На след преступников милицию выведут пять голубей-монахов, исчезнувших из голубятни юного Кренделя.</t>
        </is>
      </c>
      <c r="L2019" s="2" t="inlineStr">
        <is>
          <t>Кино_СССР сводный каталог.xlsx: список фильмов (доп.)</t>
        </is>
      </c>
      <c r="M2019" s="2">
        <f>HYPERLINK("https://ru.wikipedia.org/w/index.php?search=%D0%9F%D1%8F%D1%82%D1%8C%20%D0%BF%D0%BE%D1%85%D0%B8%D1%89%D0%B5%D0%BD%D0%BD%D1%8B%D1%85%20%D0%BC%D0%BE%D0%BD%D0%B0%D1%85%D0%BE%D0%B2%201991%20%D1%84%D0%B8%D0%BB%D1%8C%D0%BC","искать")</f>
        <v/>
      </c>
      <c r="N2019" s="3" t="n"/>
      <c r="O2019" s="2" t="n"/>
    </row>
    <row r="2020">
      <c r="A2020" s="2" t="n">
        <v>2019</v>
      </c>
      <c r="B2020" s="2" t="inlineStr">
        <is>
          <t>короткая</t>
        </is>
      </c>
      <c r="C2020" s="2" t="n">
        <v>8063</v>
      </c>
      <c r="D2020" s="3" t="inlineStr">
        <is>
          <t>Отважный Ширак</t>
        </is>
      </c>
      <c r="E2020" s="2" t="n">
        <v>1976</v>
      </c>
      <c r="F2020" s="2" t="inlineStr">
        <is>
          <t>телефильм</t>
        </is>
      </c>
      <c r="G2020" s="2" t="n"/>
      <c r="H2020" s="2" t="n">
        <v>133</v>
      </c>
      <c r="I2020" s="2" t="inlineStr"/>
      <c r="J2020" s="2" t="inlineStr"/>
      <c r="K2020" s="3" t="inlineStr">
        <is>
          <t>Телефильм. Таджикские народные комедианты разыгрывают для детей в пионерском лагере сказку о злых разбойниках и храбром юноше Шираке.</t>
        </is>
      </c>
      <c r="L2020" s="2" t="inlineStr">
        <is>
          <t>Кино_СССР сводный каталог.xlsx: список телефильмов</t>
        </is>
      </c>
      <c r="M2020" s="2">
        <f>HYPERLINK("https://ru.wikipedia.org/w/index.php?search=%D0%9E%D1%82%D0%B2%D0%B0%D0%B6%D0%BD%D1%8B%D0%B9%20%D0%A8%D0%B8%D1%80%D0%B0%D0%BA%201976%20%D1%84%D0%B8%D0%BB%D1%8C%D0%BC","искать")</f>
        <v/>
      </c>
      <c r="N2020" s="3" t="n"/>
      <c r="O2020" s="2" t="n"/>
    </row>
    <row r="2021">
      <c r="A2021" s="2" t="n">
        <v>2020</v>
      </c>
      <c r="B2021" s="2" t="inlineStr">
        <is>
          <t>короткая</t>
        </is>
      </c>
      <c r="C2021" s="2" t="n">
        <v>8261</v>
      </c>
      <c r="D2021" s="3" t="inlineStr">
        <is>
          <t>Рассказ барабанщика</t>
        </is>
      </c>
      <c r="E2021" s="2" t="n">
        <v>1985</v>
      </c>
      <c r="F2021" s="2" t="inlineStr">
        <is>
          <t>телефильм</t>
        </is>
      </c>
      <c r="G2021" s="2" t="n"/>
      <c r="H2021" s="2" t="n">
        <v>133</v>
      </c>
      <c r="I2021" s="2" t="inlineStr"/>
      <c r="J2021" s="2" t="inlineStr"/>
      <c r="K2021" s="3" t="inlineStr">
        <is>
          <t>Рассказ о подвиге необычного воинского подразделения - духового оркестра, который принимал участие в героической обороне Севастополя.</t>
        </is>
      </c>
      <c r="L2021" s="2" t="inlineStr">
        <is>
          <t>Кино_СССР сводный каталог.xlsx: список телефильмов</t>
        </is>
      </c>
      <c r="M2021" s="2">
        <f>HYPERLINK("https://ru.wikipedia.org/w/index.php?search=%D0%A0%D0%B0%D1%81%D1%81%D0%BA%D0%B0%D0%B7%20%D0%B1%D0%B0%D1%80%D0%B0%D0%B1%D0%B0%D0%BD%D1%89%D0%B8%D0%BA%D0%B0%201985%20%D1%84%D0%B8%D0%BB%D1%8C%D0%BC","искать")</f>
        <v/>
      </c>
      <c r="N2021" s="3" t="n"/>
      <c r="O2021" s="2" t="n"/>
    </row>
    <row r="2022">
      <c r="A2022" s="2" t="n">
        <v>2021</v>
      </c>
      <c r="B2022" s="2" t="inlineStr">
        <is>
          <t>короткая</t>
        </is>
      </c>
      <c r="C2022" s="2" t="n">
        <v>8837</v>
      </c>
      <c r="D2022" s="3" t="inlineStr">
        <is>
          <t>Мир в другом измерении</t>
        </is>
      </c>
      <c r="E2022" s="2" t="n">
        <v>1989</v>
      </c>
      <c r="F2022" s="2" t="inlineStr">
        <is>
          <t>кинофильм</t>
        </is>
      </c>
      <c r="G2022" s="2" t="n"/>
      <c r="H2022" s="2" t="n">
        <v>133</v>
      </c>
      <c r="I2022" s="2" t="inlineStr"/>
      <c r="J2022" s="2" t="inlineStr"/>
      <c r="K2022" s="3" t="inlineStr">
        <is>
          <t>Цикл фильмов "Мир в другом измерении" рассказывает о воспитанниках детского дома, живущих в атмосфере жестокости и полного бесправия.</t>
        </is>
      </c>
      <c r="L2022" s="2" t="inlineStr">
        <is>
          <t>Кино_СССР сводный каталог.xlsx: список фильмов (доп.)</t>
        </is>
      </c>
      <c r="M2022" s="2">
        <f>HYPERLINK("https://ru.wikipedia.org/w/index.php?search=%D0%9C%D0%B8%D1%80%20%D0%B2%20%D0%B4%D1%80%D1%83%D0%B3%D0%BE%D0%BC%20%D0%B8%D0%B7%D0%BC%D0%B5%D1%80%D0%B5%D0%BD%D0%B8%D0%B8%201989%20%D1%84%D0%B8%D0%BB%D1%8C%D0%BC","искать")</f>
        <v/>
      </c>
      <c r="N2022" s="3" t="n"/>
      <c r="O2022" s="2" t="n"/>
    </row>
    <row r="2023">
      <c r="A2023" s="2" t="n">
        <v>2022</v>
      </c>
      <c r="B2023" s="2" t="inlineStr">
        <is>
          <t>короткая</t>
        </is>
      </c>
      <c r="C2023" s="2" t="n">
        <v>9057</v>
      </c>
      <c r="D2023" s="3" t="inlineStr">
        <is>
          <t>Сокол</t>
        </is>
      </c>
      <c r="E2023" s="2" t="n">
        <v>1990</v>
      </c>
      <c r="F2023" s="2" t="inlineStr">
        <is>
          <t>кинофильм</t>
        </is>
      </c>
      <c r="G2023" s="2" t="n"/>
      <c r="H2023" s="2" t="n">
        <v>133</v>
      </c>
      <c r="I2023" s="2" t="inlineStr"/>
      <c r="J2023" s="2" t="inlineStr"/>
      <c r="K2023" s="3" t="inlineStr">
        <is>
          <t>По мотивам старинной русской сказки про Финиста Ясного Сокола. О девушке Анне и ее женихе Федоре. О том, как искали они свое счастье.</t>
        </is>
      </c>
      <c r="L2023" s="2" t="inlineStr">
        <is>
          <t>Кино_СССР сводный каталог.xlsx: список фильмов (доп.)</t>
        </is>
      </c>
      <c r="M2023" s="2">
        <f>HYPERLINK("https://ru.wikipedia.org/w/index.php?search=%D0%A1%D0%BE%D0%BA%D0%BE%D0%BB%201990%20%D1%84%D0%B8%D0%BB%D1%8C%D0%BC","искать")</f>
        <v/>
      </c>
      <c r="N2023" s="3" t="n"/>
      <c r="O2023" s="2" t="n"/>
    </row>
    <row r="2024">
      <c r="A2024" s="2" t="n">
        <v>2023</v>
      </c>
      <c r="B2024" s="2" t="inlineStr">
        <is>
          <t>короткая</t>
        </is>
      </c>
      <c r="C2024" s="2" t="n">
        <v>9242</v>
      </c>
      <c r="D2024" s="3" t="inlineStr">
        <is>
          <t>Битва трёх королей</t>
        </is>
      </c>
      <c r="E2024" s="2" t="n">
        <v>1990</v>
      </c>
      <c r="F2024" s="2" t="inlineStr">
        <is>
          <t>кинофильм</t>
        </is>
      </c>
      <c r="G2024" s="2" t="n"/>
      <c r="H2024" s="2" t="n">
        <v>133</v>
      </c>
      <c r="I2024" s="2" t="inlineStr"/>
      <c r="J2024" s="2" t="inlineStr"/>
      <c r="K2024" s="3" t="inlineStr">
        <is>
          <t>Марокко, XVI век. История борьбы за престол принца Абдель-Малека, объединившего кочевые племена Марокко после победы над Португалией.</t>
        </is>
      </c>
      <c r="L2024" s="2" t="inlineStr">
        <is>
          <t>Кино_СССР сводный каталог.xlsx: список фильмов (доп.)</t>
        </is>
      </c>
      <c r="M2024" s="2">
        <f>HYPERLINK("https://ru.wikipedia.org/w/index.php?search=%D0%91%D0%B8%D1%82%D0%B2%D0%B0%20%D1%82%D1%80%D1%91%D1%85%20%D0%BA%D0%BE%D1%80%D0%BE%D0%BB%D0%B5%D0%B9%201990%20%D1%84%D0%B8%D0%BB%D1%8C%D0%BC","искать")</f>
        <v/>
      </c>
      <c r="N2024" s="3" t="n"/>
      <c r="O2024" s="2" t="n"/>
    </row>
    <row r="2025">
      <c r="A2025" s="2" t="n">
        <v>2024</v>
      </c>
      <c r="B2025" s="2" t="inlineStr">
        <is>
          <t>короткая</t>
        </is>
      </c>
      <c r="C2025" s="2" t="n">
        <v>9785</v>
      </c>
      <c r="D2025" s="3" t="inlineStr">
        <is>
          <t>Яков, сын Сталина</t>
        </is>
      </c>
      <c r="E2025" s="2" t="n">
        <v>1990</v>
      </c>
      <c r="F2025" s="2" t="inlineStr">
        <is>
          <t>кинофильм</t>
        </is>
      </c>
      <c r="G2025" s="2" t="n"/>
      <c r="H2025" s="2" t="n">
        <v>133</v>
      </c>
      <c r="I2025" s="2" t="inlineStr"/>
      <c r="J2025" s="2" t="inlineStr"/>
      <c r="K2025" s="3" t="inlineStr">
        <is>
          <t>В основе сюжета - драма Якова Джугашвили, старшего сына Сталина, погибшего в годы Великой Отечественной войны в лагере военнопленных.</t>
        </is>
      </c>
      <c r="L2025" s="2" t="inlineStr">
        <is>
          <t>Кино_СССР сводный каталог.xlsx: список фильмов (доп.)</t>
        </is>
      </c>
      <c r="M2025" s="2">
        <f>HYPERLINK("https://ru.wikipedia.org/w/index.php?search=%D0%AF%D0%BA%D0%BE%D0%B2%2C%20%D1%81%D1%8B%D0%BD%20%D0%A1%D1%82%D0%B0%D0%BB%D0%B8%D0%BD%D0%B0%201990%20%D1%84%D0%B8%D0%BB%D1%8C%D0%BC","искать")</f>
        <v/>
      </c>
      <c r="N2025" s="3" t="n"/>
      <c r="O2025" s="2" t="n"/>
    </row>
    <row r="2026">
      <c r="A2026" s="2" t="n">
        <v>2025</v>
      </c>
      <c r="B2026" s="2" t="inlineStr">
        <is>
          <t>короткая</t>
        </is>
      </c>
      <c r="C2026" s="2" t="n">
        <v>8461</v>
      </c>
      <c r="D2026" s="3" t="inlineStr">
        <is>
          <t>Только остров не возьмешь с собой</t>
        </is>
      </c>
      <c r="E2026" s="2" t="n">
        <v>1980</v>
      </c>
      <c r="F2026" s="2" t="inlineStr">
        <is>
          <t>телефильм</t>
        </is>
      </c>
      <c r="G2026" s="2" t="n"/>
      <c r="H2026" s="2" t="n">
        <v>134</v>
      </c>
      <c r="I2026" s="2" t="inlineStr"/>
      <c r="J2026" s="2" t="inlineStr"/>
      <c r="K2026" s="3" t="inlineStr">
        <is>
          <t>Телефильм повествует о девочке, которая находясь на маленьком острове, на лоне природы начинает осознавать простые и мудрые законы её.</t>
        </is>
      </c>
      <c r="L2026" s="2" t="inlineStr">
        <is>
          <t>Кино_СССР сводный каталог.xlsx: список телефильмов</t>
        </is>
      </c>
      <c r="M2026" s="2">
        <f>HYPERLINK("https://ru.wikipedia.org/w/index.php?search=%D0%A2%D0%BE%D0%BB%D1%8C%D0%BA%D0%BE%20%D0%BE%D1%81%D1%82%D1%80%D0%BE%D0%B2%20%D0%BD%D0%B5%20%D0%B2%D0%BE%D0%B7%D1%8C%D0%BC%D0%B5%D1%88%D1%8C%20%D1%81%20%D1%81%D0%BE%D0%B1%D0%BE%D0%B9%201980%20%D1%84%D0%B8%D0%BB%D1%8C%D0%BC","искать")</f>
        <v/>
      </c>
      <c r="N2026" s="3" t="n"/>
      <c r="O2026" s="2" t="n"/>
    </row>
    <row r="2027">
      <c r="A2027" s="2" t="n">
        <v>2026</v>
      </c>
      <c r="B2027" s="2" t="inlineStr">
        <is>
          <t>короткая</t>
        </is>
      </c>
      <c r="C2027" s="2" t="n">
        <v>9290</v>
      </c>
      <c r="D2027" s="3" t="inlineStr">
        <is>
          <t>Второй армянский киноконцерт</t>
        </is>
      </c>
      <c r="E2027" s="2" t="n">
        <v>1946</v>
      </c>
      <c r="F2027" s="2" t="inlineStr">
        <is>
          <t>кинофильм</t>
        </is>
      </c>
      <c r="G2027" s="2" t="n"/>
      <c r="H2027" s="2" t="n">
        <v>134</v>
      </c>
      <c r="I2027" s="2" t="inlineStr"/>
      <c r="J2027" s="2" t="inlineStr"/>
      <c r="K2027" s="3" t="inlineStr">
        <is>
          <t>В фильм включены отрывки из оперы Л.Ходжа-Эйнатяна “Намус”, из балета “Хандут” на музыку А.Спендиарова и выступление чтеца С.Кочаряна.</t>
        </is>
      </c>
      <c r="L2027" s="2" t="inlineStr">
        <is>
          <t>Кино_СССР сводный каталог.xlsx: список фильмов (доп.)</t>
        </is>
      </c>
      <c r="M2027" s="2">
        <f>HYPERLINK("https://ru.wikipedia.org/w/index.php?search=%D0%92%D1%82%D0%BE%D1%80%D0%BE%D0%B9%20%D0%B0%D1%80%D0%BC%D1%8F%D0%BD%D1%81%D0%BA%D0%B8%D0%B9%20%D0%BA%D0%B8%D0%BD%D0%BE%D0%BA%D0%BE%D0%BD%D1%86%D0%B5%D1%80%D1%82%201946%20%D1%84%D0%B8%D0%BB%D1%8C%D0%BC","искать")</f>
        <v/>
      </c>
      <c r="N2027" s="3" t="n"/>
      <c r="O2027" s="2" t="n"/>
    </row>
    <row r="2028">
      <c r="A2028" s="2" t="n">
        <v>2027</v>
      </c>
      <c r="B2028" s="2" t="inlineStr">
        <is>
          <t>короткая</t>
        </is>
      </c>
      <c r="C2028" s="2" t="n">
        <v>7304</v>
      </c>
      <c r="D2028" s="3" t="inlineStr">
        <is>
          <t>Валькины паруса</t>
        </is>
      </c>
      <c r="E2028" s="2" t="n">
        <v>1974</v>
      </c>
      <c r="F2028" s="2" t="inlineStr">
        <is>
          <t>телефильм</t>
        </is>
      </c>
      <c r="G2028" s="2" t="n"/>
      <c r="H2028" s="2" t="n">
        <v>135</v>
      </c>
      <c r="I2028" s="2" t="inlineStr"/>
      <c r="J2028" s="2" t="inlineStr"/>
      <c r="K2028" s="3" t="inlineStr">
        <is>
          <t>Телефильм о мальчике, который мечтал о море и воплощал свои мечты в рисунках. По книге Владислава Крапивина "Валькины друзья и паруса".</t>
        </is>
      </c>
      <c r="L2028" s="2" t="inlineStr">
        <is>
          <t>Кино_СССР сводный каталог.xlsx: список телефильмов</t>
        </is>
      </c>
      <c r="M2028" s="2">
        <f>HYPERLINK("https://ru.wikipedia.org/w/index.php?search=%D0%92%D0%B0%D0%BB%D1%8C%D0%BA%D0%B8%D0%BD%D1%8B%20%D0%BF%D0%B0%D1%80%D1%83%D1%81%D0%B0%201974%20%D1%84%D0%B8%D0%BB%D1%8C%D0%BC","искать")</f>
        <v/>
      </c>
      <c r="N2028" s="3" t="n"/>
      <c r="O2028" s="2" t="n"/>
    </row>
    <row r="2029">
      <c r="A2029" s="2" t="n">
        <v>2028</v>
      </c>
      <c r="B2029" s="2" t="inlineStr">
        <is>
          <t>короткая</t>
        </is>
      </c>
      <c r="C2029" s="2" t="n">
        <v>9749</v>
      </c>
      <c r="D2029" s="3" t="inlineStr">
        <is>
          <t>Чёрная долина</t>
        </is>
      </c>
      <c r="E2029" s="2" t="n">
        <v>1990</v>
      </c>
      <c r="F2029" s="2" t="inlineStr">
        <is>
          <t>кинофильм</t>
        </is>
      </c>
      <c r="G2029" s="2" t="n"/>
      <c r="H2029" s="2" t="n">
        <v>135</v>
      </c>
      <c r="I2029" s="2" t="inlineStr"/>
      <c r="J2029" s="2" t="inlineStr"/>
      <c r="K2029" s="3" t="inlineStr">
        <is>
          <t>Действие картины происходит в XVII веке, когда поднепровские казаки под предводительством Ивана Сирко оборонялись от татарских набегов.</t>
        </is>
      </c>
      <c r="L2029" s="2" t="inlineStr">
        <is>
          <t>Кино_СССР сводный каталог.xlsx: список фильмов (доп.)</t>
        </is>
      </c>
      <c r="M2029" s="2">
        <f>HYPERLINK("https://ru.wikipedia.org/w/index.php?search=%D0%A7%D1%91%D1%80%D0%BD%D0%B0%D1%8F%20%D0%B4%D0%BE%D0%BB%D0%B8%D0%BD%D0%B0%201990%20%D1%84%D0%B8%D0%BB%D1%8C%D0%BC","искать")</f>
        <v/>
      </c>
      <c r="N2029" s="3" t="n"/>
      <c r="O2029" s="2" t="n"/>
    </row>
    <row r="2030">
      <c r="A2030" s="2" t="n">
        <v>2029</v>
      </c>
      <c r="B2030" s="2" t="inlineStr">
        <is>
          <t>короткая</t>
        </is>
      </c>
      <c r="C2030" s="2" t="n">
        <v>8887</v>
      </c>
      <c r="D2030" s="3" t="inlineStr">
        <is>
          <t>Облава на одичавших собак</t>
        </is>
      </c>
      <c r="E2030" s="2" t="n">
        <v>1990</v>
      </c>
      <c r="F2030" s="2" t="inlineStr">
        <is>
          <t>кинофильм</t>
        </is>
      </c>
      <c r="G2030" s="2" t="n"/>
      <c r="H2030" s="2" t="n">
        <v>136</v>
      </c>
      <c r="I2030" s="2" t="inlineStr"/>
      <c r="J2030" s="2" t="inlineStr"/>
      <c r="K2030" s="3" t="inlineStr">
        <is>
          <t>В основе сюжета — история бывшего учителя, ставшего одним из лидеров партийного руководства Узбекистана, замешанного в «хлопковом деле».</t>
        </is>
      </c>
      <c r="L2030" s="2" t="inlineStr">
        <is>
          <t>Кино_СССР сводный каталог.xlsx: список фильмов (доп.)</t>
        </is>
      </c>
      <c r="M2030" s="2">
        <f>HYPERLINK("https://ru.wikipedia.org/w/index.php?search=%D0%9E%D0%B1%D0%BB%D0%B0%D0%B2%D0%B0%20%D0%BD%D0%B0%20%D0%BE%D0%B4%D0%B8%D1%87%D0%B0%D0%B2%D1%88%D0%B8%D1%85%20%D1%81%D0%BE%D0%B1%D0%B0%D0%BA%201990%20%D1%84%D0%B8%D0%BB%D1%8C%D0%BC","искать")</f>
        <v/>
      </c>
      <c r="N2030" s="3" t="n"/>
      <c r="O2030" s="2" t="n"/>
    </row>
    <row r="2031">
      <c r="A2031" s="2" t="n">
        <v>2030</v>
      </c>
      <c r="B2031" s="2" t="inlineStr">
        <is>
          <t>короткая</t>
        </is>
      </c>
      <c r="C2031" s="2" t="n">
        <v>8947</v>
      </c>
      <c r="D2031" s="3" t="inlineStr">
        <is>
          <t>Пожар, любовь и Помпиеро</t>
        </is>
      </c>
      <c r="E2031" s="2" t="n">
        <v>1976</v>
      </c>
      <c r="F2031" s="2" t="inlineStr">
        <is>
          <t>кинофильм</t>
        </is>
      </c>
      <c r="G2031" s="2" t="n"/>
      <c r="H2031" s="2" t="n">
        <v>136</v>
      </c>
      <c r="I2031" s="2" t="inlineStr"/>
      <c r="J2031" s="2" t="inlineStr"/>
      <c r="K2031" s="3" t="inlineStr">
        <is>
          <t>სიყვარული, ხანძარი და პომპიერო Девушка влюбляется в солдата, который находится на военной службе и работает в сельской пожарной команде.</t>
        </is>
      </c>
      <c r="L2031" s="2" t="inlineStr">
        <is>
          <t>Кино_СССР сводный каталог.xlsx: список фильмов (доп.)</t>
        </is>
      </c>
      <c r="M2031" s="2">
        <f>HYPERLINK("https://ru.wikipedia.org/w/index.php?search=%D0%9F%D0%BE%D0%B6%D0%B0%D1%80%2C%20%D0%BB%D1%8E%D0%B1%D0%BE%D0%B2%D1%8C%20%D0%B8%20%D0%9F%D0%BE%D0%BC%D0%BF%D0%B8%D0%B5%D1%80%D0%BE%201976%20%D1%84%D0%B8%D0%BB%D1%8C%D0%BC","искать")</f>
        <v/>
      </c>
      <c r="N2031" s="3" t="n"/>
      <c r="O2031" s="2" t="n"/>
    </row>
    <row r="2032">
      <c r="A2032" s="2" t="n">
        <v>2031</v>
      </c>
      <c r="B2032" s="2" t="inlineStr">
        <is>
          <t>короткая</t>
        </is>
      </c>
      <c r="C2032" s="2" t="n">
        <v>9475</v>
      </c>
      <c r="D2032" s="3" t="inlineStr">
        <is>
          <t>Мисс миллионерша</t>
        </is>
      </c>
      <c r="E2032" s="2" t="n">
        <v>1988</v>
      </c>
      <c r="F2032" s="2" t="inlineStr">
        <is>
          <t>кинофильм</t>
        </is>
      </c>
      <c r="G2032" s="2" t="n"/>
      <c r="H2032" s="2" t="n">
        <v>136</v>
      </c>
      <c r="I2032" s="2" t="inlineStr"/>
      <c r="J2032" s="2" t="inlineStr"/>
      <c r="K2032" s="3" t="inlineStr">
        <is>
          <t>При подборе кандидатуры миллионного жителя города вышло некоторое недоразумение и даже конфуз. И праздник, который намечался, не удался.</t>
        </is>
      </c>
      <c r="L2032" s="2" t="inlineStr">
        <is>
          <t>Кино_СССР сводный каталог.xlsx: список фильмов (доп.)</t>
        </is>
      </c>
      <c r="M2032" s="2">
        <f>HYPERLINK("https://ru.wikipedia.org/w/index.php?search=%D0%9C%D0%B8%D1%81%D1%81%20%D0%BC%D0%B8%D0%BB%D0%BB%D0%B8%D0%BE%D0%BD%D0%B5%D1%80%D1%88%D0%B0%201988%20%D1%84%D0%B8%D0%BB%D1%8C%D0%BC","искать")</f>
        <v/>
      </c>
      <c r="N2032" s="3" t="n"/>
      <c r="O2032" s="2" t="n"/>
    </row>
    <row r="2033">
      <c r="A2033" s="2" t="n">
        <v>2032</v>
      </c>
      <c r="B2033" s="2" t="inlineStr">
        <is>
          <t>короткая</t>
        </is>
      </c>
      <c r="C2033" s="2" t="n">
        <v>10976</v>
      </c>
      <c r="D2033" s="3" t="inlineStr">
        <is>
          <t>Алиса в стране чудес</t>
        </is>
      </c>
      <c r="E2033" s="2" t="n">
        <v>1983</v>
      </c>
      <c r="F2033" s="2" t="inlineStr">
        <is>
          <t>фильм-спектакль</t>
        </is>
      </c>
      <c r="G2033" s="2" t="inlineStr">
        <is>
          <t>Childrens Theatre Company and School of Minneapolis</t>
        </is>
      </c>
      <c r="H2033" s="2" t="n">
        <v>136</v>
      </c>
      <c r="I2033" s="2" t="inlineStr"/>
      <c r="J2033" s="2" t="inlineStr"/>
      <c r="K2033" s="3" t="inlineStr">
        <is>
          <t>Маленькая девочка по имени Алиса падает в кроличью нору и оказывается в Стране чудес, стране фантазий со странными персонажами и идеями.</t>
        </is>
      </c>
      <c r="L2033" s="2" t="inlineStr">
        <is>
          <t>https://www.kino-teatr.ru/teatr/movie/166457/annot/</t>
        </is>
      </c>
      <c r="M2033" s="2">
        <f>HYPERLINK("https://ru.wikipedia.org/w/index.php?search=%D0%90%D0%BB%D0%B8%D1%81%D0%B0%20%D0%B2%20%D1%81%D1%82%D1%80%D0%B0%D0%BD%D0%B5%20%D1%87%D1%83%D0%B4%D0%B5%D1%81%201983%20%D1%84%D0%B8%D0%BB%D1%8C%D0%BC","искать")</f>
        <v/>
      </c>
      <c r="N2033" s="3" t="n"/>
      <c r="O2033" s="2" t="n"/>
    </row>
    <row r="2034">
      <c r="A2034" s="2" t="n">
        <v>2033</v>
      </c>
      <c r="B2034" s="2" t="inlineStr">
        <is>
          <t>короткая</t>
        </is>
      </c>
      <c r="C2034" s="2" t="n">
        <v>8131</v>
      </c>
      <c r="D2034" s="3" t="inlineStr">
        <is>
          <t>Под знаком Красного креста</t>
        </is>
      </c>
      <c r="E2034" s="2" t="n">
        <v>1987</v>
      </c>
      <c r="F2034" s="2" t="inlineStr">
        <is>
          <t>телефильм</t>
        </is>
      </c>
      <c r="G2034" s="2" t="n"/>
      <c r="H2034" s="2" t="n">
        <v>137</v>
      </c>
      <c r="I2034" s="2" t="inlineStr"/>
      <c r="J2034" s="2" t="inlineStr"/>
      <c r="K2034" s="3" t="inlineStr">
        <is>
          <t>О помощи сотрудников Международного Красного Креста людям в поисках своих родственников, пропавших по время Великой Отечественногй войны.</t>
        </is>
      </c>
      <c r="L2034" s="2" t="inlineStr">
        <is>
          <t>Кино_СССР сводный каталог.xlsx: список телефильмов</t>
        </is>
      </c>
      <c r="M2034" s="2">
        <f>HYPERLINK("https://ru.wikipedia.org/w/index.php?search=%D0%9F%D0%BE%D0%B4%20%D0%B7%D0%BD%D0%B0%D0%BA%D0%BE%D0%BC%20%D0%9A%D1%80%D0%B0%D1%81%D0%BD%D0%BE%D0%B3%D0%BE%20%D0%BA%D1%80%D0%B5%D1%81%D1%82%D0%B0%201987%20%D1%84%D0%B8%D0%BB%D1%8C%D0%BC","искать")</f>
        <v/>
      </c>
      <c r="N2034" s="3" t="n"/>
      <c r="O2034" s="2" t="n"/>
    </row>
    <row r="2035">
      <c r="A2035" s="2" t="n">
        <v>2034</v>
      </c>
      <c r="B2035" s="2" t="inlineStr">
        <is>
          <t>короткая</t>
        </is>
      </c>
      <c r="C2035" s="2" t="n">
        <v>8336</v>
      </c>
      <c r="D2035" s="3" t="inlineStr">
        <is>
          <t>Серебристая нить</t>
        </is>
      </c>
      <c r="E2035" s="2" t="n">
        <v>1984</v>
      </c>
      <c r="F2035" s="2" t="inlineStr">
        <is>
          <t>телефильм</t>
        </is>
      </c>
      <c r="G2035" s="2" t="n"/>
      <c r="H2035" s="2" t="n">
        <v>137</v>
      </c>
      <c r="I2035" s="2" t="inlineStr"/>
      <c r="J2035" s="2" t="inlineStr"/>
      <c r="K2035" s="3" t="inlineStr">
        <is>
          <t>Телефильм. История любви хлопкороба – механизатора из Таджикистана Султана Асоева и русской девушки, знатной ткачихи Светланы Гончаровой.</t>
        </is>
      </c>
      <c r="L2035" s="2" t="inlineStr">
        <is>
          <t>Кино_СССР сводный каталог.xlsx: список телефильмов</t>
        </is>
      </c>
      <c r="M2035" s="2">
        <f>HYPERLINK("https://ru.wikipedia.org/w/index.php?search=%D0%A1%D0%B5%D1%80%D0%B5%D0%B1%D1%80%D0%B8%D1%81%D1%82%D0%B0%D1%8F%20%D0%BD%D0%B8%D1%82%D1%8C%201984%20%D1%84%D0%B8%D0%BB%D1%8C%D0%BC","искать")</f>
        <v/>
      </c>
      <c r="N2035" s="3" t="n"/>
      <c r="O2035" s="2" t="n"/>
    </row>
    <row r="2036">
      <c r="A2036" s="2" t="n">
        <v>2035</v>
      </c>
      <c r="B2036" s="2" t="inlineStr">
        <is>
          <t>короткая</t>
        </is>
      </c>
      <c r="C2036" s="2" t="n">
        <v>8934</v>
      </c>
      <c r="D2036" s="3" t="inlineStr">
        <is>
          <t>По горячим следам</t>
        </is>
      </c>
      <c r="E2036" s="2" t="n">
        <v>1973</v>
      </c>
      <c r="F2036" s="2" t="inlineStr">
        <is>
          <t>не игровое</t>
        </is>
      </c>
      <c r="G2036" s="2" t="n"/>
      <c r="H2036" s="2" t="n">
        <v>137</v>
      </c>
      <c r="I2036" s="2" t="inlineStr"/>
      <c r="J2036" s="2" t="inlineStr"/>
      <c r="K2036" s="3" t="inlineStr">
        <is>
          <t>Учебный фильм, описывающий методику раскрытия преступления "по горячим следам", на примере уголовного дела по факту убийства инкассатора.</t>
        </is>
      </c>
      <c r="L2036" s="2" t="inlineStr">
        <is>
          <t>Кино_СССР сводный каталог.xlsx: список фильмов (доп.)</t>
        </is>
      </c>
      <c r="M2036" s="2">
        <f>HYPERLINK("https://ru.wikipedia.org/w/index.php?search=%D0%9F%D0%BE%20%D0%B3%D0%BE%D1%80%D1%8F%D1%87%D0%B8%D0%BC%20%D1%81%D0%BB%D0%B5%D0%B4%D0%B0%D0%BC%201973%20%D1%84%D0%B8%D0%BB%D1%8C%D0%BC","искать")</f>
        <v/>
      </c>
      <c r="N2036" s="3" t="n"/>
      <c r="O2036" s="2" t="n"/>
    </row>
    <row r="2037">
      <c r="A2037" s="2" t="n">
        <v>2036</v>
      </c>
      <c r="B2037" s="2" t="inlineStr">
        <is>
          <t>короткая</t>
        </is>
      </c>
      <c r="C2037" s="2" t="n">
        <v>7454</v>
      </c>
      <c r="D2037" s="3" t="inlineStr">
        <is>
          <t>Горская новелла</t>
        </is>
      </c>
      <c r="E2037" s="2" t="n">
        <v>1979</v>
      </c>
      <c r="F2037" s="2" t="inlineStr">
        <is>
          <t>телефильм</t>
        </is>
      </c>
      <c r="G2037" s="2" t="n"/>
      <c r="H2037" s="2" t="n">
        <v>139</v>
      </c>
      <c r="I2037" s="2" t="inlineStr"/>
      <c r="J2037" s="2" t="inlineStr"/>
      <c r="K2037" s="3" t="inlineStr">
        <is>
          <t>О жизни высокогорного аула в Чечено-Ингушетии. Героиня фильма - молодая учительница Светлана Смирнова, приехавшая работать в местную школу.</t>
        </is>
      </c>
      <c r="L2037" s="2" t="inlineStr">
        <is>
          <t>Кино_СССР сводный каталог.xlsx: список телефильмов</t>
        </is>
      </c>
      <c r="M2037" s="2">
        <f>HYPERLINK("https://ru.wikipedia.org/w/index.php?search=%D0%93%D0%BE%D1%80%D1%81%D0%BA%D0%B0%D1%8F%20%D0%BD%D0%BE%D0%B2%D0%B5%D0%BB%D0%BB%D0%B0%201979%20%D1%84%D0%B8%D0%BB%D1%8C%D0%BC","искать")</f>
        <v/>
      </c>
      <c r="N2037" s="3" t="n"/>
      <c r="O2037" s="2" t="n"/>
    </row>
    <row r="2038">
      <c r="A2038" s="2" t="n">
        <v>2037</v>
      </c>
      <c r="B2038" s="2" t="inlineStr">
        <is>
          <t>короткая</t>
        </is>
      </c>
      <c r="C2038" s="2" t="n">
        <v>7660</v>
      </c>
      <c r="D2038" s="3" t="inlineStr">
        <is>
          <t>И капли росы на рассвете</t>
        </is>
      </c>
      <c r="E2038" s="2" t="n">
        <v>1977</v>
      </c>
      <c r="F2038" s="2" t="inlineStr">
        <is>
          <t>телефильм</t>
        </is>
      </c>
      <c r="G2038" s="2" t="inlineStr">
        <is>
          <t>Рижская киностудия</t>
        </is>
      </c>
      <c r="H2038" s="2" t="n">
        <v>139</v>
      </c>
      <c r="I2038" s="2" t="inlineStr"/>
      <c r="J2038" s="2" t="inlineStr"/>
      <c r="K2038" s="3" t="inlineStr">
        <is>
          <t>Телефильм об участии подростков в подпольной борьбе с немецкими оккупантами. Действие происходит в Риге в годы Великой Отечественной войны.</t>
        </is>
      </c>
      <c r="L2038" s="2" t="inlineStr">
        <is>
          <t>Кино_СССР сводный каталог.xlsx: список телефильмов</t>
        </is>
      </c>
      <c r="M2038" s="2">
        <f>HYPERLINK("https://ru.wikipedia.org/w/index.php?search=%D0%98%20%D0%BA%D0%B0%D0%BF%D0%BB%D0%B8%20%D1%80%D0%BE%D1%81%D1%8B%20%D0%BD%D0%B0%20%D1%80%D0%B0%D1%81%D1%81%D0%B2%D0%B5%D1%82%D0%B5%201977%20%D1%84%D0%B8%D0%BB%D1%8C%D0%BC","искать")</f>
        <v/>
      </c>
      <c r="N2038" s="3" t="n"/>
      <c r="O2038" s="2" t="n"/>
    </row>
    <row r="2039">
      <c r="A2039" s="2" t="n">
        <v>2038</v>
      </c>
      <c r="B2039" s="2" t="inlineStr">
        <is>
          <t>короткая</t>
        </is>
      </c>
      <c r="C2039" s="2" t="n">
        <v>8506</v>
      </c>
      <c r="D2039" s="3" t="inlineStr">
        <is>
          <t>Учитель музыки</t>
        </is>
      </c>
      <c r="E2039" s="2" t="n">
        <v>1983</v>
      </c>
      <c r="F2039" s="2" t="inlineStr">
        <is>
          <t>телефильм</t>
        </is>
      </c>
      <c r="G2039" s="2" t="n"/>
      <c r="H2039" s="2" t="n">
        <v>139</v>
      </c>
      <c r="I2039" s="2" t="inlineStr"/>
      <c r="J2039" s="2" t="inlineStr"/>
      <c r="K2039" s="3" t="inlineStr">
        <is>
          <t>Музыкальный телефильм, повествует о молодом учителе музыки,  прибывшем в отдаленную горную деревню, где знакомит детей с музыкальным миром.</t>
        </is>
      </c>
      <c r="L2039" s="2" t="inlineStr">
        <is>
          <t>Кино_СССР сводный каталог.xlsx: список телефильмов</t>
        </is>
      </c>
      <c r="M2039" s="2">
        <f>HYPERLINK("https://ru.wikipedia.org/w/index.php?search=%D0%A3%D1%87%D0%B8%D1%82%D0%B5%D0%BB%D1%8C%20%D0%BC%D1%83%D0%B7%D1%8B%D0%BA%D0%B8%201983%20%D1%84%D0%B8%D0%BB%D1%8C%D0%BC","искать")</f>
        <v/>
      </c>
      <c r="N2039" s="3" t="n"/>
      <c r="O2039" s="2" t="n"/>
    </row>
    <row r="2040">
      <c r="A2040" s="2" t="n">
        <v>2039</v>
      </c>
      <c r="B2040" s="2" t="inlineStr">
        <is>
          <t>короткая</t>
        </is>
      </c>
      <c r="C2040" s="2" t="n">
        <v>9173</v>
      </c>
      <c r="D2040" s="3" t="inlineStr">
        <is>
          <t>Шерлок Холмс в ХХ веке / Двадцатый век начинается</t>
        </is>
      </c>
      <c r="E2040" s="2" t="n">
        <v>1987</v>
      </c>
      <c r="F2040" s="2" t="inlineStr">
        <is>
          <t>кинофильм</t>
        </is>
      </c>
      <c r="G2040" s="2" t="n"/>
      <c r="H2040" s="2" t="n">
        <v>139</v>
      </c>
      <c r="I2040" s="2" t="inlineStr"/>
      <c r="J2040" s="2" t="inlineStr"/>
      <c r="K2040" s="3" t="inlineStr">
        <is>
          <t>На Бейкер-стрит приходит молодой инженер-гидравлик с перевязанной рукой. Он просит Холмса разобраться в загадочных событиях прошедшей ночи.</t>
        </is>
      </c>
      <c r="L2040" s="2" t="inlineStr">
        <is>
          <t>Кино_СССР сводный каталог.xlsx: список фильмов (доп.)</t>
        </is>
      </c>
      <c r="M2040" s="2">
        <f>HYPERLINK("https://ru.wikipedia.org/w/index.php?search=%D0%A8%D0%B5%D1%80%D0%BB%D0%BE%D0%BA%20%D0%A5%D0%BE%D0%BB%D0%BC%D1%81%20%D0%B2%20%D0%A5%D0%A5%20%D0%B2%D0%B5%D0%BA%D0%B5%20/%20%D0%94%D0%B2%D0%B0%D0%B4%D1%86%D0%B0%D1%82%D1%8B%D0%B9%20%D0%B2%D0%B5%D0%BA%20%D0%BD%D0%B0%D1%87%D0%B8%D0%BD%D0%B0%D0%B5%D1%82%D1%81%D1%8F%201987%20%D1%84%D0%B8%D0%BB%D1%8C%D0%BC","искать")</f>
        <v/>
      </c>
      <c r="N2040" s="3" t="n"/>
      <c r="O2040" s="2" t="n"/>
    </row>
    <row r="2041">
      <c r="A2041" s="2" t="n">
        <v>2040</v>
      </c>
      <c r="B2041" s="2" t="inlineStr">
        <is>
          <t>короткая</t>
        </is>
      </c>
      <c r="C2041" s="2" t="n">
        <v>9559</v>
      </c>
      <c r="D2041" s="3" t="inlineStr">
        <is>
          <t>Пограничный пост №17</t>
        </is>
      </c>
      <c r="E2041" s="2" t="n">
        <v>1926</v>
      </c>
      <c r="F2041" s="2" t="inlineStr">
        <is>
          <t>кинофильм</t>
        </is>
      </c>
      <c r="G2041" s="2" t="n"/>
      <c r="H2041" s="2" t="n">
        <v>139</v>
      </c>
      <c r="I2041" s="2" t="inlineStr"/>
      <c r="J2041" s="2" t="inlineStr"/>
      <c r="K2041" s="3" t="inlineStr">
        <is>
          <t>О борьбе дальневосточных пограничников с контрабандистами в постановке театрального режиссера И.Калабухова. В ГФФ копия фильма не хранится.</t>
        </is>
      </c>
      <c r="L2041" s="2" t="inlineStr">
        <is>
          <t>Кино_СССР сводный каталог.xlsx: список фильмов (доп.)</t>
        </is>
      </c>
      <c r="M2041" s="2">
        <f>HYPERLINK("https://ru.wikipedia.org/w/index.php?search=%D0%9F%D0%BE%D0%B3%D1%80%D0%B0%D0%BD%D0%B8%D1%87%D0%BD%D1%8B%D0%B9%20%D0%BF%D0%BE%D1%81%D1%82%20%E2%84%9617%201926%20%D1%84%D0%B8%D0%BB%D1%8C%D0%BC","искать")</f>
        <v/>
      </c>
      <c r="N2041" s="3" t="n"/>
      <c r="O2041" s="2" t="n"/>
    </row>
    <row r="2042">
      <c r="A2042" s="2" t="n">
        <v>2041</v>
      </c>
      <c r="B2042" s="2" t="inlineStr">
        <is>
          <t>короткая</t>
        </is>
      </c>
      <c r="C2042" s="2" t="n">
        <v>7715</v>
      </c>
      <c r="D2042" s="3" t="inlineStr">
        <is>
          <t>Капля меда</t>
        </is>
      </c>
      <c r="E2042" s="2" t="n">
        <v>1982</v>
      </c>
      <c r="F2042" s="2" t="inlineStr">
        <is>
          <t>телефильм</t>
        </is>
      </c>
      <c r="G2042" s="2" t="n"/>
      <c r="H2042" s="2" t="n">
        <v>140</v>
      </c>
      <c r="I2042" s="2" t="inlineStr"/>
      <c r="J2042" s="2" t="inlineStr"/>
      <c r="K2042" s="3" t="inlineStr">
        <is>
          <t>Մի կաթիլ մեղրը Телефильм по сказкам О.Туманяна. Сказка-притча о том, как всего лишь из-за капли меда может разгореться кровопролитная война.</t>
        </is>
      </c>
      <c r="L2042" s="2" t="inlineStr">
        <is>
          <t>Кино_СССР сводный каталог.xlsx: список телефильмов</t>
        </is>
      </c>
      <c r="M2042" s="2">
        <f>HYPERLINK("https://ru.wikipedia.org/w/index.php?search=%D0%9A%D0%B0%D0%BF%D0%BB%D1%8F%20%D0%BC%D0%B5%D0%B4%D0%B0%201982%20%D1%84%D0%B8%D0%BB%D1%8C%D0%BC","искать")</f>
        <v/>
      </c>
      <c r="N2042" s="3" t="n"/>
      <c r="O2042" s="2" t="n"/>
    </row>
    <row r="2043">
      <c r="A2043" s="2" t="n">
        <v>2042</v>
      </c>
      <c r="B2043" s="2" t="inlineStr">
        <is>
          <t>короткая</t>
        </is>
      </c>
      <c r="C2043" s="2" t="n">
        <v>9869</v>
      </c>
      <c r="D2043" s="3" t="inlineStr">
        <is>
          <t>Валерка, Рэмка +</t>
        </is>
      </c>
      <c r="E2043" s="2" t="n">
        <v>1970</v>
      </c>
      <c r="F2043" s="2" t="inlineStr">
        <is>
          <t>кинофильм</t>
        </is>
      </c>
      <c r="G2043" s="2" t="inlineStr">
        <is>
          <t>Одесская киностудия</t>
        </is>
      </c>
      <c r="H2043" s="2" t="n">
        <v>140</v>
      </c>
      <c r="I2043" s="2" t="inlineStr"/>
      <c r="J2043" s="2" t="inlineStr"/>
      <c r="K2043" s="3" t="inlineStr">
        <is>
          <t>Комедия для детей по мотивам рассказа Радия Погодина. Фильм о первой любви двух мальчиков к соседской девочке. Действие происходит в Одессе.</t>
        </is>
      </c>
      <c r="L2043" s="2" t="inlineStr">
        <is>
          <t>https://www.kino-teatr.ru/short/movie/sov/798/annot/</t>
        </is>
      </c>
      <c r="M2043" s="2">
        <f>HYPERLINK("https://ru.wikipedia.org/w/index.php?search=%D0%92%D0%B0%D0%BB%D0%B5%D1%80%D0%BA%D0%B0%2C%20%D0%A0%D1%8D%D0%BC%D0%BA%D0%B0%20%2B%201970%20%D1%84%D0%B8%D0%BB%D1%8C%D0%BC","искать")</f>
        <v/>
      </c>
      <c r="N2043" s="3" t="n"/>
      <c r="O2043" s="2" t="n"/>
    </row>
    <row r="2044">
      <c r="A2044" s="2" t="n">
        <v>2043</v>
      </c>
      <c r="B2044" s="2" t="inlineStr">
        <is>
          <t>короткая</t>
        </is>
      </c>
      <c r="C2044" s="2" t="n">
        <v>9715</v>
      </c>
      <c r="D2044" s="3" t="inlineStr">
        <is>
          <t>Уставшие</t>
        </is>
      </c>
      <c r="E2044" s="2" t="n">
        <v>1991</v>
      </c>
      <c r="F2044" s="2" t="inlineStr">
        <is>
          <t>кинофильм</t>
        </is>
      </c>
      <c r="G2044" s="2" t="n"/>
      <c r="H2044" s="2" t="n">
        <v>141</v>
      </c>
      <c r="I2044" s="2" t="inlineStr"/>
      <c r="J2044" s="2" t="inlineStr"/>
      <c r="K2044" s="3" t="inlineStr">
        <is>
          <t>В небольшой квартире живут трое: он, она и ее бабушка. Во время его отсутствия героиня вышла замуж - и теперь изменяет то мужу, то любовнику.</t>
        </is>
      </c>
      <c r="L2044" s="2" t="inlineStr">
        <is>
          <t>Кино_СССР сводный каталог.xlsx: список фильмов (доп.)</t>
        </is>
      </c>
      <c r="M2044" s="2">
        <f>HYPERLINK("https://ru.wikipedia.org/w/index.php?search=%D0%A3%D1%81%D1%82%D0%B0%D0%B2%D1%88%D0%B8%D0%B5%201991%20%D1%84%D0%B8%D0%BB%D1%8C%D0%BC","искать")</f>
        <v/>
      </c>
      <c r="N2044" s="3" t="n"/>
      <c r="O2044" s="2" t="n"/>
    </row>
    <row r="2045">
      <c r="A2045" s="2" t="n">
        <v>2044</v>
      </c>
      <c r="B2045" s="2" t="inlineStr">
        <is>
          <t>короткая</t>
        </is>
      </c>
      <c r="C2045" s="2" t="n">
        <v>10320</v>
      </c>
      <c r="D2045" s="3" t="inlineStr">
        <is>
          <t>Оперативная командировка</t>
        </is>
      </c>
      <c r="E2045" s="2" t="n">
        <v>1969</v>
      </c>
      <c r="F2045" s="2" t="inlineStr">
        <is>
          <t>фильм-спектакль</t>
        </is>
      </c>
      <c r="G2045" s="2" t="inlineStr">
        <is>
          <t>Центральное телевидение</t>
        </is>
      </c>
      <c r="H2045" s="2" t="n">
        <v>141</v>
      </c>
      <c r="I2045" s="2" t="inlineStr"/>
      <c r="J2045" s="2" t="inlineStr"/>
      <c r="K2045" s="3" t="inlineStr">
        <is>
          <t>По мотивам повести А. Гарри "Лесной разбойник".
О разгроме бригадой Г.И. Котовского контрреволюционного мятежа на Тамбовщине летом 1921 года.</t>
        </is>
      </c>
      <c r="L2045" s="2" t="inlineStr">
        <is>
          <t>https://www.kino-teatr.ru/teatr/movie/82785/annot/</t>
        </is>
      </c>
      <c r="M2045" s="2">
        <f>HYPERLINK("https://ru.wikipedia.org/w/index.php?search=%D0%9E%D0%BF%D0%B5%D1%80%D0%B0%D1%82%D0%B8%D0%B2%D0%BD%D0%B0%D1%8F%20%D0%BA%D0%BE%D0%BC%D0%B0%D0%BD%D0%B4%D0%B8%D1%80%D0%BE%D0%B2%D0%BA%D0%B0%201969%20%D1%84%D0%B8%D0%BB%D1%8C%D0%BC","искать")</f>
        <v/>
      </c>
      <c r="N2045" s="3" t="n"/>
      <c r="O2045" s="2" t="n"/>
    </row>
    <row r="2046">
      <c r="A2046" s="2" t="n">
        <v>2045</v>
      </c>
      <c r="B2046" s="2" t="inlineStr">
        <is>
          <t>короткая</t>
        </is>
      </c>
      <c r="C2046" s="2" t="n">
        <v>10477</v>
      </c>
      <c r="D2046" s="3" t="inlineStr">
        <is>
          <t>Час жизни</t>
        </is>
      </c>
      <c r="E2046" s="2" t="n">
        <v>1972</v>
      </c>
      <c r="F2046" s="2" t="inlineStr">
        <is>
          <t>фильм-спектакль</t>
        </is>
      </c>
      <c r="G2046" s="2" t="inlineStr">
        <is>
          <t>Главная редакция литературно-драматических программ ЦТ</t>
        </is>
      </c>
      <c r="H2046" s="2" t="n">
        <v>141</v>
      </c>
      <c r="I2046" s="2" t="inlineStr"/>
      <c r="J2046" s="2" t="inlineStr"/>
      <c r="K2046" s="3" t="inlineStr">
        <is>
          <t>По пьесе Льва Синельникова.
О жизни и революционной деятельности членов семьи Ульяновых в Киеве в период, предшествующий революции 1905 года.</t>
        </is>
      </c>
      <c r="L2046" s="2" t="inlineStr">
        <is>
          <t>https://www.kino-teatr.ru/teatr/movie/17144/annot/</t>
        </is>
      </c>
      <c r="M2046" s="2">
        <f>HYPERLINK("https://ru.wikipedia.org/w/index.php?search=%D0%A7%D0%B0%D1%81%20%D0%B6%D0%B8%D0%B7%D0%BD%D0%B8%201972%20%D1%84%D0%B8%D0%BB%D1%8C%D0%BC","искать")</f>
        <v/>
      </c>
      <c r="N2046" s="3" t="n"/>
      <c r="O2046" s="2" t="n"/>
    </row>
    <row r="2047">
      <c r="A2047" s="2" t="n">
        <v>2046</v>
      </c>
      <c r="B2047" s="2" t="inlineStr">
        <is>
          <t>короткая</t>
        </is>
      </c>
      <c r="C2047" s="2" t="n">
        <v>8606</v>
      </c>
      <c r="D2047" s="3" t="inlineStr">
        <is>
          <t>Юркины рассветы</t>
        </is>
      </c>
      <c r="E2047" s="2" t="n">
        <v>1974</v>
      </c>
      <c r="F2047" s="2" t="inlineStr">
        <is>
          <t>телефильм</t>
        </is>
      </c>
      <c r="G2047" s="2" t="n"/>
      <c r="H2047" s="2" t="n">
        <v>142</v>
      </c>
      <c r="I2047" s="2" t="inlineStr"/>
      <c r="J2047" s="2" t="inlineStr"/>
      <c r="K2047" s="3" t="inlineStr">
        <is>
          <t>История о трудовых буднях и проблемах сельской молодёжи, и о любви секретаря комсомольской организации колхоза Юры Хмеля и односельчанки Жени.</t>
        </is>
      </c>
      <c r="L2047" s="2" t="inlineStr">
        <is>
          <t>Кино_СССР сводный каталог.xlsx: список телефильмов</t>
        </is>
      </c>
      <c r="M2047" s="2">
        <f>HYPERLINK("https://ru.wikipedia.org/w/index.php?search=%D0%AE%D1%80%D0%BA%D0%B8%D0%BD%D1%8B%20%D1%80%D0%B0%D1%81%D1%81%D0%B2%D0%B5%D1%82%D1%8B%201974%20%D1%84%D0%B8%D0%BB%D1%8C%D0%BC","искать")</f>
        <v/>
      </c>
      <c r="N2047" s="3" t="n"/>
      <c r="O2047" s="2" t="n"/>
    </row>
    <row r="2048">
      <c r="A2048" s="2" t="n">
        <v>2047</v>
      </c>
      <c r="B2048" s="2" t="inlineStr">
        <is>
          <t>короткая</t>
        </is>
      </c>
      <c r="C2048" s="2" t="n">
        <v>9273</v>
      </c>
      <c r="D2048" s="3" t="inlineStr">
        <is>
          <t>Влюблённый манекен</t>
        </is>
      </c>
      <c r="E2048" s="2" t="n">
        <v>1991</v>
      </c>
      <c r="F2048" s="2" t="inlineStr">
        <is>
          <t>кинофильм</t>
        </is>
      </c>
      <c r="G2048" s="2" t="n"/>
      <c r="H2048" s="2" t="n">
        <v>142</v>
      </c>
      <c r="I2048" s="2" t="inlineStr"/>
      <c r="J2048" s="2" t="inlineStr"/>
      <c r="K2048" s="3" t="inlineStr">
        <is>
          <t>Началом многочисленных комических недоразумений и приключений в этом фильме послужила телеграмма о визите в город финалистки конкурса красоты.</t>
        </is>
      </c>
      <c r="L2048" s="2" t="inlineStr">
        <is>
          <t>Кино_СССР сводный каталог.xlsx: список фильмов (доп.)</t>
        </is>
      </c>
      <c r="M2048" s="2">
        <f>HYPERLINK("https://ru.wikipedia.org/w/index.php?search=%D0%92%D0%BB%D1%8E%D0%B1%D0%BB%D1%91%D0%BD%D0%BD%D1%8B%D0%B9%20%D0%BC%D0%B0%D0%BD%D0%B5%D0%BA%D0%B5%D0%BD%201991%20%D1%84%D0%B8%D0%BB%D1%8C%D0%BC","искать")</f>
        <v/>
      </c>
      <c r="N2048" s="3" t="n"/>
      <c r="O2048" s="2" t="n"/>
    </row>
    <row r="2049">
      <c r="A2049" s="2" t="n">
        <v>2048</v>
      </c>
      <c r="B2049" s="2" t="inlineStr">
        <is>
          <t>короткая</t>
        </is>
      </c>
      <c r="C2049" s="2" t="n">
        <v>10671</v>
      </c>
      <c r="D2049" s="3" t="inlineStr">
        <is>
          <t>Сильва</t>
        </is>
      </c>
      <c r="E2049" s="2" t="n">
        <v>1976</v>
      </c>
      <c r="F2049" s="2" t="inlineStr">
        <is>
          <t>фильм-спектакль</t>
        </is>
      </c>
      <c r="G2049" s="2" t="n"/>
      <c r="H2049" s="2" t="n">
        <v>142</v>
      </c>
      <c r="I2049" s="2" t="inlineStr"/>
      <c r="J2049" s="2" t="inlineStr"/>
      <c r="K2049" s="3" t="inlineStr">
        <is>
          <t>Телеспектакль по мотивам оперетты Имре Кальмана. История о любви князя Эдвина и знаменитой, но, к сожалению, не имеющей титула, певицы Сильвы.</t>
        </is>
      </c>
      <c r="L2049" s="2" t="inlineStr">
        <is>
          <t>https://www.kino-teatr.ru/teatr/movie/86517/annot/</t>
        </is>
      </c>
      <c r="M2049" s="2">
        <f>HYPERLINK("https://ru.wikipedia.org/w/index.php?search=%D0%A1%D0%B8%D0%BB%D1%8C%D0%B2%D0%B0%201976%20%D1%84%D0%B8%D0%BB%D1%8C%D0%BC","искать")</f>
        <v/>
      </c>
      <c r="N2049" s="3" t="n"/>
      <c r="O2049" s="2" t="n"/>
    </row>
    <row r="2050">
      <c r="A2050" s="2" t="n">
        <v>2049</v>
      </c>
      <c r="B2050" s="2" t="inlineStr">
        <is>
          <t>короткая</t>
        </is>
      </c>
      <c r="C2050" s="2" t="n">
        <v>9905</v>
      </c>
      <c r="D2050" s="3" t="inlineStr">
        <is>
          <t>Капитан</t>
        </is>
      </c>
      <c r="E2050" s="2" t="n">
        <v>1973</v>
      </c>
      <c r="F2050" s="2" t="inlineStr">
        <is>
          <t>телефильм</t>
        </is>
      </c>
      <c r="G2050" s="2" t="inlineStr">
        <is>
          <t>Ленфильм</t>
        </is>
      </c>
      <c r="H2050" s="2" t="n">
        <v>143</v>
      </c>
      <c r="I2050" s="2" t="inlineStr"/>
      <c r="J2050" s="2" t="inlineStr"/>
      <c r="K2050" s="3" t="inlineStr">
        <is>
          <t>Телефильм. История о том, как герой рассказов Виктора Драгунского - Дениска Кораблев - встречается со своим дядей, капитаном дальнего плавания.</t>
        </is>
      </c>
      <c r="L2050" s="2" t="inlineStr">
        <is>
          <t>https://www.kino-teatr.ru/short/movie/sov/2903/annot/</t>
        </is>
      </c>
      <c r="M2050" s="2">
        <f>HYPERLINK("https://ru.wikipedia.org/w/index.php?search=%D0%9A%D0%B0%D0%BF%D0%B8%D1%82%D0%B0%D0%BD%201973%20%D1%84%D0%B8%D0%BB%D1%8C%D0%BC","искать")</f>
        <v/>
      </c>
      <c r="N2050" s="3" t="n"/>
      <c r="O2050" s="2" t="n"/>
    </row>
    <row r="2051">
      <c r="A2051" s="2" t="n">
        <v>2050</v>
      </c>
      <c r="B2051" s="2" t="inlineStr">
        <is>
          <t>короткая</t>
        </is>
      </c>
      <c r="C2051" s="2" t="n">
        <v>10836</v>
      </c>
      <c r="D2051" s="3" t="inlineStr">
        <is>
          <t>В поте лица своего</t>
        </is>
      </c>
      <c r="E2051" s="2" t="n">
        <v>1980</v>
      </c>
      <c r="F2051" s="2" t="inlineStr">
        <is>
          <t>фильм-спектакль</t>
        </is>
      </c>
      <c r="G2051" s="2" t="inlineStr">
        <is>
          <t>Ленинградское телевидение</t>
        </is>
      </c>
      <c r="H2051" s="2" t="n">
        <v>143</v>
      </c>
      <c r="I2051" s="2" t="inlineStr"/>
      <c r="J2051" s="2" t="inlineStr"/>
      <c r="K2051" s="3" t="inlineStr">
        <is>
          <t>Старый партийный работник Голота отправляется в командировку в город своей юности - крупнейший металлургический центр, где он когда-то работал.</t>
        </is>
      </c>
      <c r="L2051" s="2" t="inlineStr">
        <is>
          <t>https://www.kino-teatr.ru/teatr/movie/8993/annot/</t>
        </is>
      </c>
      <c r="M2051" s="2">
        <f>HYPERLINK("https://ru.wikipedia.org/w/index.php?search=%D0%92%20%D0%BF%D0%BE%D1%82%D0%B5%20%D0%BB%D0%B8%D1%86%D0%B0%20%D1%81%D0%B2%D0%BE%D0%B5%D0%B3%D0%BE%201980%20%D1%84%D0%B8%D0%BB%D1%8C%D0%BC","искать")</f>
        <v/>
      </c>
      <c r="N2051" s="3" t="n"/>
      <c r="O2051" s="2" t="n"/>
    </row>
    <row r="2052">
      <c r="A2052" s="2" t="n">
        <v>2051</v>
      </c>
      <c r="B2052" s="2" t="inlineStr">
        <is>
          <t>короткая</t>
        </is>
      </c>
      <c r="C2052" s="2" t="n">
        <v>11027</v>
      </c>
      <c r="D2052" s="3" t="inlineStr">
        <is>
          <t>Капкан для "Волка"</t>
        </is>
      </c>
      <c r="E2052" s="2" t="n">
        <v>1984</v>
      </c>
      <c r="F2052" s="2" t="inlineStr">
        <is>
          <t>фильм-спектакль</t>
        </is>
      </c>
      <c r="G2052" s="2" t="inlineStr">
        <is>
          <t>Ленинградское телевидение</t>
        </is>
      </c>
      <c r="H2052" s="2" t="n">
        <v>143</v>
      </c>
      <c r="I2052" s="2" t="inlineStr"/>
      <c r="J2052" s="2" t="inlineStr"/>
      <c r="K2052" s="3" t="inlineStr">
        <is>
          <t>Снят на основе документов из архива ленинградской милиции.
О раскрытии сотрудниками уголовного розыска преступления, произошедшего в 1947 году.</t>
        </is>
      </c>
      <c r="L2052" s="2" t="inlineStr">
        <is>
          <t>https://www.kino-teatr.ru/teatr/movie/121027/annot/</t>
        </is>
      </c>
      <c r="M2052" s="2">
        <f>HYPERLINK("https://ru.wikipedia.org/w/index.php?search=%D0%9A%D0%B0%D0%BF%D0%BA%D0%B0%D0%BD%20%D0%B4%D0%BB%D1%8F%20%22%D0%92%D0%BE%D0%BB%D0%BA%D0%B0%22%201984%20%D1%84%D0%B8%D0%BB%D1%8C%D0%BC","искать")</f>
        <v/>
      </c>
      <c r="N2052" s="3" t="n"/>
      <c r="O2052" s="2" t="n"/>
    </row>
    <row r="2053">
      <c r="A2053" s="2" t="n">
        <v>2052</v>
      </c>
      <c r="B2053" s="2" t="inlineStr">
        <is>
          <t>короткая</t>
        </is>
      </c>
      <c r="C2053" s="2" t="n">
        <v>11068</v>
      </c>
      <c r="D2053" s="3" t="inlineStr">
        <is>
          <t>Несмотря на преклонный возраст</t>
        </is>
      </c>
      <c r="E2053" s="2" t="n">
        <v>1985</v>
      </c>
      <c r="F2053" s="2" t="inlineStr">
        <is>
          <t>фильм-спектакль</t>
        </is>
      </c>
      <c r="G2053" s="2" t="inlineStr">
        <is>
          <t>Главная редакция литературно-драматических программ ЦТ</t>
        </is>
      </c>
      <c r="H2053" s="2" t="n">
        <v>143</v>
      </c>
      <c r="I2053" s="2" t="inlineStr"/>
      <c r="J2053" s="2" t="inlineStr"/>
      <c r="K2053" s="3" t="inlineStr">
        <is>
          <t>Фильм-спектакль о научных открытиях в годы Великой Отечественной войны известного во всем мире ученого-геолога Владимира Афанасьевича Обручева.</t>
        </is>
      </c>
      <c r="L2053" s="2" t="inlineStr">
        <is>
          <t>https://www.kino-teatr.ru/teatr/movie/30883/annot/</t>
        </is>
      </c>
      <c r="M2053" s="2">
        <f>HYPERLINK("https://ru.wikipedia.org/w/index.php?search=%D0%9D%D0%B5%D1%81%D0%BC%D0%BE%D1%82%D1%80%D1%8F%20%D0%BD%D0%B0%20%D0%BF%D1%80%D0%B5%D0%BA%D0%BB%D0%BE%D0%BD%D0%BD%D1%8B%D0%B9%20%D0%B2%D0%BE%D0%B7%D1%80%D0%B0%D1%81%D1%82%201985%20%D1%84%D0%B8%D0%BB%D1%8C%D0%BC","искать")</f>
        <v/>
      </c>
      <c r="N2053" s="3" t="n"/>
      <c r="O2053" s="2" t="n"/>
    </row>
    <row r="2054">
      <c r="A2054" s="2" t="n">
        <v>2053</v>
      </c>
      <c r="B2054" s="2" t="inlineStr">
        <is>
          <t>короткая</t>
        </is>
      </c>
      <c r="C2054" s="2" t="n">
        <v>8348</v>
      </c>
      <c r="D2054" s="3" t="inlineStr">
        <is>
          <t>Сказка как сказка</t>
        </is>
      </c>
      <c r="E2054" s="2" t="n">
        <v>1978</v>
      </c>
      <c r="F2054" s="2" t="inlineStr">
        <is>
          <t>телефильм</t>
        </is>
      </c>
      <c r="G2054" s="2" t="n"/>
      <c r="H2054" s="2" t="n">
        <v>144</v>
      </c>
      <c r="I2054" s="2" t="inlineStr"/>
      <c r="J2054" s="2" t="inlineStr"/>
      <c r="K2054" s="3" t="inlineStr">
        <is>
          <t>В некотором царстве жила была принцесса. Когда ей исполнилось 16 лет Добрая фея сделала ей особенный подарок. Но Злая фея решила этому помешать.</t>
        </is>
      </c>
      <c r="L2054" s="2" t="inlineStr">
        <is>
          <t>Кино_СССР сводный каталог.xlsx: список телефильмов</t>
        </is>
      </c>
      <c r="M2054" s="2">
        <f>HYPERLINK("https://ru.wikipedia.org/w/index.php?search=%D0%A1%D0%BA%D0%B0%D0%B7%D0%BA%D0%B0%20%D0%BA%D0%B0%D0%BA%20%D1%81%D0%BA%D0%B0%D0%B7%D0%BA%D0%B0%201978%20%D1%84%D0%B8%D0%BB%D1%8C%D0%BC","искать")</f>
        <v/>
      </c>
      <c r="N2054" s="3" t="n"/>
      <c r="O2054" s="2" t="n"/>
    </row>
    <row r="2055">
      <c r="A2055" s="2" t="n">
        <v>2054</v>
      </c>
      <c r="B2055" s="2" t="inlineStr">
        <is>
          <t>короткая</t>
        </is>
      </c>
      <c r="C2055" s="2" t="n">
        <v>9809</v>
      </c>
      <c r="D2055" s="3" t="inlineStr">
        <is>
          <t>Жилец</t>
        </is>
      </c>
      <c r="E2055" s="2" t="n">
        <v>1954</v>
      </c>
      <c r="F2055" s="2" t="inlineStr">
        <is>
          <t>телефильм</t>
        </is>
      </c>
      <c r="G2055" s="2" t="inlineStr">
        <is>
          <t>Центральная студия телевидения</t>
        </is>
      </c>
      <c r="H2055" s="2" t="n">
        <v>144</v>
      </c>
      <c r="I2055" s="2" t="inlineStr"/>
      <c r="J2055" s="2" t="inlineStr"/>
      <c r="K2055" s="3" t="inlineStr">
        <is>
          <t>Экранизация одноименного рассказа А.П.Чехова.
Молодой человек, когда-то занимавшийся адвокатурой, теперь живет без дела у своей богатой супруги.</t>
        </is>
      </c>
      <c r="L2055" s="2" t="inlineStr">
        <is>
          <t>https://www.kino-teatr.ru/short/movie/sov/16653/annot/</t>
        </is>
      </c>
      <c r="M2055" s="2">
        <f>HYPERLINK("https://ru.wikipedia.org/w/index.php?search=%D0%96%D0%B8%D0%BB%D0%B5%D1%86%201954%20%D1%84%D0%B8%D0%BB%D1%8C%D0%BC","искать")</f>
        <v/>
      </c>
      <c r="N2055" s="3" t="n"/>
      <c r="O2055" s="2" t="n"/>
    </row>
    <row r="2056">
      <c r="A2056" s="2" t="n">
        <v>2055</v>
      </c>
      <c r="B2056" s="2" t="inlineStr">
        <is>
          <t>короткая</t>
        </is>
      </c>
      <c r="C2056" s="2" t="n">
        <v>7349</v>
      </c>
      <c r="D2056" s="3" t="inlineStr">
        <is>
          <t>Внимание: Ведьмы!</t>
        </is>
      </c>
      <c r="E2056" s="2" t="n">
        <v>1990</v>
      </c>
      <c r="F2056" s="2" t="inlineStr">
        <is>
          <t>телефильм</t>
        </is>
      </c>
      <c r="G2056" s="2" t="n"/>
      <c r="H2056" s="2" t="n">
        <v>145</v>
      </c>
      <c r="I2056" s="2" t="inlineStr"/>
      <c r="J2056" s="2" t="inlineStr"/>
      <c r="K2056" s="3" t="inlineStr">
        <is>
          <t>По мотивам повести М.Казовского "Пояс Титимити". Участковый инспектор Павел Храпунцов отслеживает в своем микрорайоне секту с мистическим уклоном</t>
        </is>
      </c>
      <c r="L2056" s="2" t="inlineStr">
        <is>
          <t>Кино_СССР сводный каталог.xlsx: список телефильмов</t>
        </is>
      </c>
      <c r="M2056" s="2">
        <f>HYPERLINK("https://ru.wikipedia.org/w/index.php?search=%D0%92%D0%BD%D0%B8%D0%BC%D0%B0%D0%BD%D0%B8%D0%B5%3A%20%D0%92%D0%B5%D0%B4%D1%8C%D0%BC%D1%8B%21%201990%20%D1%84%D0%B8%D0%BB%D1%8C%D0%BC","искать")</f>
        <v/>
      </c>
      <c r="N2056" s="3" t="n"/>
      <c r="O2056" s="2" t="n"/>
    </row>
    <row r="2057">
      <c r="A2057" s="2" t="n">
        <v>2056</v>
      </c>
      <c r="B2057" s="2" t="inlineStr">
        <is>
          <t>короткая</t>
        </is>
      </c>
      <c r="C2057" s="2" t="n">
        <v>7825</v>
      </c>
      <c r="D2057" s="3" t="inlineStr">
        <is>
          <t>Люби меня, как я тебя</t>
        </is>
      </c>
      <c r="E2057" s="2" t="n">
        <v>1986</v>
      </c>
      <c r="F2057" s="2" t="inlineStr">
        <is>
          <t>телефильм</t>
        </is>
      </c>
      <c r="G2057" s="2" t="n"/>
      <c r="H2057" s="2" t="n">
        <v>145</v>
      </c>
      <c r="I2057" s="2" t="inlineStr"/>
      <c r="J2057" s="2" t="inlineStr"/>
      <c r="K2057" s="3" t="inlineStr">
        <is>
          <t>Сентиментальный мюзикл о любви и преданности: полярник Федя встретил и полюбил Ксению. Доброта и чуткость Фёдора вызвали ответное чувство Ксении.</t>
        </is>
      </c>
      <c r="L2057" s="2" t="inlineStr">
        <is>
          <t>Кино_СССР сводный каталог.xlsx: список телефильмов</t>
        </is>
      </c>
      <c r="M2057" s="2">
        <f>HYPERLINK("https://ru.wikipedia.org/w/index.php?search=%D0%9B%D1%8E%D0%B1%D0%B8%20%D0%BC%D0%B5%D0%BD%D1%8F%2C%20%D0%BA%D0%B0%D0%BA%20%D1%8F%20%D1%82%D0%B5%D0%B1%D1%8F%201986%20%D1%84%D0%B8%D0%BB%D1%8C%D0%BC","искать")</f>
        <v/>
      </c>
      <c r="N2057" s="3" t="n"/>
      <c r="O2057" s="2" t="n"/>
    </row>
    <row r="2058">
      <c r="A2058" s="2" t="n">
        <v>2057</v>
      </c>
      <c r="B2058" s="2" t="inlineStr">
        <is>
          <t>короткая</t>
        </is>
      </c>
      <c r="C2058" s="2" t="n">
        <v>7883</v>
      </c>
      <c r="D2058" s="3" t="inlineStr">
        <is>
          <t>Мишка, Малыш и другие</t>
        </is>
      </c>
      <c r="E2058" s="2" t="n">
        <v>1981</v>
      </c>
      <c r="F2058" s="2" t="inlineStr">
        <is>
          <t>телефильм</t>
        </is>
      </c>
      <c r="G2058" s="2" t="n"/>
      <c r="H2058" s="2" t="n">
        <v>145</v>
      </c>
      <c r="I2058" s="2" t="inlineStr"/>
      <c r="J2058" s="2" t="inlineStr"/>
      <c r="K2058" s="3" t="inlineStr">
        <is>
          <t>Детский мини-телесериал. Две новеллы «Короткое свидание» и «Первая весна» рассказывают о маленьком медвежонке Пятнашке, познающем окружающий мир.</t>
        </is>
      </c>
      <c r="L2058" s="2" t="inlineStr">
        <is>
          <t>Кино_СССР сводный каталог.xlsx: список телефильмов</t>
        </is>
      </c>
      <c r="M2058" s="2">
        <f>HYPERLINK("https://ru.wikipedia.org/w/index.php?search=%D0%9C%D0%B8%D1%88%D0%BA%D0%B0%2C%20%D0%9C%D0%B0%D0%BB%D1%8B%D1%88%20%D0%B8%20%D0%B4%D1%80%D1%83%D0%B3%D0%B8%D0%B5%201981%20%D1%84%D0%B8%D0%BB%D1%8C%D0%BC","искать")</f>
        <v/>
      </c>
      <c r="N2058" s="3" t="n"/>
      <c r="O2058" s="2" t="n"/>
    </row>
    <row r="2059">
      <c r="A2059" s="2" t="n">
        <v>2058</v>
      </c>
      <c r="B2059" s="2" t="inlineStr">
        <is>
          <t>короткая</t>
        </is>
      </c>
      <c r="C2059" s="2" t="n">
        <v>7896</v>
      </c>
      <c r="D2059" s="3" t="inlineStr">
        <is>
          <t>Молодой человек из хорошей семьи</t>
        </is>
      </c>
      <c r="E2059" s="2" t="n">
        <v>1989</v>
      </c>
      <c r="F2059" s="2" t="inlineStr">
        <is>
          <t>телефильм</t>
        </is>
      </c>
      <c r="G2059" s="2" t="n"/>
      <c r="H2059" s="2" t="n">
        <v>145</v>
      </c>
      <c r="I2059" s="2" t="inlineStr"/>
      <c r="J2059" s="2" t="inlineStr"/>
      <c r="K2059" s="3" t="inlineStr">
        <is>
          <t>Валера Сапогин возвращается домой после службы в армии. Много жизненных уроков переживает молодой человек, прежде чем находит свое место в жизни.</t>
        </is>
      </c>
      <c r="L2059" s="2" t="inlineStr">
        <is>
          <t>Кино_СССР сводный каталог.xlsx: список телефильмов</t>
        </is>
      </c>
      <c r="M2059" s="2">
        <f>HYPERLINK("https://ru.wikipedia.org/w/index.php?search=%D0%9C%D0%BE%D0%BB%D0%BE%D0%B4%D0%BE%D0%B9%20%D1%87%D0%B5%D0%BB%D0%BE%D0%B2%D0%B5%D0%BA%20%D0%B8%D0%B7%20%D1%85%D0%BE%D1%80%D0%BE%D1%88%D0%B5%D0%B9%20%D1%81%D0%B5%D0%BC%D1%8C%D0%B8%201989%20%D1%84%D0%B8%D0%BB%D1%8C%D0%BC","искать")</f>
        <v/>
      </c>
      <c r="N2059" s="3" t="n"/>
      <c r="O2059" s="2" t="n"/>
    </row>
    <row r="2060">
      <c r="A2060" s="2" t="n">
        <v>2059</v>
      </c>
      <c r="B2060" s="2" t="inlineStr">
        <is>
          <t>короткая</t>
        </is>
      </c>
      <c r="C2060" s="2" t="n">
        <v>8613</v>
      </c>
      <c r="D2060" s="3" t="inlineStr">
        <is>
          <t>Я придумываю песню</t>
        </is>
      </c>
      <c r="E2060" s="2" t="n">
        <v>1979</v>
      </c>
      <c r="F2060" s="2" t="inlineStr">
        <is>
          <t>телефильм</t>
        </is>
      </c>
      <c r="G2060" s="2" t="n"/>
      <c r="H2060" s="2" t="n">
        <v>145</v>
      </c>
      <c r="I2060" s="2" t="inlineStr"/>
      <c r="J2060" s="2" t="inlineStr"/>
      <c r="K2060" s="3" t="inlineStr">
        <is>
          <t>Музыкальный телефильм рассказывает про отбор деревенской детворы для поступления в музыкальную школу. Действие происходит в азербайджанском селе.</t>
        </is>
      </c>
      <c r="L2060" s="2" t="inlineStr">
        <is>
          <t>Кино_СССР сводный каталог.xlsx: список телефильмов</t>
        </is>
      </c>
      <c r="M2060" s="2">
        <f>HYPERLINK("https://ru.wikipedia.org/w/index.php?search=%D0%AF%20%D0%BF%D1%80%D0%B8%D0%B4%D1%83%D0%BC%D1%8B%D0%B2%D0%B0%D1%8E%20%D0%BF%D0%B5%D1%81%D0%BD%D1%8E%201979%20%D1%84%D0%B8%D0%BB%D1%8C%D0%BC","искать")</f>
        <v/>
      </c>
      <c r="N2060" s="3" t="n"/>
      <c r="O2060" s="2" t="n"/>
    </row>
    <row r="2061">
      <c r="A2061" s="2" t="n">
        <v>2060</v>
      </c>
      <c r="B2061" s="2" t="inlineStr">
        <is>
          <t>короткая</t>
        </is>
      </c>
      <c r="C2061" s="2" t="n">
        <v>9871</v>
      </c>
      <c r="D2061" s="3" t="inlineStr">
        <is>
          <t>Встряска</t>
        </is>
      </c>
      <c r="E2061" s="2" t="n">
        <v>1970</v>
      </c>
      <c r="F2061" s="2" t="inlineStr">
        <is>
          <t>телефильм</t>
        </is>
      </c>
      <c r="G2061" s="2" t="inlineStr">
        <is>
          <t>Мосфильм, творческое объединение "Телефильм"</t>
        </is>
      </c>
      <c r="H2061" s="2" t="n">
        <v>145</v>
      </c>
      <c r="I2061" s="2" t="inlineStr"/>
      <c r="J2061" s="2" t="inlineStr"/>
      <c r="K2061" s="3" t="inlineStr">
        <is>
          <t>Телефильм по мотивам одноименного рассказа М.Горького.
О маленьком мальчике-подмастерье иконописной мастерской, мечтавшем стать цирковым клоуном.</t>
        </is>
      </c>
      <c r="L2061" s="2" t="inlineStr">
        <is>
          <t>https://www.kino-teatr.ru/short/movie/sov/1265/annot/</t>
        </is>
      </c>
      <c r="M2061" s="2">
        <f>HYPERLINK("https://ru.wikipedia.org/w/index.php?search=%D0%92%D1%81%D1%82%D1%80%D1%8F%D1%81%D0%BA%D0%B0%201970%20%D1%84%D0%B8%D0%BB%D1%8C%D0%BC","искать")</f>
        <v/>
      </c>
      <c r="N2061" s="3" t="n"/>
      <c r="O2061" s="2" t="n"/>
    </row>
    <row r="2062">
      <c r="A2062" s="2" t="n">
        <v>2061</v>
      </c>
      <c r="B2062" s="2" t="inlineStr">
        <is>
          <t>короткая</t>
        </is>
      </c>
      <c r="C2062" s="2" t="n">
        <v>10971</v>
      </c>
      <c r="D2062" s="3" t="inlineStr">
        <is>
          <t>Старинный детектив</t>
        </is>
      </c>
      <c r="E2062" s="2" t="n">
        <v>1982</v>
      </c>
      <c r="F2062" s="2" t="inlineStr">
        <is>
          <t>фильм-спектакль</t>
        </is>
      </c>
      <c r="G2062" s="2" t="inlineStr">
        <is>
          <t>Главная редакция литературно-драматических программ ЦТ</t>
        </is>
      </c>
      <c r="H2062" s="2" t="n">
        <v>145</v>
      </c>
      <c r="I2062" s="2" t="inlineStr"/>
      <c r="J2062" s="2" t="inlineStr"/>
      <c r="K2062" s="3" t="inlineStr">
        <is>
          <t>По мотивам рассказов Эдгара По и Чарльза Диккенса. Наблюдательность, умение логически мыслить, интуиция, помогли героям раскрыть запутанные дела.</t>
        </is>
      </c>
      <c r="L2062" s="2" t="inlineStr">
        <is>
          <t>https://www.kino-teatr.ru/teatr/movie/81943/annot/</t>
        </is>
      </c>
      <c r="M2062" s="2">
        <f>HYPERLINK("https://ru.wikipedia.org/w/index.php?search=%D0%A1%D1%82%D0%B0%D1%80%D0%B8%D0%BD%D0%BD%D1%8B%D0%B9%20%D0%B4%D0%B5%D1%82%D0%B5%D0%BA%D1%82%D0%B8%D0%B2%201982%20%D1%84%D0%B8%D0%BB%D1%8C%D0%BC","искать")</f>
        <v/>
      </c>
      <c r="N2062" s="3" t="n"/>
      <c r="O2062" s="2" t="n"/>
    </row>
    <row r="2063">
      <c r="A2063" s="2" t="n">
        <v>2062</v>
      </c>
      <c r="B2063" s="2" t="inlineStr">
        <is>
          <t>короткая</t>
        </is>
      </c>
      <c r="C2063" s="2" t="n">
        <v>7759</v>
      </c>
      <c r="D2063" s="3" t="inlineStr">
        <is>
          <t>Костры на башнях</t>
        </is>
      </c>
      <c r="E2063" s="2" t="n">
        <v>1968</v>
      </c>
      <c r="F2063" s="2" t="inlineStr">
        <is>
          <t>телефильм</t>
        </is>
      </c>
      <c r="G2063" s="2" t="n"/>
      <c r="H2063" s="2" t="n">
        <v>146</v>
      </c>
      <c r="I2063" s="2" t="inlineStr"/>
      <c r="J2063" s="2" t="inlineStr"/>
      <c r="K2063" s="3" t="inlineStr">
        <is>
          <t>Два бедняка, осетин и ингуш, воюют друг с другом за метр земли в горах. Начинается революция, и их младшие братья становятся друзьями-побратимами.</t>
        </is>
      </c>
      <c r="L2063" s="2" t="inlineStr">
        <is>
          <t>Кино_СССР сводный каталог.xlsx: список телефильмов</t>
        </is>
      </c>
      <c r="M2063" s="2">
        <f>HYPERLINK("https://ru.wikipedia.org/w/index.php?search=%D0%9A%D0%BE%D1%81%D1%82%D1%80%D1%8B%20%D0%BD%D0%B0%20%D0%B1%D0%B0%D1%88%D0%BD%D1%8F%D1%85%201968%20%D1%84%D0%B8%D0%BB%D1%8C%D0%BC","искать")</f>
        <v/>
      </c>
      <c r="N2063" s="3" t="n"/>
      <c r="O2063" s="2" t="n"/>
    </row>
    <row r="2064">
      <c r="A2064" s="2" t="n">
        <v>2063</v>
      </c>
      <c r="B2064" s="2" t="inlineStr">
        <is>
          <t>короткая</t>
        </is>
      </c>
      <c r="C2064" s="2" t="n">
        <v>8207</v>
      </c>
      <c r="D2064" s="3" t="inlineStr">
        <is>
          <t>Приключения Мгера в отпуске</t>
        </is>
      </c>
      <c r="E2064" s="2" t="n">
        <v>1973</v>
      </c>
      <c r="F2064" s="2" t="inlineStr">
        <is>
          <t>телефильм</t>
        </is>
      </c>
      <c r="G2064" s="2" t="n"/>
      <c r="H2064" s="2" t="n">
        <v>146</v>
      </c>
      <c r="I2064" s="2" t="inlineStr"/>
      <c r="J2064" s="2" t="inlineStr"/>
      <c r="K2064" s="3" t="inlineStr">
        <is>
          <t>Пародия на детектив. О том, как злодей решился украсть древний хачкар (крест-камень) и вывезти из Армении, чему воспрепятствовал следователь Мгер.</t>
        </is>
      </c>
      <c r="L2064" s="2" t="inlineStr">
        <is>
          <t>Кино_СССР сводный каталог.xlsx: список телефильмов</t>
        </is>
      </c>
      <c r="M2064" s="2">
        <f>HYPERLINK("https://ru.wikipedia.org/w/index.php?search=%D0%9F%D1%80%D0%B8%D0%BA%D0%BB%D1%8E%D1%87%D0%B5%D0%BD%D0%B8%D1%8F%20%D0%9C%D0%B3%D0%B5%D1%80%D0%B0%20%D0%B2%20%D0%BE%D1%82%D0%BF%D1%83%D1%81%D0%BA%D0%B5%201973%20%D1%84%D0%B8%D0%BB%D1%8C%D0%BC","искать")</f>
        <v/>
      </c>
      <c r="N2064" s="3" t="n"/>
      <c r="O2064" s="2" t="n"/>
    </row>
    <row r="2065">
      <c r="A2065" s="2" t="n">
        <v>2064</v>
      </c>
      <c r="B2065" s="2" t="inlineStr">
        <is>
          <t>короткая</t>
        </is>
      </c>
      <c r="C2065" s="2" t="n">
        <v>8283</v>
      </c>
      <c r="D2065" s="3" t="inlineStr">
        <is>
          <t>Роса</t>
        </is>
      </c>
      <c r="E2065" s="2" t="n">
        <v>1975</v>
      </c>
      <c r="F2065" s="2" t="inlineStr">
        <is>
          <t>телефильм</t>
        </is>
      </c>
      <c r="G2065" s="2" t="inlineStr">
        <is>
          <t>ТО «Экран»</t>
        </is>
      </c>
      <c r="H2065" s="2" t="n">
        <v>146</v>
      </c>
      <c r="I2065" s="2" t="inlineStr"/>
      <c r="J2065" s="2" t="inlineStr"/>
      <c r="K2065" s="3" t="inlineStr">
        <is>
          <t>О деревенских школьниках-следопытах, занявшихся восстановлением памяти о героическом прошлом своих односельчан в годы Великой Отечественной войны.</t>
        </is>
      </c>
      <c r="L2065" s="2" t="inlineStr">
        <is>
          <t>Кино_СССР сводный каталог.xlsx: список телефильмов</t>
        </is>
      </c>
      <c r="M2065" s="2">
        <f>HYPERLINK("https://ru.wikipedia.org/w/index.php?search=%D0%A0%D0%BE%D1%81%D0%B0%201975%20%D1%84%D0%B8%D0%BB%D1%8C%D0%BC","искать")</f>
        <v/>
      </c>
      <c r="N2065" s="3" t="n"/>
      <c r="O2065" s="2" t="n"/>
    </row>
    <row r="2066">
      <c r="A2066" s="2" t="n">
        <v>2065</v>
      </c>
      <c r="B2066" s="2" t="inlineStr">
        <is>
          <t>короткая</t>
        </is>
      </c>
      <c r="C2066" s="2" t="n">
        <v>9076</v>
      </c>
      <c r="D2066" s="3" t="inlineStr">
        <is>
          <t>Супермент</t>
        </is>
      </c>
      <c r="E2066" s="2" t="n">
        <v>1990</v>
      </c>
      <c r="F2066" s="2" t="inlineStr">
        <is>
          <t>кинофильм</t>
        </is>
      </c>
      <c r="G2066" s="2" t="n"/>
      <c r="H2066" s="2" t="n">
        <v>146</v>
      </c>
      <c r="I2066" s="2" t="inlineStr"/>
      <c r="J2066" s="2" t="inlineStr"/>
      <c r="K2066" s="3" t="inlineStr">
        <is>
          <t>Авантюрная остросюжетная история о сотруднике милиции Ружине по прозвищу "Шериф", который, храбро сражается с организованной преступностью в Сочи.</t>
        </is>
      </c>
      <c r="L2066" s="2" t="inlineStr">
        <is>
          <t>Кино_СССР сводный каталог.xlsx: список фильмов (доп.)</t>
        </is>
      </c>
      <c r="M2066" s="2">
        <f>HYPERLINK("https://ru.wikipedia.org/w/index.php?search=%D0%A1%D1%83%D0%BF%D0%B5%D1%80%D0%BC%D0%B5%D0%BD%D1%82%201990%20%D1%84%D0%B8%D0%BB%D1%8C%D0%BC","искать")</f>
        <v/>
      </c>
      <c r="N2066" s="3" t="n"/>
      <c r="O2066" s="2" t="n"/>
    </row>
    <row r="2067">
      <c r="A2067" s="2" t="n">
        <v>2066</v>
      </c>
      <c r="B2067" s="2" t="inlineStr">
        <is>
          <t>короткая</t>
        </is>
      </c>
      <c r="C2067" s="2" t="n">
        <v>9539</v>
      </c>
      <c r="D2067" s="3" t="inlineStr">
        <is>
          <t>Очи черные</t>
        </is>
      </c>
      <c r="E2067" s="2" t="n">
        <v>1987</v>
      </c>
      <c r="F2067" s="2" t="inlineStr">
        <is>
          <t>кинофильм</t>
        </is>
      </c>
      <c r="G2067" s="2" t="n"/>
      <c r="H2067" s="2" t="n">
        <v>146</v>
      </c>
      <c r="I2067" s="2" t="inlineStr"/>
      <c r="J2067" s="2" t="inlineStr"/>
      <c r="K2067" s="3" t="inlineStr">
        <is>
          <t>Итальянец Романо встречает на курорте замужнюю русскую женщину Анну и влюбляется в неё. Когда Анна внезапно уезжает, он отправляется на её поиски.</t>
        </is>
      </c>
      <c r="L2067" s="2" t="inlineStr">
        <is>
          <t>Кино_СССР сводный каталог.xlsx: список фильмов (доп.)</t>
        </is>
      </c>
      <c r="M2067" s="2">
        <f>HYPERLINK("https://ru.wikipedia.org/w/index.php?search=%D0%9E%D1%87%D0%B8%20%D1%87%D0%B5%D1%80%D0%BD%D1%8B%D0%B5%201987%20%D1%84%D0%B8%D0%BB%D1%8C%D0%BC","искать")</f>
        <v/>
      </c>
      <c r="N2067" s="3" t="n"/>
      <c r="O2067" s="2" t="n"/>
    </row>
    <row r="2068">
      <c r="A2068" s="2" t="n">
        <v>2067</v>
      </c>
      <c r="B2068" s="2" t="inlineStr">
        <is>
          <t>короткая</t>
        </is>
      </c>
      <c r="C2068" s="2" t="n">
        <v>7634</v>
      </c>
      <c r="D2068" s="3" t="inlineStr">
        <is>
          <t>Звон уходящего лета</t>
        </is>
      </c>
      <c r="E2068" s="2" t="n">
        <v>1979</v>
      </c>
      <c r="F2068" s="2" t="inlineStr">
        <is>
          <t>телефильм</t>
        </is>
      </c>
      <c r="G2068" s="2" t="n"/>
      <c r="H2068" s="2" t="n">
        <v>147</v>
      </c>
      <c r="I2068" s="2" t="inlineStr"/>
      <c r="J2068" s="2" t="inlineStr"/>
      <c r="K2068" s="3" t="inlineStr">
        <is>
          <t>Действие фильма происходит в наши дни в одном из белорусских сел. В центре фильма - молодые влюбленные, нашедшие после ряда испытаний свое счастье.</t>
        </is>
      </c>
      <c r="L2068" s="2" t="inlineStr">
        <is>
          <t>Кино_СССР сводный каталог.xlsx: список телефильмов</t>
        </is>
      </c>
      <c r="M2068" s="2">
        <f>HYPERLINK("https://ru.wikipedia.org/w/index.php?search=%D0%97%D0%B2%D0%BE%D0%BD%20%D1%83%D1%85%D0%BE%D0%B4%D1%8F%D1%89%D0%B5%D0%B3%D0%BE%20%D0%BB%D0%B5%D1%82%D0%B0%201979%20%D1%84%D0%B8%D0%BB%D1%8C%D0%BC","искать")</f>
        <v/>
      </c>
      <c r="N2068" s="3" t="n"/>
      <c r="O2068" s="2" t="n"/>
    </row>
    <row r="2069">
      <c r="A2069" s="2" t="n">
        <v>2068</v>
      </c>
      <c r="B2069" s="2" t="inlineStr">
        <is>
          <t>короткая</t>
        </is>
      </c>
      <c r="C2069" s="2" t="n">
        <v>8234</v>
      </c>
      <c r="D2069" s="3" t="inlineStr">
        <is>
          <t>Простите нас</t>
        </is>
      </c>
      <c r="E2069" s="2" t="n">
        <v>1979</v>
      </c>
      <c r="F2069" s="2" t="inlineStr">
        <is>
          <t>телефильм</t>
        </is>
      </c>
      <c r="G2069" s="2" t="n"/>
      <c r="H2069" s="2" t="n">
        <v>147</v>
      </c>
      <c r="I2069" s="2" t="inlineStr"/>
      <c r="J2069" s="2" t="inlineStr"/>
      <c r="K2069" s="3" t="inlineStr">
        <is>
          <t>Телефильм по мотивам одноименного рассказа Юрия Бондарева. Герой фильма, известный ученый, после двадцатилетнего перерыва приезжает в родной город.</t>
        </is>
      </c>
      <c r="L2069" s="2" t="inlineStr">
        <is>
          <t>Кино_СССР сводный каталог.xlsx: список телефильмов</t>
        </is>
      </c>
      <c r="M2069" s="2">
        <f>HYPERLINK("https://ru.wikipedia.org/w/index.php?search=%D0%9F%D1%80%D0%BE%D1%81%D1%82%D0%B8%D1%82%D0%B5%20%D0%BD%D0%B0%D1%81%201979%20%D1%84%D0%B8%D0%BB%D1%8C%D0%BC","искать")</f>
        <v/>
      </c>
      <c r="N2069" s="3" t="n"/>
      <c r="O2069" s="2" t="n"/>
    </row>
    <row r="2070">
      <c r="A2070" s="2" t="n">
        <v>2069</v>
      </c>
      <c r="B2070" s="2" t="inlineStr">
        <is>
          <t>короткая</t>
        </is>
      </c>
      <c r="C2070" s="2" t="n">
        <v>8477</v>
      </c>
      <c r="D2070" s="3" t="inlineStr">
        <is>
          <t>Три дня и два года</t>
        </is>
      </c>
      <c r="E2070" s="2" t="n">
        <v>1981</v>
      </c>
      <c r="F2070" s="2" t="inlineStr">
        <is>
          <t>телефильм</t>
        </is>
      </c>
      <c r="G2070" s="2" t="n"/>
      <c r="H2070" s="2" t="n">
        <v>148</v>
      </c>
      <c r="I2070" s="2" t="inlineStr"/>
      <c r="J2070" s="2" t="inlineStr"/>
      <c r="K2070" s="3" t="inlineStr">
        <is>
          <t>Джансур через три дня уходит служить в десантные войска. Эти дни станут особенно насыщенными. Герои задумаются над серьезными жизненными проблемами.</t>
        </is>
      </c>
      <c r="L2070" s="2" t="inlineStr">
        <is>
          <t>Кино_СССР сводный каталог.xlsx: список телефильмов</t>
        </is>
      </c>
      <c r="M2070" s="2">
        <f>HYPERLINK("https://ru.wikipedia.org/w/index.php?search=%D0%A2%D1%80%D0%B8%20%D0%B4%D0%BD%D1%8F%20%D0%B8%20%D0%B4%D0%B2%D0%B0%20%D0%B3%D0%BE%D0%B4%D0%B0%201981%20%D1%84%D0%B8%D0%BB%D1%8C%D0%BC","искать")</f>
        <v/>
      </c>
      <c r="N2070" s="3" t="n"/>
      <c r="O2070" s="2" t="n"/>
    </row>
    <row r="2071">
      <c r="A2071" s="2" t="n">
        <v>2070</v>
      </c>
      <c r="B2071" s="2" t="inlineStr">
        <is>
          <t>короткая</t>
        </is>
      </c>
      <c r="C2071" s="2" t="n">
        <v>10860</v>
      </c>
      <c r="D2071" s="3" t="inlineStr">
        <is>
          <t>Поединок</t>
        </is>
      </c>
      <c r="E2071" s="2" t="n">
        <v>1980</v>
      </c>
      <c r="F2071" s="2" t="inlineStr">
        <is>
          <t>фильм-спектакль</t>
        </is>
      </c>
      <c r="G2071" s="2" t="inlineStr">
        <is>
          <t>Укртелефильм</t>
        </is>
      </c>
      <c r="H2071" s="2" t="n">
        <v>148</v>
      </c>
      <c r="I2071" s="2" t="inlineStr"/>
      <c r="J2071" s="2" t="inlineStr"/>
      <c r="K2071" s="3" t="inlineStr">
        <is>
          <t>По пьесе Л.Синельникова в постановке Киевского театра им. И.Франко.
О революционной деятельности семьи Ульяновых в Киеве перед революцией 1905 года.</t>
        </is>
      </c>
      <c r="L2071" s="2" t="inlineStr">
        <is>
          <t>https://www.kino-teatr.ru/teatr/movie/93021/annot/</t>
        </is>
      </c>
      <c r="M2071" s="2">
        <f>HYPERLINK("https://ru.wikipedia.org/w/index.php?search=%D0%9F%D0%BE%D0%B5%D0%B4%D0%B8%D0%BD%D0%BE%D0%BA%201980%20%D1%84%D0%B8%D0%BB%D1%8C%D0%BC","искать")</f>
        <v/>
      </c>
      <c r="N2071" s="3" t="n"/>
      <c r="O2071" s="2" t="n"/>
    </row>
    <row r="2072">
      <c r="A2072" s="2" t="n">
        <v>2071</v>
      </c>
      <c r="B2072" s="2" t="inlineStr">
        <is>
          <t>короткая</t>
        </is>
      </c>
      <c r="C2072" s="2" t="n">
        <v>7874</v>
      </c>
      <c r="D2072" s="3" t="inlineStr">
        <is>
          <t>Микко из Тампере просит совета</t>
        </is>
      </c>
      <c r="E2072" s="2" t="n">
        <v>1986</v>
      </c>
      <c r="F2072" s="2" t="inlineStr">
        <is>
          <t>телефильм</t>
        </is>
      </c>
      <c r="G2072" s="2" t="n"/>
      <c r="H2072" s="2" t="n">
        <v>149</v>
      </c>
      <c r="I2072" s="2" t="inlineStr"/>
      <c r="J2072" s="2" t="inlineStr"/>
      <c r="K2072" s="3" t="inlineStr">
        <is>
          <t>О дружбе между гастролирующими по Финляндии советскими артистами и финскими детьми, участниками самодеятельного музыкального ансамбля города Тампере.</t>
        </is>
      </c>
      <c r="L2072" s="2" t="inlineStr">
        <is>
          <t>Кино_СССР сводный каталог.xlsx: список телефильмов</t>
        </is>
      </c>
      <c r="M2072" s="2">
        <f>HYPERLINK("https://ru.wikipedia.org/w/index.php?search=%D0%9C%D0%B8%D0%BA%D0%BA%D0%BE%20%D0%B8%D0%B7%20%D0%A2%D0%B0%D0%BC%D0%BF%D0%B5%D1%80%D0%B5%20%D0%BF%D1%80%D0%BE%D1%81%D0%B8%D1%82%20%D1%81%D0%BE%D0%B2%D0%B5%D1%82%D0%B0%201986%20%D1%84%D0%B8%D0%BB%D1%8C%D0%BC","искать")</f>
        <v/>
      </c>
      <c r="N2072" s="3" t="n"/>
      <c r="O2072" s="2" t="n"/>
    </row>
    <row r="2073">
      <c r="A2073" s="2" t="n">
        <v>2072</v>
      </c>
      <c r="B2073" s="2" t="inlineStr">
        <is>
          <t>короткая</t>
        </is>
      </c>
      <c r="C2073" s="2" t="n">
        <v>8242</v>
      </c>
      <c r="D2073" s="3" t="inlineStr">
        <is>
          <t>Прошлое всегда с нами</t>
        </is>
      </c>
      <c r="E2073" s="2" t="n">
        <v>1989</v>
      </c>
      <c r="F2073" s="2" t="inlineStr">
        <is>
          <t>телефильм</t>
        </is>
      </c>
      <c r="G2073" s="2" t="n"/>
      <c r="H2073" s="2" t="n">
        <v>149</v>
      </c>
      <c r="I2073" s="2" t="inlineStr"/>
      <c r="J2073" s="2" t="inlineStr"/>
      <c r="K2073" s="3" t="inlineStr">
        <is>
          <t>წარსული მუდამ ჩვენთანაა Послевоенная Москва... История грузинского абитуриента ВГИКа, вынужденного скрывать историю отца, репрессированного в 1937-м.</t>
        </is>
      </c>
      <c r="L2073" s="2" t="inlineStr">
        <is>
          <t>Кино_СССР сводный каталог.xlsx: список телефильмов</t>
        </is>
      </c>
      <c r="M2073" s="2">
        <f>HYPERLINK("https://ru.wikipedia.org/w/index.php?search=%D0%9F%D1%80%D0%BE%D1%88%D0%BB%D0%BE%D0%B5%20%D0%B2%D1%81%D0%B5%D0%B3%D0%B4%D0%B0%20%D1%81%20%D0%BD%D0%B0%D0%BC%D0%B8%201989%20%D1%84%D0%B8%D0%BB%D1%8C%D0%BC","искать")</f>
        <v/>
      </c>
      <c r="N2073" s="3" t="n"/>
      <c r="O2073" s="2" t="n"/>
    </row>
    <row r="2074">
      <c r="A2074" s="2" t="n">
        <v>2073</v>
      </c>
      <c r="B2074" s="2" t="inlineStr">
        <is>
          <t>короткая</t>
        </is>
      </c>
      <c r="C2074" s="2" t="n">
        <v>10269</v>
      </c>
      <c r="D2074" s="3" t="inlineStr">
        <is>
          <t>Поэма о топоре</t>
        </is>
      </c>
      <c r="E2074" s="2" t="n">
        <v>1968</v>
      </c>
      <c r="F2074" s="2" t="inlineStr">
        <is>
          <t>фильм-спектакль</t>
        </is>
      </c>
      <c r="G2074" s="2" t="inlineStr">
        <is>
          <t>Главная редакция литературно-драматических программ ЦТ</t>
        </is>
      </c>
      <c r="H2074" s="2" t="n">
        <v>149</v>
      </c>
      <c r="I2074" s="2" t="inlineStr"/>
      <c r="J2074" s="2" t="inlineStr"/>
      <c r="K2074" s="3" t="inlineStr">
        <is>
          <t>Телеспектакль по одноименной пьесе Н.Погодина о создании новой марки стали на крупном металлургическом заводе.
В постановке участвовали актеры МХАТа.</t>
        </is>
      </c>
      <c r="L2074" s="2" t="inlineStr">
        <is>
          <t>https://www.kino-teatr.ru/teatr/movie/17102/annot/</t>
        </is>
      </c>
      <c r="M2074" s="2">
        <f>HYPERLINK("https://ru.wikipedia.org/w/index.php?search=%D0%9F%D0%BE%D1%8D%D0%BC%D0%B0%20%D0%BE%20%D1%82%D0%BE%D0%BF%D0%BE%D1%80%D0%B5%201968%20%D1%84%D0%B8%D0%BB%D1%8C%D0%BC","искать")</f>
        <v/>
      </c>
      <c r="N2074" s="3" t="n"/>
      <c r="O2074" s="2" t="n"/>
    </row>
    <row r="2075">
      <c r="A2075" s="2" t="n">
        <v>2074</v>
      </c>
      <c r="B2075" s="2" t="inlineStr">
        <is>
          <t>короткая</t>
        </is>
      </c>
      <c r="C2075" s="2" t="n">
        <v>7495</v>
      </c>
      <c r="D2075" s="3" t="inlineStr">
        <is>
          <t>Дело за тобой</t>
        </is>
      </c>
      <c r="E2075" s="2" t="n">
        <v>1983</v>
      </c>
      <c r="F2075" s="2" t="inlineStr">
        <is>
          <t>телефильм</t>
        </is>
      </c>
      <c r="G2075" s="2" t="inlineStr">
        <is>
          <t>ТО «Экран»</t>
        </is>
      </c>
      <c r="H2075" s="2" t="n">
        <v>150</v>
      </c>
      <c r="I2075" s="2" t="inlineStr"/>
      <c r="J2075" s="2" t="inlineStr"/>
      <c r="K2075" s="3" t="inlineStr">
        <is>
          <t>Детская телевизионная киноповесть. Городская девочка пpиезжает на каникулы к бpату. Ребята из поселка по ошибке принимают ее за чемпионку по плаванию.</t>
        </is>
      </c>
      <c r="L2075" s="2" t="inlineStr">
        <is>
          <t>Кино_СССР сводный каталог.xlsx: список телефильмов</t>
        </is>
      </c>
      <c r="M2075" s="2">
        <f>HYPERLINK("https://ru.wikipedia.org/w/index.php?search=%D0%94%D0%B5%D0%BB%D0%BE%20%D0%B7%D0%B0%20%D1%82%D0%BE%D0%B1%D0%BE%D0%B9%201983%20%D1%84%D0%B8%D0%BB%D1%8C%D0%BC","искать")</f>
        <v/>
      </c>
      <c r="N2075" s="3" t="n"/>
      <c r="O2075" s="2" t="n"/>
    </row>
    <row r="2076">
      <c r="A2076" s="2" t="n">
        <v>2075</v>
      </c>
      <c r="B2076" s="2" t="inlineStr">
        <is>
          <t>короткая</t>
        </is>
      </c>
      <c r="C2076" s="2" t="n">
        <v>7760</v>
      </c>
      <c r="D2076" s="3" t="inlineStr">
        <is>
          <t>Кража</t>
        </is>
      </c>
      <c r="E2076" s="2" t="n">
        <v>1982</v>
      </c>
      <c r="F2076" s="2" t="inlineStr">
        <is>
          <t>телефильм</t>
        </is>
      </c>
      <c r="G2076" s="2" t="n"/>
      <c r="H2076" s="2" t="n">
        <v>150</v>
      </c>
      <c r="I2076" s="2" t="inlineStr"/>
      <c r="J2076" s="2" t="inlineStr"/>
      <c r="K2076" s="3" t="inlineStr">
        <is>
          <t>По одноименной пьесе Джека Лондона. Кража важных документов и скандал в благородном семействе - дочь предаёт подлого отца ради честного возлюбленного.</t>
        </is>
      </c>
      <c r="L2076" s="2" t="inlineStr">
        <is>
          <t>Кино_СССР сводный каталог.xlsx: список телефильмов</t>
        </is>
      </c>
      <c r="M2076" s="2">
        <f>HYPERLINK("https://ru.wikipedia.org/w/index.php?search=%D0%9A%D1%80%D0%B0%D0%B6%D0%B0%201982%20%D1%84%D0%B8%D0%BB%D1%8C%D0%BC","искать")</f>
        <v/>
      </c>
      <c r="N2076" s="3" t="n"/>
      <c r="O2076" s="2" t="n"/>
    </row>
    <row r="2077">
      <c r="A2077" s="2" t="n">
        <v>2076</v>
      </c>
      <c r="B2077" s="2" t="inlineStr">
        <is>
          <t>короткая</t>
        </is>
      </c>
      <c r="C2077" s="2" t="n">
        <v>7988</v>
      </c>
      <c r="D2077" s="3" t="inlineStr">
        <is>
          <t>Неоткрытые острова</t>
        </is>
      </c>
      <c r="E2077" s="2" t="n">
        <v>1974</v>
      </c>
      <c r="F2077" s="2" t="inlineStr">
        <is>
          <t>телефильм</t>
        </is>
      </c>
      <c r="G2077" s="2" t="n"/>
      <c r="H2077" s="2" t="n">
        <v>150</v>
      </c>
      <c r="I2077" s="2" t="inlineStr"/>
      <c r="J2077" s="2" t="inlineStr"/>
      <c r="K2077" s="3" t="inlineStr">
        <is>
          <t>О приключениях двух мальчиков, отправившихся на лодке по реке Припять фотографировать животных в заповеднике. По книге Янки Мавр "Полесские робинзоны"</t>
        </is>
      </c>
      <c r="L2077" s="2" t="inlineStr">
        <is>
          <t>Кино_СССР сводный каталог.xlsx: список телефильмов</t>
        </is>
      </c>
      <c r="M2077" s="2">
        <f>HYPERLINK("https://ru.wikipedia.org/w/index.php?search=%D0%9D%D0%B5%D0%BE%D1%82%D0%BA%D1%80%D1%8B%D1%82%D1%8B%D0%B5%20%D0%BE%D1%81%D1%82%D1%80%D0%BE%D0%B2%D0%B0%201974%20%D1%84%D0%B8%D0%BB%D1%8C%D0%BC","искать")</f>
        <v/>
      </c>
      <c r="N2077" s="3" t="n"/>
      <c r="O2077" s="2" t="n"/>
    </row>
    <row r="2078">
      <c r="A2078" s="2" t="n">
        <v>2077</v>
      </c>
      <c r="B2078" s="2" t="inlineStr">
        <is>
          <t>короткая</t>
        </is>
      </c>
      <c r="C2078" s="2" t="n">
        <v>10164</v>
      </c>
      <c r="D2078" s="3" t="inlineStr">
        <is>
          <t>Захудалое королевство</t>
        </is>
      </c>
      <c r="E2078" s="2" t="n">
        <v>1966</v>
      </c>
      <c r="F2078" s="2" t="inlineStr">
        <is>
          <t>фильм-спектакль</t>
        </is>
      </c>
      <c r="G2078" s="2" t="inlineStr">
        <is>
          <t>Ленинградское ТВ</t>
        </is>
      </c>
      <c r="H2078" s="2" t="n">
        <v>150</v>
      </c>
      <c r="I2078" s="2" t="inlineStr"/>
      <c r="J2078" s="2" t="inlineStr"/>
      <c r="K2078" s="3" t="inlineStr">
        <is>
          <t>По одноименной сказке чешского писателя Иозефа Лады. О том, как дед Габадей помог принцессе Мане и крестьянскому сыну Гонзе исправить свои недостатки.</t>
        </is>
      </c>
      <c r="L2078" s="2" t="inlineStr">
        <is>
          <t>https://www.kino-teatr.ru/teatr/movie/79237/annot/</t>
        </is>
      </c>
      <c r="M2078" s="2">
        <f>HYPERLINK("https://ru.wikipedia.org/w/index.php?search=%D0%97%D0%B0%D1%85%D1%83%D0%B4%D0%B0%D0%BB%D0%BE%D0%B5%20%D0%BA%D0%BE%D1%80%D0%BE%D0%BB%D0%B5%D0%B2%D1%81%D1%82%D0%B2%D0%BE%201966%20%D1%84%D0%B8%D0%BB%D1%8C%D0%BC","искать")</f>
        <v/>
      </c>
      <c r="N2078" s="3" t="n"/>
      <c r="O2078" s="2" t="n"/>
    </row>
    <row r="2079">
      <c r="A2079" s="2" t="n">
        <v>2078</v>
      </c>
      <c r="B2079" s="2" t="inlineStr">
        <is>
          <t>короткая</t>
        </is>
      </c>
      <c r="C2079" s="2" t="n">
        <v>7607</v>
      </c>
      <c r="D2079" s="3" t="inlineStr">
        <is>
          <t>Житие Дон Кихота и Санчо</t>
        </is>
      </c>
      <c r="E2079" s="2" t="n">
        <v>1988</v>
      </c>
      <c r="F2079" s="2" t="inlineStr">
        <is>
          <t>телефильм</t>
        </is>
      </c>
      <c r="G2079" s="2" t="n"/>
      <c r="H2079" s="2" t="n">
        <v>151</v>
      </c>
      <c r="I2079" s="2" t="inlineStr"/>
      <c r="J2079" s="2" t="inlineStr"/>
      <c r="K2079" s="3" t="inlineStr">
        <is>
          <t>ცხოვრება დონ კიხოტისა და სანჩოსი По мотивам одноименного романа Мигеля де Сервантеса об отважных и романтических приключениях Рыцаря Печального Образа.</t>
        </is>
      </c>
      <c r="L2079" s="2" t="inlineStr">
        <is>
          <t>Кино_СССР сводный каталог.xlsx: список телефильмов</t>
        </is>
      </c>
      <c r="M2079" s="2">
        <f>HYPERLINK("https://ru.wikipedia.org/w/index.php?search=%D0%96%D0%B8%D1%82%D0%B8%D0%B5%20%D0%94%D0%BE%D0%BD%20%D0%9A%D0%B8%D1%85%D0%BE%D1%82%D0%B0%20%D0%B8%20%D0%A1%D0%B0%D0%BD%D1%87%D0%BE%201988%20%D1%84%D0%B8%D0%BB%D1%8C%D0%BC","искать")</f>
        <v/>
      </c>
      <c r="N2079" s="3" t="n"/>
      <c r="O2079" s="2" t="n"/>
    </row>
    <row r="2080">
      <c r="A2080" s="2" t="n">
        <v>2079</v>
      </c>
      <c r="B2080" s="2" t="inlineStr">
        <is>
          <t>короткая</t>
        </is>
      </c>
      <c r="C2080" s="2" t="n">
        <v>8851</v>
      </c>
      <c r="D2080" s="3" t="inlineStr">
        <is>
          <t>Мужчина и две его женщины</t>
        </is>
      </c>
      <c r="E2080" s="2" t="n">
        <v>1990</v>
      </c>
      <c r="F2080" s="2" t="inlineStr">
        <is>
          <t>кинофильм</t>
        </is>
      </c>
      <c r="G2080" s="2" t="n"/>
      <c r="H2080" s="2" t="n">
        <v>151</v>
      </c>
      <c r="I2080" s="2" t="inlineStr"/>
      <c r="J2080" s="2" t="inlineStr"/>
      <c r="K2080" s="3" t="inlineStr">
        <is>
          <t>Послевоенный таджикский кишлак. На фоне обыденной сельской жизни  возникает любовный треугольник, исход которого - смерть влюбленной женщины при родах.</t>
        </is>
      </c>
      <c r="L2080" s="2" t="inlineStr">
        <is>
          <t>Кино_СССР сводный каталог.xlsx: список фильмов (доп.)</t>
        </is>
      </c>
      <c r="M2080" s="2">
        <f>HYPERLINK("https://ru.wikipedia.org/w/index.php?search=%D0%9C%D1%83%D0%B6%D1%87%D0%B8%D0%BD%D0%B0%20%D0%B8%20%D0%B4%D0%B2%D0%B5%20%D0%B5%D0%B3%D0%BE%20%D0%B6%D0%B5%D0%BD%D1%89%D0%B8%D0%BD%D1%8B%201990%20%D1%84%D0%B8%D0%BB%D1%8C%D0%BC","искать")</f>
        <v/>
      </c>
      <c r="N2080" s="3" t="n"/>
      <c r="O2080" s="2" t="n"/>
    </row>
    <row r="2081">
      <c r="A2081" s="2" t="n">
        <v>2080</v>
      </c>
      <c r="B2081" s="2" t="inlineStr">
        <is>
          <t>короткая</t>
        </is>
      </c>
      <c r="C2081" s="2" t="n">
        <v>8942</v>
      </c>
      <c r="D2081" s="3" t="inlineStr">
        <is>
          <t>Под северным сиянием</t>
        </is>
      </c>
      <c r="E2081" s="2" t="n">
        <v>1990</v>
      </c>
      <c r="F2081" s="2" t="inlineStr">
        <is>
          <t>кинофильм</t>
        </is>
      </c>
      <c r="G2081" s="2" t="n"/>
      <c r="H2081" s="2" t="n">
        <v>151</v>
      </c>
      <c r="I2081" s="2" t="inlineStr"/>
      <c r="J2081" s="2" t="inlineStr"/>
      <c r="K2081" s="3" t="inlineStr">
        <is>
          <t>По повести Тогава Юкио "Под Авророй. 1912 год". История дружбы японского охотника, заброшенного судьбой в Сибирь, и прирученного волка по кличке Буран.</t>
        </is>
      </c>
      <c r="L2081" s="2" t="inlineStr">
        <is>
          <t>Кино_СССР сводный каталог.xlsx: список фильмов (доп.)</t>
        </is>
      </c>
      <c r="M2081" s="2">
        <f>HYPERLINK("https://ru.wikipedia.org/w/index.php?search=%D0%9F%D0%BE%D0%B4%20%D1%81%D0%B5%D0%B2%D0%B5%D1%80%D0%BD%D1%8B%D0%BC%20%D1%81%D0%B8%D1%8F%D0%BD%D0%B8%D0%B5%D0%BC%201990%20%D1%84%D0%B8%D0%BB%D1%8C%D0%BC","искать")</f>
        <v/>
      </c>
      <c r="N2081" s="3" t="n"/>
      <c r="O2081" s="2" t="n"/>
    </row>
    <row r="2082">
      <c r="A2082" s="2" t="n">
        <v>2081</v>
      </c>
      <c r="B2082" s="2" t="inlineStr">
        <is>
          <t>короткая</t>
        </is>
      </c>
      <c r="C2082" s="2" t="n">
        <v>9719</v>
      </c>
      <c r="D2082" s="3" t="inlineStr">
        <is>
          <t>Фантазёр</t>
        </is>
      </c>
      <c r="E2082" s="2" t="n">
        <v>1988</v>
      </c>
      <c r="F2082" s="2" t="inlineStr">
        <is>
          <t>кинофильм</t>
        </is>
      </c>
      <c r="G2082" s="2" t="n"/>
      <c r="H2082" s="2" t="n">
        <v>151</v>
      </c>
      <c r="I2082" s="2" t="inlineStr"/>
      <c r="J2082" s="2" t="inlineStr"/>
      <c r="K2082" s="3" t="inlineStr">
        <is>
          <t>Мюзикл-балет «Фантазер» по мотивам оперы Дж. Гершвина «Порги и Бесс». Это драматическая история несчастной любви безногого Порги и юной красавицы Бесс.</t>
        </is>
      </c>
      <c r="L2082" s="2" t="inlineStr">
        <is>
          <t>Кино_СССР сводный каталог.xlsx: список фильмов (доп.)</t>
        </is>
      </c>
      <c r="M2082" s="2">
        <f>HYPERLINK("https://ru.wikipedia.org/w/index.php?search=%D0%A4%D0%B0%D0%BD%D1%82%D0%B0%D0%B7%D1%91%D1%80%201988%20%D1%84%D0%B8%D0%BB%D1%8C%D0%BC","искать")</f>
        <v/>
      </c>
      <c r="N2082" s="3" t="n"/>
      <c r="O2082" s="2" t="n"/>
    </row>
    <row r="2083">
      <c r="A2083" s="2" t="n">
        <v>2082</v>
      </c>
      <c r="B2083" s="2" t="inlineStr">
        <is>
          <t>короткая</t>
        </is>
      </c>
      <c r="C2083" s="2" t="n">
        <v>7246</v>
      </c>
      <c r="D2083" s="3" t="inlineStr">
        <is>
          <t>Белый олень тундры</t>
        </is>
      </c>
      <c r="E2083" s="2" t="n">
        <v>1987</v>
      </c>
      <c r="F2083" s="2" t="inlineStr">
        <is>
          <t>телефильм</t>
        </is>
      </c>
      <c r="G2083" s="2" t="n"/>
      <c r="H2083" s="2" t="n">
        <v>152</v>
      </c>
      <c r="I2083" s="2" t="inlineStr"/>
      <c r="J2083" s="2" t="inlineStr"/>
      <c r="K2083" s="3" t="inlineStr">
        <is>
          <t>Фильм о буднях оленеводов и суровой природе северной тундры, о нелегком быте и трудностях,с которыми приходится сталкиваться человеку в высоких широтах.</t>
        </is>
      </c>
      <c r="L2083" s="2" t="inlineStr">
        <is>
          <t>Кино_СССР сводный каталог.xlsx: список телефильмов</t>
        </is>
      </c>
      <c r="M2083" s="2">
        <f>HYPERLINK("https://ru.wikipedia.org/w/index.php?search=%D0%91%D0%B5%D0%BB%D1%8B%D0%B9%20%D0%BE%D0%BB%D0%B5%D0%BD%D1%8C%20%D1%82%D1%83%D0%BD%D0%B4%D1%80%D1%8B%201987%20%D1%84%D0%B8%D0%BB%D1%8C%D0%BC","искать")</f>
        <v/>
      </c>
      <c r="N2083" s="3" t="n"/>
      <c r="O2083" s="2" t="n"/>
    </row>
    <row r="2084">
      <c r="A2084" s="2" t="n">
        <v>2083</v>
      </c>
      <c r="B2084" s="2" t="inlineStr">
        <is>
          <t>короткая</t>
        </is>
      </c>
      <c r="C2084" s="2" t="n">
        <v>7848</v>
      </c>
      <c r="D2084" s="3" t="inlineStr">
        <is>
          <t>Малявкин и компания</t>
        </is>
      </c>
      <c r="E2084" s="2" t="n">
        <v>1986</v>
      </c>
      <c r="F2084" s="2" t="inlineStr">
        <is>
          <t>телефильм</t>
        </is>
      </c>
      <c r="G2084" s="2" t="n"/>
      <c r="H2084" s="2" t="n">
        <v>152</v>
      </c>
      <c r="I2084" s="2" t="inlineStr"/>
      <c r="J2084" s="2" t="inlineStr"/>
      <c r="K2084" s="3" t="inlineStr">
        <is>
          <t>Об ученике четвертого класса Малявкине, постоянно попадающем в несуразные истории из самых лучших побуждений и доставляющем много хлопот своим учителям.</t>
        </is>
      </c>
      <c r="L2084" s="2" t="inlineStr">
        <is>
          <t>Кино_СССР сводный каталог.xlsx: список телефильмов</t>
        </is>
      </c>
      <c r="M2084" s="2">
        <f>HYPERLINK("https://ru.wikipedia.org/w/index.php?search=%D0%9C%D0%B0%D0%BB%D1%8F%D0%B2%D0%BA%D0%B8%D0%BD%20%D0%B8%20%D0%BA%D0%BE%D0%BC%D0%BF%D0%B0%D0%BD%D0%B8%D1%8F%201986%20%D1%84%D0%B8%D0%BB%D1%8C%D0%BC","искать")</f>
        <v/>
      </c>
      <c r="N2084" s="3" t="n"/>
      <c r="O2084" s="2" t="n"/>
    </row>
    <row r="2085">
      <c r="A2085" s="2" t="n">
        <v>2084</v>
      </c>
      <c r="B2085" s="2" t="inlineStr">
        <is>
          <t>короткая</t>
        </is>
      </c>
      <c r="C2085" s="2" t="n">
        <v>9902</v>
      </c>
      <c r="D2085" s="3" t="inlineStr">
        <is>
          <t>Дедушка и маленький барабанщик</t>
        </is>
      </c>
      <c r="E2085" s="2" t="n">
        <v>1973</v>
      </c>
      <c r="F2085" s="2" t="inlineStr">
        <is>
          <t>телефильм</t>
        </is>
      </c>
      <c r="G2085" s="2" t="inlineStr">
        <is>
          <t>Грузинская студия телевидения</t>
        </is>
      </c>
      <c r="H2085" s="2" t="n">
        <v>152</v>
      </c>
      <c r="I2085" s="2" t="inlineStr"/>
      <c r="J2085" s="2" t="inlineStr"/>
      <c r="K2085" s="3" t="inlineStr">
        <is>
          <t>Деревенский мальчик бил в барабан, мешая деду и его внучке играть на скрипке. Дедушка нашел выход - стал учить ребенка по-настоящему играть на барабане.</t>
        </is>
      </c>
      <c r="L2085" s="2" t="inlineStr">
        <is>
          <t>https://www.kino-teatr.ru/short/movie/sov/92632/annot/</t>
        </is>
      </c>
      <c r="M2085" s="2">
        <f>HYPERLINK("https://ru.wikipedia.org/w/index.php?search=%D0%94%D0%B5%D0%B4%D1%83%D1%88%D0%BA%D0%B0%20%D0%B8%20%D0%BC%D0%B0%D0%BB%D0%B5%D0%BD%D1%8C%D0%BA%D0%B8%D0%B9%20%D0%B1%D0%B0%D1%80%D0%B0%D0%B1%D0%B0%D0%BD%D1%89%D0%B8%D0%BA%201973%20%D1%84%D0%B8%D0%BB%D1%8C%D0%BC","искать")</f>
        <v/>
      </c>
      <c r="N2085" s="3" t="n"/>
      <c r="O2085" s="2" t="n"/>
    </row>
    <row r="2086">
      <c r="A2086" s="2" t="n">
        <v>2085</v>
      </c>
      <c r="B2086" s="2" t="inlineStr">
        <is>
          <t>короткая</t>
        </is>
      </c>
      <c r="C2086" s="2" t="n">
        <v>7894</v>
      </c>
      <c r="D2086" s="3" t="inlineStr">
        <is>
          <t>Мой театр</t>
        </is>
      </c>
      <c r="E2086" s="2" t="n">
        <v>1989</v>
      </c>
      <c r="F2086" s="2" t="inlineStr">
        <is>
          <t>телефильм</t>
        </is>
      </c>
      <c r="G2086" s="2" t="n"/>
      <c r="H2086" s="2" t="n">
        <v>153</v>
      </c>
      <c r="I2086" s="2" t="inlineStr"/>
      <c r="J2086" s="2" t="inlineStr"/>
      <c r="K2086" s="3" t="inlineStr">
        <is>
          <t>Музыкальный фильм-концерт о театре певицы Елены Камбуровой. В фильме звучат песни композиторов: В. Дашкевича, Г.Гладкова, Ю. Саульского, С.Никитина и др.</t>
        </is>
      </c>
      <c r="L2086" s="2" t="inlineStr">
        <is>
          <t>Кино_СССР сводный каталог.xlsx: список телефильмов</t>
        </is>
      </c>
      <c r="M2086" s="2">
        <f>HYPERLINK("https://ru.wikipedia.org/w/index.php?search=%D0%9C%D0%BE%D0%B9%20%D1%82%D0%B5%D0%B0%D1%82%D1%80%201989%20%D1%84%D0%B8%D0%BB%D1%8C%D0%BC","искать")</f>
        <v/>
      </c>
      <c r="N2086" s="3" t="n"/>
      <c r="O2086" s="2" t="n"/>
    </row>
    <row r="2087">
      <c r="A2087" s="2" t="n">
        <v>2086</v>
      </c>
      <c r="B2087" s="2" t="inlineStr">
        <is>
          <t>короткая</t>
        </is>
      </c>
      <c r="C2087" s="2" t="n">
        <v>7976</v>
      </c>
      <c r="D2087" s="3" t="inlineStr">
        <is>
          <t>Незнайка с нашего двора</t>
        </is>
      </c>
      <c r="E2087" s="2" t="n">
        <v>1983</v>
      </c>
      <c r="F2087" s="2" t="inlineStr">
        <is>
          <t>телефильм</t>
        </is>
      </c>
      <c r="G2087" s="2" t="n"/>
      <c r="H2087" s="2" t="n">
        <v>153</v>
      </c>
      <c r="I2087" s="2" t="inlineStr"/>
      <c r="J2087" s="2" t="inlineStr"/>
      <c r="K2087" s="3" t="inlineStr">
        <is>
          <t>Телефильм. Группа ребятишек решила у себя во дворе разыграть события, происходящие в популярной детской трилогии Николая Носова о Незнайке и его друзьях.</t>
        </is>
      </c>
      <c r="L2087" s="2" t="inlineStr">
        <is>
          <t>Кино_СССР сводный каталог.xlsx: список телефильмов</t>
        </is>
      </c>
      <c r="M2087" s="2">
        <f>HYPERLINK("https://ru.wikipedia.org/w/index.php?search=%D0%9D%D0%B5%D0%B7%D0%BD%D0%B0%D0%B9%D0%BA%D0%B0%20%D1%81%20%D0%BD%D0%B0%D1%88%D0%B5%D0%B3%D0%BE%20%D0%B4%D0%B2%D0%BE%D1%80%D0%B0%201983%20%D1%84%D0%B8%D0%BB%D1%8C%D0%BC","искать")</f>
        <v/>
      </c>
      <c r="N2087" s="3" t="n"/>
      <c r="O2087" s="2" t="n"/>
    </row>
    <row r="2088">
      <c r="A2088" s="2" t="n">
        <v>2087</v>
      </c>
      <c r="B2088" s="2" t="inlineStr">
        <is>
          <t>короткая</t>
        </is>
      </c>
      <c r="C2088" s="2" t="n">
        <v>8206</v>
      </c>
      <c r="D2088" s="3" t="inlineStr">
        <is>
          <t>Приключения маленького Мука</t>
        </is>
      </c>
      <c r="E2088" s="2" t="n">
        <v>1983</v>
      </c>
      <c r="F2088" s="2" t="inlineStr">
        <is>
          <t>телефильм</t>
        </is>
      </c>
      <c r="G2088" s="2" t="n"/>
      <c r="H2088" s="2" t="n">
        <v>153</v>
      </c>
      <c r="I2088" s="2" t="inlineStr"/>
      <c r="J2088" s="2" t="inlineStr"/>
      <c r="K2088" s="3" t="inlineStr">
        <is>
          <t>Телефильм. Действие известной сказки Гауфа перенесено в Среднюю Азию. Герой телефильма - странствующий по свету мальчик, вынужденный оставить свою семью.</t>
        </is>
      </c>
      <c r="L2088" s="2" t="inlineStr">
        <is>
          <t>Кино_СССР сводный каталог.xlsx: список телефильмов</t>
        </is>
      </c>
      <c r="M2088" s="2">
        <f>HYPERLINK("https://ru.wikipedia.org/w/index.php?search=%D0%9F%D1%80%D0%B8%D0%BA%D0%BB%D1%8E%D1%87%D0%B5%D0%BD%D0%B8%D1%8F%20%D0%BC%D0%B0%D0%BB%D0%B5%D0%BD%D1%8C%D0%BA%D0%BE%D0%B3%D0%BE%20%D0%9C%D1%83%D0%BA%D0%B0%201983%20%D1%84%D0%B8%D0%BB%D1%8C%D0%BC","искать")</f>
        <v/>
      </c>
      <c r="N2088" s="3" t="n"/>
      <c r="O2088" s="2" t="n"/>
    </row>
    <row r="2089">
      <c r="A2089" s="2" t="n">
        <v>2088</v>
      </c>
      <c r="B2089" s="2" t="inlineStr">
        <is>
          <t>короткая</t>
        </is>
      </c>
      <c r="C2089" s="2" t="n">
        <v>9325</v>
      </c>
      <c r="D2089" s="3" t="inlineStr">
        <is>
          <t>Двое и одна</t>
        </is>
      </c>
      <c r="E2089" s="2" t="n">
        <v>1988</v>
      </c>
      <c r="F2089" s="2" t="inlineStr">
        <is>
          <t>кинофильм</t>
        </is>
      </c>
      <c r="G2089" s="2" t="n"/>
      <c r="H2089" s="2" t="n">
        <v>153</v>
      </c>
      <c r="I2089" s="2" t="inlineStr"/>
      <c r="J2089" s="2" t="inlineStr"/>
      <c r="K2089" s="3" t="inlineStr">
        <is>
          <t>Нелепая смерть женщины объединила трех близких ей людей: 6-летнюю дочь Олю, отца девочки и мужчину, с которым мать Оли познакомилась незадолго до гибели.</t>
        </is>
      </c>
      <c r="L2089" s="2" t="inlineStr">
        <is>
          <t>Кино_СССР сводный каталог.xlsx: список фильмов (доп.)</t>
        </is>
      </c>
      <c r="M2089" s="2">
        <f>HYPERLINK("https://ru.wikipedia.org/w/index.php?search=%D0%94%D0%B2%D0%BE%D0%B5%20%D0%B8%20%D0%BE%D0%B4%D0%BD%D0%B0%201988%20%D1%84%D0%B8%D0%BB%D1%8C%D0%BC","искать")</f>
        <v/>
      </c>
      <c r="N2089" s="3" t="n"/>
      <c r="O2089" s="2" t="n"/>
    </row>
    <row r="2090">
      <c r="A2090" s="2" t="n">
        <v>2089</v>
      </c>
      <c r="B2090" s="2" t="inlineStr">
        <is>
          <t>короткая</t>
        </is>
      </c>
      <c r="C2090" s="2" t="n">
        <v>10481</v>
      </c>
      <c r="D2090" s="3" t="inlineStr">
        <is>
          <t>Великие представления (1972-2009)</t>
        </is>
      </c>
      <c r="E2090" s="2" t="n">
        <v>1972</v>
      </c>
      <c r="F2090" s="2" t="inlineStr">
        <is>
          <t>фильм-спектакль</t>
        </is>
      </c>
      <c r="G2090" s="2" t="n"/>
      <c r="H2090" s="2" t="n">
        <v>153</v>
      </c>
      <c r="I2090" s="2" t="inlineStr"/>
      <c r="J2090" s="2" t="inlineStr"/>
      <c r="K2090" s="3" t="inlineStr">
        <is>
          <t>Телевизионная антология лучших американских исполнителей всех видов искусства, начиная с Бродвейских постановок и заканчивая современными рок-концертами.</t>
        </is>
      </c>
      <c r="L2090" s="2" t="inlineStr">
        <is>
          <t>https://www.kino-teatr.ru/teatr/movie/26259/annot/</t>
        </is>
      </c>
      <c r="M2090" s="2">
        <f>HYPERLINK("https://ru.wikipedia.org/w/index.php?search=%D0%92%D0%B5%D0%BB%D0%B8%D0%BA%D0%B8%D0%B5%20%D0%BF%D1%80%D0%B5%D0%B4%D1%81%D1%82%D0%B0%D0%B2%D0%BB%D0%B5%D0%BD%D0%B8%D1%8F%20%281972-2009%29%201972%20%D1%84%D0%B8%D0%BB%D1%8C%D0%BC","искать")</f>
        <v/>
      </c>
      <c r="N2090" s="3" t="n"/>
      <c r="O2090" s="2" t="n"/>
    </row>
    <row r="2091">
      <c r="A2091" s="2" t="n">
        <v>2090</v>
      </c>
      <c r="B2091" s="2" t="inlineStr">
        <is>
          <t>короткая</t>
        </is>
      </c>
      <c r="C2091" s="2" t="n">
        <v>10021</v>
      </c>
      <c r="D2091" s="3" t="inlineStr">
        <is>
          <t>Несчастный случай</t>
        </is>
      </c>
      <c r="E2091" s="2" t="n">
        <v>1987</v>
      </c>
      <c r="F2091" s="2" t="inlineStr">
        <is>
          <t>кинофильм</t>
        </is>
      </c>
      <c r="G2091" s="2" t="inlineStr">
        <is>
          <t>Арменфильм (по заказу Госавтоинспекции Арм.ССР)</t>
        </is>
      </c>
      <c r="H2091" s="2" t="n">
        <v>154</v>
      </c>
      <c r="I2091" s="2" t="inlineStr"/>
      <c r="J2091" s="2" t="inlineStr"/>
      <c r="K2091" s="3" t="inlineStr">
        <is>
          <t>Молодой трудолюбивый Армен, единственный сын пожилой матери, становится жертвой хулиганского поступка своего ровесника – нарушителя общественного порядка.</t>
        </is>
      </c>
      <c r="L2091" s="2" t="inlineStr">
        <is>
          <t>https://www.kino-teatr.ru/short/movie/sov/85493/annot/</t>
        </is>
      </c>
      <c r="M2091" s="2">
        <f>HYPERLINK("https://ru.wikipedia.org/w/index.php?search=%D0%9D%D0%B5%D1%81%D1%87%D0%B0%D1%81%D1%82%D0%BD%D1%8B%D0%B9%20%D1%81%D0%BB%D1%83%D1%87%D0%B0%D0%B9%201987%20%D1%84%D0%B8%D0%BB%D1%8C%D0%BC","искать")</f>
        <v/>
      </c>
      <c r="N2091" s="3" t="n"/>
      <c r="O2091" s="2" t="n"/>
    </row>
    <row r="2092">
      <c r="A2092" s="2" t="n">
        <v>2091</v>
      </c>
      <c r="B2092" s="2" t="inlineStr">
        <is>
          <t>короткая</t>
        </is>
      </c>
      <c r="C2092" s="2" t="n">
        <v>11256</v>
      </c>
      <c r="D2092" s="3" t="inlineStr">
        <is>
          <t>Закон</t>
        </is>
      </c>
      <c r="E2092" s="2" t="n">
        <v>1989</v>
      </c>
      <c r="F2092" s="2" t="inlineStr">
        <is>
          <t>фильм-спектакль</t>
        </is>
      </c>
      <c r="G2092" s="2" t="inlineStr">
        <is>
          <t>Укртелефильм</t>
        </is>
      </c>
      <c r="H2092" s="2" t="n">
        <v>154</v>
      </c>
      <c r="I2092" s="2" t="inlineStr"/>
      <c r="J2092" s="2" t="inlineStr"/>
      <c r="K2092" s="3" t="inlineStr">
        <is>
          <t>По одноименной пьесе Владимира Винниченко.
Инна не может иметь детей. Но она придумывает, как с помощью своего любовника Панаса можно решить эту проблему.</t>
        </is>
      </c>
      <c r="L2092" s="2" t="inlineStr">
        <is>
          <t>https://www.kino-teatr.ru/teatr/movie/95505/annot/</t>
        </is>
      </c>
      <c r="M2092" s="2">
        <f>HYPERLINK("https://ru.wikipedia.org/w/index.php?search=%D0%97%D0%B0%D0%BA%D0%BE%D0%BD%201989%20%D1%84%D0%B8%D0%BB%D1%8C%D0%BC","искать")</f>
        <v/>
      </c>
      <c r="N2092" s="3" t="n"/>
      <c r="O2092" s="2" t="n"/>
    </row>
    <row r="2093">
      <c r="A2093" s="2" t="n">
        <v>2092</v>
      </c>
      <c r="B2093" s="2" t="inlineStr">
        <is>
          <t>короткая</t>
        </is>
      </c>
      <c r="C2093" s="2" t="n">
        <v>7240</v>
      </c>
      <c r="D2093" s="3" t="inlineStr">
        <is>
          <t>Без права на пощаду</t>
        </is>
      </c>
      <c r="E2093" s="2" t="n">
        <v>1970</v>
      </c>
      <c r="F2093" s="2" t="inlineStr">
        <is>
          <t>телефильм</t>
        </is>
      </c>
      <c r="G2093" s="2" t="n"/>
      <c r="H2093" s="2" t="n">
        <v>155</v>
      </c>
      <c r="I2093" s="2" t="inlineStr"/>
      <c r="J2093" s="2" t="inlineStr"/>
      <c r="K2093" s="3" t="inlineStr">
        <is>
          <t>В заводском поселке убита молодая женщина. В ходе расследования разоблачается убийца, который во время Великой Отечественной войны был пособником фашистов.</t>
        </is>
      </c>
      <c r="L2093" s="2" t="inlineStr">
        <is>
          <t>Кино_СССР сводный каталог.xlsx: список телефильмов</t>
        </is>
      </c>
      <c r="M2093" s="2">
        <f>HYPERLINK("https://ru.wikipedia.org/w/index.php?search=%D0%91%D0%B5%D0%B7%20%D0%BF%D1%80%D0%B0%D0%B2%D0%B0%20%D0%BD%D0%B0%20%D0%BF%D0%BE%D1%89%D0%B0%D0%B4%D1%83%201970%20%D1%84%D0%B8%D0%BB%D1%8C%D0%BC","искать")</f>
        <v/>
      </c>
      <c r="N2093" s="3" t="n"/>
      <c r="O2093" s="2" t="n"/>
    </row>
    <row r="2094">
      <c r="A2094" s="2" t="n">
        <v>2093</v>
      </c>
      <c r="B2094" s="2" t="inlineStr">
        <is>
          <t>короткая</t>
        </is>
      </c>
      <c r="C2094" s="2" t="n">
        <v>7865</v>
      </c>
      <c r="D2094" s="3" t="inlineStr">
        <is>
          <t>Мельница на окраине города</t>
        </is>
      </c>
      <c r="E2094" s="2" t="n">
        <v>1981</v>
      </c>
      <c r="F2094" s="2" t="inlineStr">
        <is>
          <t>телефильм</t>
        </is>
      </c>
      <c r="G2094" s="2" t="n"/>
      <c r="H2094" s="2" t="n">
        <v>155</v>
      </c>
      <c r="I2094" s="2" t="inlineStr"/>
      <c r="J2094" s="2" t="inlineStr"/>
      <c r="K2094" s="3" t="inlineStr">
        <is>
          <t>წისქვილი ქალაქის გარეუბანში Телефильм. На окраине современного города стоит старая мельница. Каждое туда приходят горожане, чтобы смолоть кукурузное зерно.</t>
        </is>
      </c>
      <c r="L2094" s="2" t="inlineStr">
        <is>
          <t>Кино_СССР сводный каталог.xlsx: список телефильмов</t>
        </is>
      </c>
      <c r="M2094" s="2">
        <f>HYPERLINK("https://ru.wikipedia.org/w/index.php?search=%D0%9C%D0%B5%D0%BB%D1%8C%D0%BD%D0%B8%D1%86%D0%B0%20%D0%BD%D0%B0%20%D0%BE%D0%BA%D1%80%D0%B0%D0%B8%D0%BD%D0%B5%20%D0%B3%D0%BE%D1%80%D0%BE%D0%B4%D0%B0%201981%20%D1%84%D0%B8%D0%BB%D1%8C%D0%BC","искать")</f>
        <v/>
      </c>
      <c r="N2094" s="3" t="n"/>
      <c r="O2094" s="2" t="n"/>
    </row>
    <row r="2095">
      <c r="A2095" s="2" t="n">
        <v>2094</v>
      </c>
      <c r="B2095" s="2" t="inlineStr">
        <is>
          <t>короткая</t>
        </is>
      </c>
      <c r="C2095" s="2" t="n">
        <v>8963</v>
      </c>
      <c r="D2095" s="3" t="inlineStr">
        <is>
          <t>Последняя любовь</t>
        </is>
      </c>
      <c r="E2095" s="2" t="n">
        <v>1991</v>
      </c>
      <c r="F2095" s="2" t="inlineStr">
        <is>
          <t>кинофильм</t>
        </is>
      </c>
      <c r="G2095" s="2" t="n"/>
      <c r="H2095" s="2" t="n">
        <v>155</v>
      </c>
      <c r="I2095" s="2" t="inlineStr"/>
      <c r="J2095" s="2" t="inlineStr"/>
      <c r="K2095" s="3" t="inlineStr">
        <is>
          <t>Музыкальная комедия по мотивам одноименного произведения Р. Ахмедзаде. Фильм повествует о забавных и развлекательных, любовных приключениях главного героя.</t>
        </is>
      </c>
      <c r="L2095" s="2" t="inlineStr">
        <is>
          <t>Кино_СССР сводный каталог.xlsx: список фильмов (доп.)</t>
        </is>
      </c>
      <c r="M2095" s="2">
        <f>HYPERLINK("https://ru.wikipedia.org/w/index.php?search=%D0%9F%D0%BE%D1%81%D0%BB%D0%B5%D0%B4%D0%BD%D1%8F%D1%8F%20%D0%BB%D1%8E%D0%B1%D0%BE%D0%B2%D1%8C%201991%20%D1%84%D0%B8%D0%BB%D1%8C%D0%BC","искать")</f>
        <v/>
      </c>
      <c r="N2095" s="3" t="n"/>
      <c r="O2095" s="2" t="n"/>
    </row>
    <row r="2096">
      <c r="A2096" s="2" t="n">
        <v>2095</v>
      </c>
      <c r="B2096" s="2" t="inlineStr">
        <is>
          <t>короткая</t>
        </is>
      </c>
      <c r="C2096" s="2" t="n">
        <v>9546</v>
      </c>
      <c r="D2096" s="3" t="inlineStr">
        <is>
          <t>Первый этаж</t>
        </is>
      </c>
      <c r="E2096" s="2" t="n">
        <v>1990</v>
      </c>
      <c r="F2096" s="2" t="inlineStr">
        <is>
          <t>кинофильм</t>
        </is>
      </c>
      <c r="G2096" s="2" t="n"/>
      <c r="H2096" s="2" t="n">
        <v>155</v>
      </c>
      <c r="I2096" s="2" t="inlineStr"/>
      <c r="J2096" s="2" t="inlineStr"/>
      <c r="K2096" s="3" t="inlineStr">
        <is>
          <t>История любви и смерти современной Кармен - юной парикмахерши - разворачивается в среде обитателей низов общества: коммунальных квартирах и грязных дворах.</t>
        </is>
      </c>
      <c r="L2096" s="2" t="inlineStr">
        <is>
          <t>Кино_СССР сводный каталог.xlsx: список фильмов (доп.)</t>
        </is>
      </c>
      <c r="M2096" s="2">
        <f>HYPERLINK("https://ru.wikipedia.org/w/index.php?search=%D0%9F%D0%B5%D1%80%D0%B2%D1%8B%D0%B9%20%D1%8D%D1%82%D0%B0%D0%B6%201990%20%D1%84%D0%B8%D0%BB%D1%8C%D0%BC","искать")</f>
        <v/>
      </c>
      <c r="N2096" s="3" t="n"/>
      <c r="O2096" s="2" t="n"/>
    </row>
    <row r="2097">
      <c r="A2097" s="2" t="n">
        <v>2096</v>
      </c>
      <c r="B2097" s="2" t="inlineStr">
        <is>
          <t>короткая</t>
        </is>
      </c>
      <c r="C2097" s="2" t="n">
        <v>10642</v>
      </c>
      <c r="D2097" s="3" t="inlineStr">
        <is>
          <t>Волшебный фонарь</t>
        </is>
      </c>
      <c r="E2097" s="2" t="n">
        <v>1976</v>
      </c>
      <c r="F2097" s="2" t="inlineStr">
        <is>
          <t>фильм-спектакль</t>
        </is>
      </c>
      <c r="G2097" s="2" t="inlineStr">
        <is>
          <t>Центральное телевидение, программа "Бенефис"</t>
        </is>
      </c>
      <c r="H2097" s="2" t="n">
        <v>155</v>
      </c>
      <c r="I2097" s="2" t="inlineStr"/>
      <c r="J2097" s="2" t="inlineStr"/>
      <c r="K2097" s="3" t="inlineStr">
        <is>
          <t>Музыкальное ревю «по мотивам изобретения братьев Люмьер»: "Любовник", "Дочь" и "Про Фантомаса". Музыкальные аранжировки Георгия Гараняна и Бориса Фрумкина.</t>
        </is>
      </c>
      <c r="L2097" s="2" t="inlineStr">
        <is>
          <t>https://www.kino-teatr.ru/teatr/movie/1106/annot/</t>
        </is>
      </c>
      <c r="M2097" s="2">
        <f>HYPERLINK("https://ru.wikipedia.org/w/index.php?search=%D0%92%D0%BE%D0%BB%D1%88%D0%B5%D0%B1%D0%BD%D1%8B%D0%B9%20%D1%84%D0%BE%D0%BD%D0%B0%D1%80%D1%8C%201976%20%D1%84%D0%B8%D0%BB%D1%8C%D0%BC","искать")</f>
        <v/>
      </c>
      <c r="N2097" s="3" t="n"/>
      <c r="O2097" s="2" t="n"/>
    </row>
    <row r="2098">
      <c r="A2098" s="2" t="n">
        <v>2097</v>
      </c>
      <c r="B2098" s="2" t="inlineStr">
        <is>
          <t>короткая</t>
        </is>
      </c>
      <c r="C2098" s="2" t="n">
        <v>11135</v>
      </c>
      <c r="D2098" s="3" t="inlineStr">
        <is>
          <t>Суд над судьями</t>
        </is>
      </c>
      <c r="E2098" s="2" t="n">
        <v>1986</v>
      </c>
      <c r="F2098" s="2" t="inlineStr">
        <is>
          <t>фильм-спектакль</t>
        </is>
      </c>
      <c r="G2098" s="2" t="inlineStr">
        <is>
          <t>Гл. ред. лит-драм программ</t>
        </is>
      </c>
      <c r="H2098" s="2" t="n">
        <v>155</v>
      </c>
      <c r="I2098" s="2" t="inlineStr"/>
      <c r="J2098" s="2" t="inlineStr"/>
      <c r="K2098" s="3" t="inlineStr">
        <is>
          <t>По одноименной пьесе Э.Манна в постановке Государственного театра им. Моссовета. О судебном процессе над вершителями нацистского правосудия в г. Нюрнберге.</t>
        </is>
      </c>
      <c r="L2098" s="2" t="inlineStr">
        <is>
          <t>https://www.kino-teatr.ru/teatr/movie/10726/annot/</t>
        </is>
      </c>
      <c r="M2098" s="2">
        <f>HYPERLINK("https://ru.wikipedia.org/w/index.php?search=%D0%A1%D1%83%D0%B4%20%D0%BD%D0%B0%D0%B4%20%D1%81%D1%83%D0%B4%D1%8C%D1%8F%D0%BC%D0%B8%201986%20%D1%84%D0%B8%D0%BB%D1%8C%D0%BC","искать")</f>
        <v/>
      </c>
      <c r="N2098" s="3" t="n"/>
      <c r="O2098" s="2" t="n"/>
    </row>
    <row r="2099">
      <c r="A2099" s="2" t="n">
        <v>2098</v>
      </c>
      <c r="B2099" s="2" t="inlineStr">
        <is>
          <t>короткая</t>
        </is>
      </c>
      <c r="C2099" s="2" t="n">
        <v>7849</v>
      </c>
      <c r="D2099" s="3" t="inlineStr">
        <is>
          <t>Мама Ануш</t>
        </is>
      </c>
      <c r="E2099" s="2" t="n">
        <v>1983</v>
      </c>
      <c r="F2099" s="2" t="inlineStr">
        <is>
          <t>телефильм</t>
        </is>
      </c>
      <c r="G2099" s="2" t="inlineStr">
        <is>
          <t>Арменфильм</t>
        </is>
      </c>
      <c r="H2099" s="2" t="n">
        <v>156</v>
      </c>
      <c r="I2099" s="2" t="inlineStr"/>
      <c r="J2099" s="2" t="inlineStr"/>
      <c r="K2099" s="3" t="inlineStr">
        <is>
          <t>Телефильм. Героиня фильма — трогательная Ануш (Лия Ахеджакова) — едет в далекий город, чтобы быть рядом с сыном, пока не закончится срок его службы в армии.</t>
        </is>
      </c>
      <c r="L2099" s="2" t="inlineStr">
        <is>
          <t>Кино_СССР сводный каталог.xlsx: список телефильмов</t>
        </is>
      </c>
      <c r="M2099" s="2">
        <f>HYPERLINK("https://ru.wikipedia.org/w/index.php?search=%D0%9C%D0%B0%D0%BC%D0%B0%20%D0%90%D0%BD%D1%83%D1%88%201983%20%D1%84%D0%B8%D0%BB%D1%8C%D0%BC","искать")</f>
        <v/>
      </c>
      <c r="N2099" s="3" t="n"/>
      <c r="O2099" s="2" t="n"/>
    </row>
    <row r="2100">
      <c r="A2100" s="2" t="n">
        <v>2099</v>
      </c>
      <c r="B2100" s="2" t="inlineStr">
        <is>
          <t>короткая</t>
        </is>
      </c>
      <c r="C2100" s="2" t="n">
        <v>9608</v>
      </c>
      <c r="D2100" s="3" t="inlineStr">
        <is>
          <t>Путешествие молодого композитора</t>
        </is>
      </c>
      <c r="E2100" s="2" t="n">
        <v>1984</v>
      </c>
      <c r="F2100" s="2" t="inlineStr">
        <is>
          <t>кинофильм</t>
        </is>
      </c>
      <c r="G2100" s="2" t="n"/>
      <c r="H2100" s="2" t="n">
        <v>157</v>
      </c>
      <c r="I2100" s="2" t="inlineStr"/>
      <c r="J2100" s="2" t="inlineStr"/>
      <c r="K2100" s="3" t="inlineStr">
        <is>
          <t>ახალგაზრდა კომპოზიტორის მოგზაურობა Молодой композитор отправляется в путешествие по селам Грузии и одержим желанием записать все существующие народные песни.</t>
        </is>
      </c>
      <c r="L2100" s="2" t="inlineStr">
        <is>
          <t>Кино_СССР сводный каталог.xlsx: список фильмов (доп.)</t>
        </is>
      </c>
      <c r="M2100" s="2">
        <f>HYPERLINK("https://ru.wikipedia.org/w/index.php?search=%D0%9F%D1%83%D1%82%D0%B5%D1%88%D0%B5%D1%81%D1%82%D0%B2%D0%B8%D0%B5%20%D0%BC%D0%BE%D0%BB%D0%BE%D0%B4%D0%BE%D0%B3%D0%BE%20%D0%BA%D0%BE%D0%BC%D0%BF%D0%BE%D0%B7%D0%B8%D1%82%D0%BE%D1%80%D0%B0%201984%20%D1%84%D0%B8%D0%BB%D1%8C%D0%BC","искать")</f>
        <v/>
      </c>
      <c r="N2100" s="3" t="n"/>
      <c r="O2100" s="2" t="n"/>
    </row>
    <row r="2101">
      <c r="A2101" s="2" t="n">
        <v>2100</v>
      </c>
      <c r="B2101" s="2" t="inlineStr">
        <is>
          <t>короткая</t>
        </is>
      </c>
      <c r="C2101" s="2" t="n">
        <v>8030</v>
      </c>
      <c r="D2101" s="3" t="inlineStr">
        <is>
          <t>Овраги</t>
        </is>
      </c>
      <c r="E2101" s="2" t="n">
        <v>1990</v>
      </c>
      <c r="F2101" s="2" t="inlineStr">
        <is>
          <t>телефильм</t>
        </is>
      </c>
      <c r="G2101" s="2" t="n"/>
      <c r="H2101" s="2" t="n">
        <v>158</v>
      </c>
      <c r="I2101" s="2" t="inlineStr"/>
      <c r="J2101" s="2" t="inlineStr"/>
      <c r="K2101" s="3" t="inlineStr">
        <is>
          <t>В 1930 году коммунист Платонов участвует в коллективизации. Не отступая после смерти жены, он продолжает борьбу с сопротивлением крестьян и берётся за оружие.</t>
        </is>
      </c>
      <c r="L2101" s="2" t="inlineStr">
        <is>
          <t>Кино_СССР сводный каталог.xlsx: список телефильмов</t>
        </is>
      </c>
      <c r="M2101" s="2">
        <f>HYPERLINK("https://ru.wikipedia.org/w/index.php?search=%D0%9E%D0%B2%D1%80%D0%B0%D0%B3%D0%B8%201990%20%D1%84%D0%B8%D0%BB%D1%8C%D0%BC","искать")</f>
        <v/>
      </c>
      <c r="N2101" s="3" t="n"/>
      <c r="O2101" s="2" t="n"/>
    </row>
    <row r="2102">
      <c r="A2102" s="2" t="n">
        <v>2101</v>
      </c>
      <c r="B2102" s="2" t="inlineStr">
        <is>
          <t>короткая</t>
        </is>
      </c>
      <c r="C2102" s="2" t="n">
        <v>8891</v>
      </c>
      <c r="D2102" s="3" t="inlineStr">
        <is>
          <t>Одиссея капитана Блада</t>
        </is>
      </c>
      <c r="E2102" s="2" t="n">
        <v>1991</v>
      </c>
      <c r="F2102" s="2" t="inlineStr">
        <is>
          <t>кинофильм</t>
        </is>
      </c>
      <c r="G2102" s="2" t="n"/>
      <c r="H2102" s="2" t="n">
        <v>158</v>
      </c>
      <c r="I2102" s="2" t="inlineStr"/>
      <c r="J2102" s="2" t="inlineStr"/>
      <c r="K2102" s="3" t="inlineStr">
        <is>
          <t>Фильм снят по мотивам известного романа Рафаэля Сабатини о приключениях доктора Блада, который по воле судьбы был вынужден стать капитаном пиратского корабля.</t>
        </is>
      </c>
      <c r="L2102" s="2" t="inlineStr">
        <is>
          <t>Кино_СССР сводный каталог.xlsx: список фильмов (доп.)</t>
        </is>
      </c>
      <c r="M2102" s="2">
        <f>HYPERLINK("https://ru.wikipedia.org/w/index.php?search=%D0%9E%D0%B4%D0%B8%D1%81%D1%81%D0%B5%D1%8F%20%D0%BA%D0%B0%D0%BF%D0%B8%D1%82%D0%B0%D0%BD%D0%B0%20%D0%91%D0%BB%D0%B0%D0%B4%D0%B0%201991%20%D1%84%D0%B8%D0%BB%D1%8C%D0%BC","искать")</f>
        <v/>
      </c>
      <c r="N2102" s="3" t="n"/>
      <c r="O2102" s="2" t="n"/>
    </row>
    <row r="2103">
      <c r="A2103" s="2" t="n">
        <v>2102</v>
      </c>
      <c r="B2103" s="2" t="inlineStr">
        <is>
          <t>короткая</t>
        </is>
      </c>
      <c r="C2103" s="2" t="n">
        <v>10042</v>
      </c>
      <c r="D2103" s="3" t="inlineStr">
        <is>
          <t>Фокусник</t>
        </is>
      </c>
      <c r="E2103" s="2" t="n">
        <v>1989</v>
      </c>
      <c r="F2103" s="2" t="inlineStr">
        <is>
          <t>кинофильм</t>
        </is>
      </c>
      <c r="G2103" s="2" t="inlineStr">
        <is>
          <t>Арменфильм</t>
        </is>
      </c>
      <c r="H2103" s="2" t="n">
        <v>158</v>
      </c>
      <c r="I2103" s="2" t="inlineStr"/>
      <c r="J2103" s="2" t="inlineStr"/>
      <c r="K2103" s="3" t="inlineStr">
        <is>
          <t>Աճպարար
По новелле Т.Манна “Марио и фокусник”.
Приезжий фокусник устраивает сеанс коллективного гипноза, который выявляет истинную сущность обывателей города.</t>
        </is>
      </c>
      <c r="L2103" s="2" t="inlineStr">
        <is>
          <t>https://www.kino-teatr.ru/short/movie/sov/11074/annot/</t>
        </is>
      </c>
      <c r="M2103" s="2">
        <f>HYPERLINK("https://ru.wikipedia.org/w/index.php?search=%D0%A4%D0%BE%D0%BA%D1%83%D1%81%D0%BD%D0%B8%D0%BA%201989%20%D1%84%D0%B8%D0%BB%D1%8C%D0%BC","искать")</f>
        <v/>
      </c>
      <c r="N2103" s="3" t="n"/>
      <c r="O2103" s="2" t="n"/>
    </row>
    <row r="2104">
      <c r="A2104" s="2" t="n">
        <v>2103</v>
      </c>
      <c r="B2104" s="2" t="inlineStr">
        <is>
          <t>короткая</t>
        </is>
      </c>
      <c r="C2104" s="2" t="n">
        <v>11344</v>
      </c>
      <c r="D2104" s="3" t="inlineStr">
        <is>
          <t>Рудольфио</t>
        </is>
      </c>
      <c r="E2104" s="2" t="n">
        <v>1991</v>
      </c>
      <c r="F2104" s="2" t="inlineStr">
        <is>
          <t>фильм-спектакль</t>
        </is>
      </c>
      <c r="G2104" s="2" t="inlineStr">
        <is>
          <t>Главная редакция литературно-художественных программ ЦТ</t>
        </is>
      </c>
      <c r="H2104" s="2" t="n">
        <v>158</v>
      </c>
      <c r="I2104" s="2" t="inlineStr"/>
      <c r="J2104" s="2" t="inlineStr"/>
      <c r="K2104" s="3" t="inlineStr">
        <is>
          <t>История любви девочки Ио к взрослому человеку - чуткому интеллигентному Рудольфу. Тяготясь чрезмерным вниманием девочки, старший друг старается ее не обидеть.</t>
        </is>
      </c>
      <c r="L2104" s="2" t="inlineStr">
        <is>
          <t>https://www.kino-teatr.ru/teatr/movie/15369/annot/</t>
        </is>
      </c>
      <c r="M2104" s="2">
        <f>HYPERLINK("https://ru.wikipedia.org/w/index.php?search=%D0%A0%D1%83%D0%B4%D0%BE%D0%BB%D1%8C%D1%84%D0%B8%D0%BE%201991%20%D1%84%D0%B8%D0%BB%D1%8C%D0%BC","искать")</f>
        <v/>
      </c>
      <c r="N2104" s="3" t="n"/>
      <c r="O2104" s="2" t="n"/>
    </row>
    <row r="2105">
      <c r="A2105" s="2" t="n">
        <v>2104</v>
      </c>
      <c r="B2105" s="2" t="inlineStr">
        <is>
          <t>короткая</t>
        </is>
      </c>
      <c r="C2105" s="2" t="n">
        <v>7661</v>
      </c>
      <c r="D2105" s="3" t="inlineStr">
        <is>
          <t>И оглянулся путник</t>
        </is>
      </c>
      <c r="E2105" s="2" t="n">
        <v>1985</v>
      </c>
      <c r="F2105" s="2" t="inlineStr">
        <is>
          <t>телефильм</t>
        </is>
      </c>
      <c r="G2105" s="2" t="n"/>
      <c r="H2105" s="2" t="n">
        <v>159</v>
      </c>
      <c r="I2105" s="2" t="inlineStr"/>
      <c r="J2105" s="2" t="inlineStr"/>
      <c r="K2105" s="3" t="inlineStr">
        <is>
          <t>Заур известный и популярный драматург. Работая над своей новой пьесой,  которая дается ему мучительно,  он осознает,  что в его жизни настал переломный момент.</t>
        </is>
      </c>
      <c r="L2105" s="2" t="inlineStr">
        <is>
          <t>Кино_СССР сводный каталог.xlsx: список телефильмов</t>
        </is>
      </c>
      <c r="M2105" s="2">
        <f>HYPERLINK("https://ru.wikipedia.org/w/index.php?search=%D0%98%20%D0%BE%D0%B3%D0%BB%D1%8F%D0%BD%D1%83%D0%BB%D1%81%D1%8F%20%D0%BF%D1%83%D1%82%D0%BD%D0%B8%D0%BA%201985%20%D1%84%D0%B8%D0%BB%D1%8C%D0%BC","искать")</f>
        <v/>
      </c>
      <c r="N2105" s="3" t="n"/>
      <c r="O2105" s="2" t="n"/>
    </row>
    <row r="2106">
      <c r="A2106" s="2" t="n">
        <v>2105</v>
      </c>
      <c r="B2106" s="2" t="inlineStr">
        <is>
          <t>короткая</t>
        </is>
      </c>
      <c r="C2106" s="2" t="n">
        <v>11199</v>
      </c>
      <c r="D2106" s="3" t="inlineStr">
        <is>
          <t>Жарчкусы</t>
        </is>
      </c>
      <c r="E2106" s="2" t="n">
        <v>1988</v>
      </c>
      <c r="F2106" s="2" t="inlineStr">
        <is>
          <t>фильм-спектакль</t>
        </is>
      </c>
      <c r="G2106" s="2" t="inlineStr">
        <is>
          <t>Литовское телевидение</t>
        </is>
      </c>
      <c r="H2106" s="2" t="n">
        <v>159</v>
      </c>
      <c r="I2106" s="2" t="inlineStr"/>
      <c r="J2106" s="2" t="inlineStr"/>
      <c r="K2106" s="3" t="inlineStr">
        <is>
          <t>Спектакль поставлен по мотивам повести Антанаса Венуолиса "Приёмная дочь" и рассказывает историю семьи Жарчкусов и о трудной судьбе их приёмной дочери Настуте.</t>
        </is>
      </c>
      <c r="L2106" s="2" t="inlineStr">
        <is>
          <t>https://www.kino-teatr.ru/teatr/movie/110831/annot/</t>
        </is>
      </c>
      <c r="M2106" s="2">
        <f>HYPERLINK("https://ru.wikipedia.org/w/index.php?search=%D0%96%D0%B0%D1%80%D1%87%D0%BA%D1%83%D1%81%D1%8B%201988%20%D1%84%D0%B8%D0%BB%D1%8C%D0%BC","искать")</f>
        <v/>
      </c>
      <c r="N2106" s="3" t="n"/>
      <c r="O2106" s="2" t="n"/>
    </row>
    <row r="2107">
      <c r="A2107" s="2" t="n">
        <v>2106</v>
      </c>
      <c r="B2107" s="2" t="inlineStr">
        <is>
          <t>короткая</t>
        </is>
      </c>
      <c r="C2107" s="2" t="n">
        <v>7379</v>
      </c>
      <c r="D2107" s="3" t="inlineStr">
        <is>
          <t>Вот и мы!</t>
        </is>
      </c>
      <c r="E2107" s="2" t="n">
        <v>1978</v>
      </c>
      <c r="F2107" s="2" t="inlineStr">
        <is>
          <t>телефильм</t>
        </is>
      </c>
      <c r="G2107" s="2" t="n"/>
      <c r="H2107" s="2" t="n">
        <v>160</v>
      </c>
      <c r="I2107" s="2" t="inlineStr"/>
      <c r="J2107" s="2" t="inlineStr"/>
      <c r="K2107" s="3" t="inlineStr">
        <is>
          <t>В хороший летний день приезжает из Таллина на ферму на эстонский остров Мухумаа капризная семья, которая решили провести свой отпуск в красивой природной среде.</t>
        </is>
      </c>
      <c r="L2107" s="2" t="inlineStr">
        <is>
          <t>Кино_СССР сводный каталог.xlsx: список телефильмов</t>
        </is>
      </c>
      <c r="M2107" s="2">
        <f>HYPERLINK("https://ru.wikipedia.org/w/index.php?search=%D0%92%D0%BE%D1%82%20%D0%B8%20%D0%BC%D1%8B%21%201978%20%D1%84%D0%B8%D0%BB%D1%8C%D0%BC","искать")</f>
        <v/>
      </c>
      <c r="N2107" s="3" t="n"/>
      <c r="O2107" s="2" t="n"/>
    </row>
    <row r="2108">
      <c r="A2108" s="2" t="n">
        <v>2107</v>
      </c>
      <c r="B2108" s="2" t="inlineStr">
        <is>
          <t>короткая</t>
        </is>
      </c>
      <c r="C2108" s="2" t="n">
        <v>7708</v>
      </c>
      <c r="D2108" s="3" t="inlineStr">
        <is>
          <t>Каникулы Кроша</t>
        </is>
      </c>
      <c r="E2108" s="2" t="n">
        <v>1980</v>
      </c>
      <c r="F2108" s="2" t="inlineStr">
        <is>
          <t>телефильм</t>
        </is>
      </c>
      <c r="G2108" s="2" t="n"/>
      <c r="H2108" s="2" t="n">
        <v>160</v>
      </c>
      <c r="I2108" s="2" t="inlineStr"/>
      <c r="J2108" s="2" t="inlineStr"/>
      <c r="K2108" s="3" t="inlineStr">
        <is>
          <t>Телесериал. В основе фильма - столкновение десятиклассника Сергея Крашенинникова (Кроша) с коллекционером, охотящимся за японской миниатюрной скульптурой нэцке.</t>
        </is>
      </c>
      <c r="L2108" s="2" t="inlineStr">
        <is>
          <t>Кино_СССР сводный каталог.xlsx: список телефильмов</t>
        </is>
      </c>
      <c r="M2108" s="2">
        <f>HYPERLINK("https://ru.wikipedia.org/w/index.php?search=%D0%9A%D0%B0%D0%BD%D0%B8%D0%BA%D1%83%D0%BB%D1%8B%20%D0%9A%D1%80%D0%BE%D1%88%D0%B0%201980%20%D1%84%D0%B8%D0%BB%D1%8C%D0%BC","искать")</f>
        <v/>
      </c>
      <c r="N2108" s="3" t="n"/>
      <c r="O2108" s="2" t="n"/>
    </row>
    <row r="2109">
      <c r="A2109" s="2" t="n">
        <v>2108</v>
      </c>
      <c r="B2109" s="2" t="inlineStr">
        <is>
          <t>короткая</t>
        </is>
      </c>
      <c r="C2109" s="2" t="n">
        <v>9135</v>
      </c>
      <c r="D2109" s="3" t="inlineStr">
        <is>
          <t>Фальшивомонетничество - преступление государственное</t>
        </is>
      </c>
      <c r="E2109" s="2" t="n">
        <v>1965</v>
      </c>
      <c r="F2109" s="2" t="inlineStr">
        <is>
          <t>кинофильм</t>
        </is>
      </c>
      <c r="G2109" s="2" t="n"/>
      <c r="H2109" s="2" t="n">
        <v>160</v>
      </c>
      <c r="I2109" s="2" t="inlineStr"/>
      <c r="J2109" s="2" t="inlineStr"/>
      <c r="K2109" s="3" t="inlineStr">
        <is>
          <t>Игровой фильм рассказывает будущим сотрудникам ОБХСС, как правильно бороться с подделкой денежных знаков и монет. В фильме снялись настоящие сотрудники милиции.</t>
        </is>
      </c>
      <c r="L2109" s="2" t="inlineStr">
        <is>
          <t>Кино_СССР сводный каталог.xlsx: список фильмов (доп.)</t>
        </is>
      </c>
      <c r="M2109" s="2">
        <f>HYPERLINK("https://ru.wikipedia.org/w/index.php?search=%D0%A4%D0%B0%D0%BB%D1%8C%D1%88%D0%B8%D0%B2%D0%BE%D0%BC%D0%BE%D0%BD%D0%B5%D1%82%D0%BD%D0%B8%D1%87%D0%B5%D1%81%D1%82%D0%B2%D0%BE%20-%20%D0%BF%D1%80%D0%B5%D1%81%D1%82%D1%83%D0%BF%D0%BB%D0%B5%D0%BD%D0%B8%D0%B5%20%D0%B3%D0%BE%D1%81%D1%83%D0%B4%D0%B0%D1%80%D1%81%D1%82%D0%B2%D0%B5%D0%BD%D0%BD%D0%BE%D0%B5%201965%20%D1%84%D0%B8%D0%BB%D1%8C%D0%BC","искать")</f>
        <v/>
      </c>
      <c r="N2109" s="3" t="n"/>
      <c r="O2109" s="2" t="n"/>
    </row>
    <row r="2110">
      <c r="A2110" s="2" t="n">
        <v>2109</v>
      </c>
      <c r="B2110" s="2" t="inlineStr">
        <is>
          <t>короткая</t>
        </is>
      </c>
      <c r="C2110" s="2" t="n">
        <v>11205</v>
      </c>
      <c r="D2110" s="3" t="inlineStr">
        <is>
          <t>Игра в детектив. Выпуск 2</t>
        </is>
      </c>
      <c r="E2110" s="2" t="n">
        <v>1988</v>
      </c>
      <c r="F2110" s="2" t="inlineStr">
        <is>
          <t>фильм-спектакль</t>
        </is>
      </c>
      <c r="G2110" s="2" t="inlineStr">
        <is>
          <t>Главная редакция литературно-драматических программ ЦТ</t>
        </is>
      </c>
      <c r="H2110" s="2" t="n">
        <v>160</v>
      </c>
      <c r="I2110" s="2" t="inlineStr"/>
      <c r="J2110" s="2" t="inlineStr"/>
      <c r="K2110" s="3" t="inlineStr">
        <is>
          <t>Второй выпуск из цикла "Игра в детектив". Постоянные персонажи цикла - Автор, Инспектор и Сержант - предлагают телезрителям отгадать четыре детективные загадки.</t>
        </is>
      </c>
      <c r="L2110" s="2" t="inlineStr">
        <is>
          <t>https://www.kino-teatr.ru/teatr/movie/80158/annot/</t>
        </is>
      </c>
      <c r="M2110" s="2">
        <f>HYPERLINK("https://ru.wikipedia.org/w/index.php?search=%D0%98%D0%B3%D1%80%D0%B0%20%D0%B2%20%D0%B4%D0%B5%D1%82%D0%B5%D0%BA%D1%82%D0%B8%D0%B2.%20%D0%92%D1%8B%D0%BF%D1%83%D1%81%D0%BA%202%201988%20%D1%84%D0%B8%D0%BB%D1%8C%D0%BC","искать")</f>
        <v/>
      </c>
      <c r="N2110" s="3" t="n"/>
      <c r="O2110" s="2" t="n"/>
    </row>
    <row r="2111">
      <c r="A2111" s="2" t="n">
        <v>2110</v>
      </c>
      <c r="B2111" s="2" t="inlineStr">
        <is>
          <t>короткая</t>
        </is>
      </c>
      <c r="C2111" s="2" t="n">
        <v>7498</v>
      </c>
      <c r="D2111" s="3" t="inlineStr">
        <is>
          <t>Денискины рассказы</t>
        </is>
      </c>
      <c r="E2111" s="2" t="n">
        <v>1970</v>
      </c>
      <c r="F2111" s="2" t="inlineStr">
        <is>
          <t>телефильм</t>
        </is>
      </c>
      <c r="G2111" s="2" t="n"/>
      <c r="H2111" s="2" t="n">
        <v>161</v>
      </c>
      <c r="I2111" s="2" t="inlineStr"/>
      <c r="J2111" s="2" t="inlineStr"/>
      <c r="K2111" s="3" t="inlineStr">
        <is>
          <t>Лента "Денискины рассказы" включает в себя четыре новеллы: "Школьный праздник", "Здоровая мысль", "Шляпа Гроссмейстера", и, наконец, "Двадцать лет под кроватью".</t>
        </is>
      </c>
      <c r="L2111" s="2" t="inlineStr">
        <is>
          <t>Кино_СССР сводный каталог.xlsx: список телефильмов</t>
        </is>
      </c>
      <c r="M2111" s="2">
        <f>HYPERLINK("https://ru.wikipedia.org/w/index.php?search=%D0%94%D0%B5%D0%BD%D0%B8%D1%81%D0%BA%D0%B8%D0%BD%D1%8B%20%D1%80%D0%B0%D1%81%D1%81%D0%BA%D0%B0%D0%B7%D1%8B%201970%20%D1%84%D0%B8%D0%BB%D1%8C%D0%BC","искать")</f>
        <v/>
      </c>
      <c r="N2111" s="3" t="n"/>
      <c r="O2111" s="2" t="n"/>
    </row>
    <row r="2112">
      <c r="A2112" s="2" t="n">
        <v>2111</v>
      </c>
      <c r="B2112" s="2" t="inlineStr">
        <is>
          <t>короткая</t>
        </is>
      </c>
      <c r="C2112" s="2" t="n">
        <v>8400</v>
      </c>
      <c r="D2112" s="3" t="inlineStr">
        <is>
          <t>Старые зурначи</t>
        </is>
      </c>
      <c r="E2112" s="2" t="n">
        <v>1972</v>
      </c>
      <c r="F2112" s="2" t="inlineStr">
        <is>
          <t>телефильм</t>
        </is>
      </c>
      <c r="G2112" s="2" t="n"/>
      <c r="H2112" s="2" t="n">
        <v>161</v>
      </c>
      <c r="I2112" s="2" t="inlineStr"/>
      <c r="J2112" s="2" t="inlineStr"/>
      <c r="K2112" s="3" t="inlineStr">
        <is>
          <t>Телефильм. О трех стариках-зурначах, стремящихся дарить свое искусство людям. В фильме принимает участие ансамбль зурначей "Соинари" под руководством Г.Ксоврели.</t>
        </is>
      </c>
      <c r="L2112" s="2" t="inlineStr">
        <is>
          <t>Кино_СССР сводный каталог.xlsx: список телефильмов</t>
        </is>
      </c>
      <c r="M2112" s="2">
        <f>HYPERLINK("https://ru.wikipedia.org/w/index.php?search=%D0%A1%D1%82%D0%B0%D1%80%D1%8B%D0%B5%20%D0%B7%D1%83%D1%80%D0%BD%D0%B0%D1%87%D0%B8%201972%20%D1%84%D0%B8%D0%BB%D1%8C%D0%BC","искать")</f>
        <v/>
      </c>
      <c r="N2112" s="3" t="n"/>
      <c r="O2112" s="2" t="n"/>
    </row>
    <row r="2113">
      <c r="A2113" s="2" t="n">
        <v>2112</v>
      </c>
      <c r="B2113" s="2" t="inlineStr">
        <is>
          <t>короткая</t>
        </is>
      </c>
      <c r="C2113" s="2" t="n">
        <v>10552</v>
      </c>
      <c r="D2113" s="3" t="inlineStr">
        <is>
          <t>Всадники на станции Роса</t>
        </is>
      </c>
      <c r="E2113" s="2" t="n">
        <v>1974</v>
      </c>
      <c r="F2113" s="2" t="inlineStr">
        <is>
          <t>фильм-спектакль</t>
        </is>
      </c>
      <c r="G2113" s="2" t="inlineStr">
        <is>
          <t>Детская телестуди "Орлёнок" при Главной редакциии программ для детей и юношества ЦТ</t>
        </is>
      </c>
      <c r="H2113" s="2" t="n">
        <v>161</v>
      </c>
      <c r="I2113" s="2" t="inlineStr"/>
      <c r="J2113" s="2" t="inlineStr"/>
      <c r="K2113" s="3" t="inlineStr">
        <is>
          <t>По одноименной повести Владислава Крапивина.
Телевизионный спектакль о том, как Сергей Каховский встретил настоящих друзей, которые помогли ему в трудную минуту.</t>
        </is>
      </c>
      <c r="L2113" s="2" t="inlineStr">
        <is>
          <t>https://www.kino-teatr.ru/teatr/movie/79307/annot/</t>
        </is>
      </c>
      <c r="M2113" s="2">
        <f>HYPERLINK("https://ru.wikipedia.org/w/index.php?search=%D0%92%D1%81%D0%B0%D0%B4%D0%BD%D0%B8%D0%BA%D0%B8%20%D0%BD%D0%B0%20%D1%81%D1%82%D0%B0%D0%BD%D1%86%D0%B8%D0%B8%20%D0%A0%D0%BE%D1%81%D0%B0%201974%20%D1%84%D0%B8%D0%BB%D1%8C%D0%BC","искать")</f>
        <v/>
      </c>
      <c r="N2113" s="3" t="n"/>
      <c r="O2113" s="2" t="n"/>
    </row>
    <row r="2114">
      <c r="A2114" s="2" t="n">
        <v>2113</v>
      </c>
      <c r="B2114" s="2" t="inlineStr">
        <is>
          <t>короткая</t>
        </is>
      </c>
      <c r="C2114" s="2" t="n">
        <v>8191</v>
      </c>
      <c r="D2114" s="3" t="inlineStr">
        <is>
          <t>Преодолей себя</t>
        </is>
      </c>
      <c r="E2114" s="2" t="n">
        <v>1975</v>
      </c>
      <c r="F2114" s="2" t="inlineStr">
        <is>
          <t>телефильм</t>
        </is>
      </c>
      <c r="G2114" s="2" t="n"/>
      <c r="H2114" s="2" t="n">
        <v>162</v>
      </c>
      <c r="I2114" s="2" t="inlineStr"/>
      <c r="J2114" s="2" t="inlineStr"/>
      <c r="K2114" s="3" t="inlineStr">
        <is>
          <t>По мотивам романа Мирмухсина “Умид”. О молодом учёном-селекционере Умиде Рустамове, работающем над выведением сортов хлопчатника, невосприимчивого к заболеваниям.</t>
        </is>
      </c>
      <c r="L2114" s="2" t="inlineStr">
        <is>
          <t>Кино_СССР сводный каталог.xlsx: список телефильмов</t>
        </is>
      </c>
      <c r="M2114" s="2">
        <f>HYPERLINK("https://ru.wikipedia.org/w/index.php?search=%D0%9F%D1%80%D0%B5%D0%BE%D0%B4%D0%BE%D0%BB%D0%B5%D0%B9%20%D1%81%D0%B5%D0%B1%D1%8F%201975%20%D1%84%D0%B8%D0%BB%D1%8C%D0%BC","искать")</f>
        <v/>
      </c>
      <c r="N2114" s="3" t="n"/>
      <c r="O2114" s="2" t="n"/>
    </row>
    <row r="2115">
      <c r="A2115" s="2" t="n">
        <v>2114</v>
      </c>
      <c r="B2115" s="2" t="inlineStr">
        <is>
          <t>короткая</t>
        </is>
      </c>
      <c r="C2115" s="2" t="n">
        <v>9293</v>
      </c>
      <c r="D2115" s="3" t="inlineStr">
        <is>
          <t>Вы чьё, старичьё?</t>
        </is>
      </c>
      <c r="E2115" s="2" t="n">
        <v>1988</v>
      </c>
      <c r="F2115" s="2" t="inlineStr">
        <is>
          <t>кинофильм</t>
        </is>
      </c>
      <c r="G2115" s="2" t="n"/>
      <c r="H2115" s="2" t="n">
        <v>162</v>
      </c>
      <c r="I2115" s="2" t="inlineStr"/>
      <c r="J2115" s="2" t="inlineStr"/>
      <c r="K2115" s="3" t="inlineStr">
        <is>
          <t>По одноименной повести Бориса Васильева. Трогательный рассказ о двух неприкаянных одиноких стариках, в одиночестве доживающих свои дни в богом забытой деревеньке.</t>
        </is>
      </c>
      <c r="L2115" s="2" t="inlineStr">
        <is>
          <t>Кино_СССР сводный каталог.xlsx: список фильмов (доп.)</t>
        </is>
      </c>
      <c r="M2115" s="2">
        <f>HYPERLINK("https://ru.wikipedia.org/w/index.php?search=%D0%92%D1%8B%20%D1%87%D1%8C%D1%91%2C%20%D1%81%D1%82%D0%B0%D1%80%D0%B8%D1%87%D1%8C%D1%91%3F%201988%20%D1%84%D0%B8%D0%BB%D1%8C%D0%BC","искать")</f>
        <v/>
      </c>
      <c r="N2115" s="3" t="n"/>
      <c r="O2115" s="2" t="n"/>
    </row>
    <row r="2116">
      <c r="A2116" s="2" t="n">
        <v>2115</v>
      </c>
      <c r="B2116" s="2" t="inlineStr">
        <is>
          <t>короткая</t>
        </is>
      </c>
      <c r="C2116" s="2" t="n">
        <v>9898</v>
      </c>
      <c r="D2116" s="3" t="inlineStr">
        <is>
          <t>У самого синего неба</t>
        </is>
      </c>
      <c r="E2116" s="2" t="n">
        <v>1972</v>
      </c>
      <c r="F2116" s="2" t="inlineStr">
        <is>
          <t>телефильм</t>
        </is>
      </c>
      <c r="G2116" s="2" t="inlineStr">
        <is>
          <t>Узбектелефильм</t>
        </is>
      </c>
      <c r="H2116" s="2" t="n">
        <v>162</v>
      </c>
      <c r="I2116" s="2" t="inlineStr"/>
      <c r="J2116" s="2" t="inlineStr"/>
      <c r="K2116" s="3" t="inlineStr">
        <is>
          <t>Мальчик Искандер первым узнает о гибели отца на фронте и скрывает это от матери, оберегя ее. Он черпает силу а дружбе с Рано и Игорем, у которого тоже погиб отец.</t>
        </is>
      </c>
      <c r="L2116" s="2" t="inlineStr">
        <is>
          <t>https://www.kino-teatr.ru/short/movie/sov/92733/annot/</t>
        </is>
      </c>
      <c r="M2116" s="2">
        <f>HYPERLINK("https://ru.wikipedia.org/w/index.php?search=%D0%A3%20%D1%81%D0%B0%D0%BC%D0%BE%D0%B3%D0%BE%20%D1%81%D0%B8%D0%BD%D0%B5%D0%B3%D0%BE%20%D0%BD%D0%B5%D0%B1%D0%B0%201972%20%D1%84%D0%B8%D0%BB%D1%8C%D0%BC","искать")</f>
        <v/>
      </c>
      <c r="N2116" s="3" t="n"/>
      <c r="O2116" s="2" t="n"/>
    </row>
    <row r="2117">
      <c r="A2117" s="2" t="n">
        <v>2116</v>
      </c>
      <c r="B2117" s="2" t="inlineStr">
        <is>
          <t>короткая</t>
        </is>
      </c>
      <c r="C2117" s="2" t="n">
        <v>8397</v>
      </c>
      <c r="D2117" s="3" t="inlineStr">
        <is>
          <t>Старики, старики...</t>
        </is>
      </c>
      <c r="E2117" s="2" t="n">
        <v>1982</v>
      </c>
      <c r="F2117" s="2" t="inlineStr">
        <is>
          <t>телефильм</t>
        </is>
      </c>
      <c r="G2117" s="2" t="n"/>
      <c r="H2117" s="2" t="n">
        <v>163</v>
      </c>
      <c r="I2117" s="2" t="inlineStr"/>
      <c r="J2117" s="2" t="inlineStr"/>
      <c r="K2117" s="3" t="inlineStr">
        <is>
          <t>Телефильм по мотивам повести А.Муганлы. Фильм повествует о старике, вышедшем на пенсию, не сумевшем приспособиться к городской жизни и о его возвращении в деревню.</t>
        </is>
      </c>
      <c r="L2117" s="2" t="inlineStr">
        <is>
          <t>Кино_СССР сводный каталог.xlsx: список телефильмов</t>
        </is>
      </c>
      <c r="M2117" s="2">
        <f>HYPERLINK("https://ru.wikipedia.org/w/index.php?search=%D0%A1%D1%82%D0%B0%D1%80%D0%B8%D0%BA%D0%B8%2C%20%D1%81%D1%82%D0%B0%D1%80%D0%B8%D0%BA%D0%B8...%201982%20%D1%84%D0%B8%D0%BB%D1%8C%D0%BC","искать")</f>
        <v/>
      </c>
      <c r="N2117" s="3" t="n"/>
      <c r="O2117" s="2" t="n"/>
    </row>
    <row r="2118">
      <c r="A2118" s="2" t="n">
        <v>2117</v>
      </c>
      <c r="B2118" s="2" t="inlineStr">
        <is>
          <t>короткая</t>
        </is>
      </c>
      <c r="C2118" s="2" t="n">
        <v>8537</v>
      </c>
      <c r="D2118" s="3" t="inlineStr">
        <is>
          <t>Цыган</t>
        </is>
      </c>
      <c r="E2118" s="2" t="n">
        <v>1979</v>
      </c>
      <c r="F2118" s="2" t="inlineStr">
        <is>
          <t>телефильм</t>
        </is>
      </c>
      <c r="G2118" s="2" t="inlineStr">
        <is>
          <t>Одесская киностудия</t>
        </is>
      </c>
      <c r="H2118" s="2" t="n">
        <v>163</v>
      </c>
      <c r="I2118" s="2" t="inlineStr"/>
      <c r="J2118" s="2" t="inlineStr"/>
      <c r="K2118" s="3" t="inlineStr">
        <is>
          <t>По одноименному роману Анатолия Калинина. Телесериал о судьбе цыгана Будулая, о его странствиях в поисках счастья, о любви к русской женщине, воспитавшей его сына.</t>
        </is>
      </c>
      <c r="L2118" s="2" t="inlineStr">
        <is>
          <t>Кино_СССР сводный каталог.xlsx: список телефильмов</t>
        </is>
      </c>
      <c r="M2118" s="2">
        <f>HYPERLINK("https://ru.wikipedia.org/w/index.php?search=%D0%A6%D1%8B%D0%B3%D0%B0%D0%BD%201979%20%D1%84%D0%B8%D0%BB%D1%8C%D0%BC","искать")</f>
        <v/>
      </c>
      <c r="N2118" s="3" t="n"/>
      <c r="O2118" s="2" t="n"/>
    </row>
    <row r="2119">
      <c r="A2119" s="2" t="n">
        <v>2118</v>
      </c>
      <c r="B2119" s="2" t="inlineStr">
        <is>
          <t>короткая</t>
        </is>
      </c>
      <c r="C2119" s="2" t="n">
        <v>8798</v>
      </c>
      <c r="D2119" s="3" t="inlineStr">
        <is>
          <t>Лифт для промежуточного человека</t>
        </is>
      </c>
      <c r="E2119" s="2" t="n">
        <v>1990</v>
      </c>
      <c r="F2119" s="2" t="inlineStr">
        <is>
          <t>кинофильм</t>
        </is>
      </c>
      <c r="G2119" s="2" t="n"/>
      <c r="H2119" s="2" t="n">
        <v>163</v>
      </c>
      <c r="I2119" s="2" t="inlineStr"/>
      <c r="J2119" s="2" t="inlineStr"/>
      <c r="K2119" s="3" t="inlineStr">
        <is>
          <t>Кандидат экономических наук Геннадий Дубровин решает купить дом в деревне. На его пути встречается совхозный бригадир Федька, который и продает ему свою развалюху.</t>
        </is>
      </c>
      <c r="L2119" s="2" t="inlineStr">
        <is>
          <t>Кино_СССР сводный каталог.xlsx: список фильмов (доп.)</t>
        </is>
      </c>
      <c r="M2119" s="2">
        <f>HYPERLINK("https://ru.wikipedia.org/w/index.php?search=%D0%9B%D0%B8%D1%84%D1%82%20%D0%B4%D0%BB%D1%8F%20%D0%BF%D1%80%D0%BE%D0%BC%D0%B5%D0%B6%D1%83%D1%82%D0%BE%D1%87%D0%BD%D0%BE%D0%B3%D0%BE%20%D1%87%D0%B5%D0%BB%D0%BE%D0%B2%D0%B5%D0%BA%D0%B0%201990%20%D1%84%D0%B8%D0%BB%D1%8C%D0%BC","искать")</f>
        <v/>
      </c>
      <c r="N2119" s="3" t="n"/>
      <c r="O2119" s="2" t="n"/>
    </row>
    <row r="2120">
      <c r="A2120" s="2" t="n">
        <v>2119</v>
      </c>
      <c r="B2120" s="2" t="inlineStr">
        <is>
          <t>короткая</t>
        </is>
      </c>
      <c r="C2120" s="2" t="n">
        <v>8818</v>
      </c>
      <c r="D2120" s="3" t="inlineStr">
        <is>
          <t>Маманты-папанты. Лохматое шоу</t>
        </is>
      </c>
      <c r="E2120" s="2" t="n">
        <v>1991</v>
      </c>
      <c r="F2120" s="2" t="inlineStr">
        <is>
          <t>кинофильм</t>
        </is>
      </c>
      <c r="G2120" s="2" t="n"/>
      <c r="H2120" s="2" t="n">
        <v>164</v>
      </c>
      <c r="I2120" s="2" t="inlineStr"/>
      <c r="J2120" s="2" t="inlineStr"/>
      <c r="K2120" s="3" t="inlineStr">
        <is>
          <t>"Маманты" и "папанты" - это родители маленьких шимпанзе, кенгуру, жирафов, питонов, медведей и всех тех симпатяг, с которыми работает в цирке мама трехлетней Алисы.</t>
        </is>
      </c>
      <c r="L2120" s="2" t="inlineStr">
        <is>
          <t>Кино_СССР сводный каталог.xlsx: список фильмов (доп.)</t>
        </is>
      </c>
      <c r="M2120" s="2">
        <f>HYPERLINK("https://ru.wikipedia.org/w/index.php?search=%D0%9C%D0%B0%D0%BC%D0%B0%D0%BD%D1%82%D1%8B-%D0%BF%D0%B0%D0%BF%D0%B0%D0%BD%D1%82%D1%8B.%20%D0%9B%D0%BE%D1%85%D0%BC%D0%B0%D1%82%D0%BE%D0%B5%20%D1%88%D0%BE%D1%83%201991%20%D1%84%D0%B8%D0%BB%D1%8C%D0%BC","искать")</f>
        <v/>
      </c>
      <c r="N2120" s="3" t="n"/>
      <c r="O2120" s="2" t="n"/>
    </row>
    <row r="2121">
      <c r="A2121" s="2" t="n">
        <v>2120</v>
      </c>
      <c r="B2121" s="2" t="inlineStr">
        <is>
          <t>короткая</t>
        </is>
      </c>
      <c r="C2121" s="2" t="n">
        <v>9821</v>
      </c>
      <c r="D2121" s="3" t="inlineStr">
        <is>
          <t>Лестница</t>
        </is>
      </c>
      <c r="E2121" s="2" t="n">
        <v>1962</v>
      </c>
      <c r="F2121" s="2" t="inlineStr">
        <is>
          <t>кинофильм</t>
        </is>
      </c>
      <c r="G2121" s="2" t="inlineStr">
        <is>
          <t>учебная студия ВГИК</t>
        </is>
      </c>
      <c r="H2121" s="2" t="n">
        <v>164</v>
      </c>
      <c r="I2121" s="2" t="inlineStr"/>
      <c r="J2121" s="2" t="inlineStr"/>
      <c r="K2121" s="3" t="inlineStr">
        <is>
          <t>Режиссерский дебют Эдмонда Кеосаяна.
Героиня ждет письмо и спускается к почтовому ящику по лестнице. В небольшом этюде показана картина целой жизни молодой девушки.</t>
        </is>
      </c>
      <c r="L2121" s="2" t="inlineStr">
        <is>
          <t>https://www.kino-teatr.ru/short/movie/sov/15889/annot/</t>
        </is>
      </c>
      <c r="M2121" s="2">
        <f>HYPERLINK("https://ru.wikipedia.org/w/index.php?search=%D0%9B%D0%B5%D1%81%D1%82%D0%BD%D0%B8%D1%86%D0%B0%201962%20%D1%84%D0%B8%D0%BB%D1%8C%D0%BC","искать")</f>
        <v/>
      </c>
      <c r="N2121" s="3" t="n"/>
      <c r="O2121" s="2" t="n"/>
    </row>
    <row r="2122">
      <c r="A2122" s="2" t="n">
        <v>2121</v>
      </c>
      <c r="B2122" s="2" t="inlineStr">
        <is>
          <t>короткая</t>
        </is>
      </c>
      <c r="C2122" s="2" t="n">
        <v>9950</v>
      </c>
      <c r="D2122" s="3" t="inlineStr">
        <is>
          <t>Глубокие родственники</t>
        </is>
      </c>
      <c r="E2122" s="2" t="n">
        <v>1980</v>
      </c>
      <c r="F2122" s="2" t="inlineStr">
        <is>
          <t>кинофильм</t>
        </is>
      </c>
      <c r="G2122" s="2" t="inlineStr">
        <is>
          <t>Одесская киностудия</t>
        </is>
      </c>
      <c r="H2122" s="2" t="n">
        <v>164</v>
      </c>
      <c r="I2122" s="2" t="inlineStr"/>
      <c r="J2122" s="2" t="inlineStr"/>
      <c r="K2122" s="3" t="inlineStr">
        <is>
          <t>В основе сюжета - комическая ситуация, сложившаяся между мужем и женой (оба мечтают о новой семье), которая находит свое благополучное разрешение в новогоднюю ночь.</t>
        </is>
      </c>
      <c r="L2122" s="2" t="inlineStr">
        <is>
          <t>https://www.kino-teatr.ru/short/movie/sov/1387/annot/</t>
        </is>
      </c>
      <c r="M2122" s="2">
        <f>HYPERLINK("https://ru.wikipedia.org/w/index.php?search=%D0%93%D0%BB%D1%83%D0%B1%D0%BE%D0%BA%D0%B8%D0%B5%20%D1%80%D0%BE%D0%B4%D1%81%D1%82%D0%B2%D0%B5%D0%BD%D0%BD%D0%B8%D0%BA%D0%B8%201980%20%D1%84%D0%B8%D0%BB%D1%8C%D0%BC","искать")</f>
        <v/>
      </c>
      <c r="N2122" s="3" t="n"/>
      <c r="O2122" s="2" t="n"/>
    </row>
    <row r="2123">
      <c r="A2123" s="2" t="n">
        <v>2122</v>
      </c>
      <c r="B2123" s="2" t="inlineStr">
        <is>
          <t>короткая</t>
        </is>
      </c>
      <c r="C2123" s="2" t="n">
        <v>10905</v>
      </c>
      <c r="D2123" s="3" t="inlineStr">
        <is>
          <t>Про Ивана-не-Великана</t>
        </is>
      </c>
      <c r="E2123" s="2" t="n">
        <v>1981</v>
      </c>
      <c r="F2123" s="2" t="inlineStr">
        <is>
          <t>фильм-спектакль</t>
        </is>
      </c>
      <c r="G2123" s="2" t="inlineStr">
        <is>
          <t>Центральное телевидение</t>
        </is>
      </c>
      <c r="H2123" s="2" t="n">
        <v>164</v>
      </c>
      <c r="I2123" s="2" t="inlineStr"/>
      <c r="J2123" s="2" t="inlineStr"/>
      <c r="K2123" s="3" t="inlineStr">
        <is>
          <t>По одноименной сказке Вадима Коростылева в постановке Государственного академического театра имени Евг. Вахтангова.
О том, как Иван-не-Великан победил злое Чудовище</t>
        </is>
      </c>
      <c r="L2123" s="2" t="inlineStr">
        <is>
          <t>https://www.kino-teatr.ru/teatr/movie/93023/annot/</t>
        </is>
      </c>
      <c r="M2123" s="2">
        <f>HYPERLINK("https://ru.wikipedia.org/w/index.php?search=%D0%9F%D1%80%D0%BE%20%D0%98%D0%B2%D0%B0%D0%BD%D0%B0-%D0%BD%D0%B5-%D0%92%D0%B5%D0%BB%D0%B8%D0%BA%D0%B0%D0%BD%D0%B0%201981%20%D1%84%D0%B8%D0%BB%D1%8C%D0%BC","искать")</f>
        <v/>
      </c>
      <c r="N2123" s="3" t="n"/>
      <c r="O2123" s="2" t="n"/>
    </row>
    <row r="2124">
      <c r="A2124" s="2" t="n">
        <v>2123</v>
      </c>
      <c r="B2124" s="2" t="inlineStr">
        <is>
          <t>короткая</t>
        </is>
      </c>
      <c r="C2124" s="2" t="n">
        <v>8502</v>
      </c>
      <c r="D2124" s="3" t="inlineStr">
        <is>
          <t>Уполномочен революцией</t>
        </is>
      </c>
      <c r="E2124" s="2" t="n">
        <v>1987</v>
      </c>
      <c r="F2124" s="2" t="inlineStr">
        <is>
          <t>телефильм</t>
        </is>
      </c>
      <c r="G2124" s="2" t="n"/>
      <c r="H2124" s="2" t="n">
        <v>165</v>
      </c>
      <c r="I2124" s="2" t="inlineStr"/>
      <c r="J2124" s="2" t="inlineStr"/>
      <c r="K2124" s="3" t="inlineStr">
        <is>
          <t>Туркестан. 1919 год. Видный большевик Валериан Куйбышев назначен командующим Туркестанским фронтом. Фильм рассказывает о становлении Советской власти в Средней Азии.</t>
        </is>
      </c>
      <c r="L2124" s="2" t="inlineStr">
        <is>
          <t>Кино_СССР сводный каталог.xlsx: список телефильмов</t>
        </is>
      </c>
      <c r="M2124" s="2">
        <f>HYPERLINK("https://ru.wikipedia.org/w/index.php?search=%D0%A3%D0%BF%D0%BE%D0%BB%D0%BD%D0%BE%D0%BC%D0%BE%D1%87%D0%B5%D0%BD%20%D1%80%D0%B5%D0%B2%D0%BE%D0%BB%D1%8E%D1%86%D0%B8%D0%B5%D0%B9%201987%20%D1%84%D0%B8%D0%BB%D1%8C%D0%BC","искать")</f>
        <v/>
      </c>
      <c r="N2124" s="3" t="n"/>
      <c r="O2124" s="2" t="n"/>
    </row>
    <row r="2125">
      <c r="A2125" s="2" t="n">
        <v>2124</v>
      </c>
      <c r="B2125" s="2" t="inlineStr">
        <is>
          <t>короткая</t>
        </is>
      </c>
      <c r="C2125" s="2" t="n">
        <v>9168</v>
      </c>
      <c r="D2125" s="3" t="inlineStr">
        <is>
          <t>Шаги</t>
        </is>
      </c>
      <c r="E2125" s="2" t="n">
        <v>1962</v>
      </c>
      <c r="F2125" s="2" t="inlineStr">
        <is>
          <t>кинофильм</t>
        </is>
      </c>
      <c r="G2125" s="2" t="n"/>
      <c r="H2125" s="2" t="n">
        <v>165</v>
      </c>
      <c r="I2125" s="2" t="inlineStr"/>
      <c r="J2125" s="2" t="inlineStr"/>
      <c r="K2125" s="3" t="inlineStr">
        <is>
          <t>Драма по мотивам одноименной радиопьесы Арди Лийвеса. Главные герои – журналист и врач. Их встреча воскрешает воспоминания минувшей войны, где переплелись их судьбы.</t>
        </is>
      </c>
      <c r="L2125" s="2" t="inlineStr">
        <is>
          <t>Кино_СССР сводный каталог.xlsx: список фильмов (доп.)</t>
        </is>
      </c>
      <c r="M2125" s="2">
        <f>HYPERLINK("https://ru.wikipedia.org/w/index.php?search=%D0%A8%D0%B0%D0%B3%D0%B8%201962%20%D1%84%D0%B8%D0%BB%D1%8C%D0%BC","искать")</f>
        <v/>
      </c>
      <c r="N2125" s="3" t="n"/>
      <c r="O2125" s="2" t="n"/>
    </row>
    <row r="2126">
      <c r="A2126" s="2" t="n">
        <v>2125</v>
      </c>
      <c r="B2126" s="2" t="inlineStr">
        <is>
          <t>короткая</t>
        </is>
      </c>
      <c r="C2126" s="2" t="n">
        <v>9851</v>
      </c>
      <c r="D2126" s="3" t="inlineStr">
        <is>
          <t>Папина жена</t>
        </is>
      </c>
      <c r="E2126" s="2" t="n">
        <v>1968</v>
      </c>
      <c r="F2126" s="2" t="inlineStr">
        <is>
          <t>телефильм</t>
        </is>
      </c>
      <c r="G2126" s="2" t="inlineStr">
        <is>
          <t>Творческое объединение "Телефильм"</t>
        </is>
      </c>
      <c r="H2126" s="2" t="n">
        <v>165</v>
      </c>
      <c r="I2126" s="2" t="inlineStr"/>
      <c r="J2126" s="2" t="inlineStr"/>
      <c r="K2126" s="3" t="inlineStr">
        <is>
          <t>В жизни маленького мальчика Андрюши, живущего с тетей, появляется новая мама.
Какими будут их взаимоотношения и найдут ли общий язык папина жена и его маленький сын.</t>
        </is>
      </c>
      <c r="L2126" s="2" t="inlineStr">
        <is>
          <t>https://www.kino-teatr.ru/short/movie/sov/113673/annot/</t>
        </is>
      </c>
      <c r="M2126" s="2">
        <f>HYPERLINK("https://ru.wikipedia.org/w/index.php?search=%D0%9F%D0%B0%D0%BF%D0%B8%D0%BD%D0%B0%20%D0%B6%D0%B5%D0%BD%D0%B0%201968%20%D1%84%D0%B8%D0%BB%D1%8C%D0%BC","искать")</f>
        <v/>
      </c>
      <c r="N2126" s="3" t="n"/>
      <c r="O2126" s="2" t="n"/>
    </row>
    <row r="2127">
      <c r="A2127" s="2" t="n">
        <v>2126</v>
      </c>
      <c r="B2127" s="2" t="inlineStr">
        <is>
          <t>короткая</t>
        </is>
      </c>
      <c r="C2127" s="2" t="n">
        <v>7293</v>
      </c>
      <c r="D2127" s="3" t="inlineStr">
        <is>
          <t>В знак протеста!</t>
        </is>
      </c>
      <c r="E2127" s="2" t="n">
        <v>1989</v>
      </c>
      <c r="F2127" s="2" t="inlineStr">
        <is>
          <t>телефильм</t>
        </is>
      </c>
      <c r="G2127" s="2" t="inlineStr">
        <is>
          <t>Одесская к/с</t>
        </is>
      </c>
      <c r="H2127" s="2" t="n">
        <v>166</v>
      </c>
      <c r="I2127" s="2" t="inlineStr"/>
      <c r="J2127" s="2" t="inlineStr"/>
      <c r="K2127" s="3" t="inlineStr">
        <is>
          <t>В центре повествования история взаимоотношений работников станции технического обслуживания и незадачливого клиента, который потерял надежду получить свой автомобиль.</t>
        </is>
      </c>
      <c r="L2127" s="2" t="inlineStr">
        <is>
          <t>Кино_СССР сводный каталог.xlsx: список телефильмов</t>
        </is>
      </c>
      <c r="M2127" s="2">
        <f>HYPERLINK("https://ru.wikipedia.org/w/index.php?search=%D0%92%20%D0%B7%D0%BD%D0%B0%D0%BA%20%D0%BF%D1%80%D0%BE%D1%82%D0%B5%D1%81%D1%82%D0%B0%21%201989%20%D1%84%D0%B8%D0%BB%D1%8C%D0%BC","искать")</f>
        <v/>
      </c>
      <c r="N2127" s="3" t="n"/>
      <c r="O2127" s="2" t="n"/>
    </row>
    <row r="2128">
      <c r="A2128" s="2" t="n">
        <v>2127</v>
      </c>
      <c r="B2128" s="2" t="inlineStr">
        <is>
          <t>короткая</t>
        </is>
      </c>
      <c r="C2128" s="2" t="n">
        <v>7615</v>
      </c>
      <c r="D2128" s="3" t="inlineStr">
        <is>
          <t>За синими ночами</t>
        </is>
      </c>
      <c r="E2128" s="2" t="n">
        <v>1983</v>
      </c>
      <c r="F2128" s="2" t="inlineStr">
        <is>
          <t>телефильм</t>
        </is>
      </c>
      <c r="G2128" s="2" t="n"/>
      <c r="H2128" s="2" t="n">
        <v>166</v>
      </c>
      <c r="I2128" s="2" t="inlineStr"/>
      <c r="J2128" s="2" t="inlineStr"/>
      <c r="K2128" s="3" t="inlineStr">
        <is>
          <t>Телефильм по одноименной повести В.Еременко. Действие фильма происходит на строительстве газопровода. В основе сюжета - конфликт между строителями и проектировщиками.</t>
        </is>
      </c>
      <c r="L2128" s="2" t="inlineStr">
        <is>
          <t>Кино_СССР сводный каталог.xlsx: список телефильмов</t>
        </is>
      </c>
      <c r="M2128" s="2">
        <f>HYPERLINK("https://ru.wikipedia.org/w/index.php?search=%D0%97%D0%B0%20%D1%81%D0%B8%D0%BD%D0%B8%D0%BC%D0%B8%20%D0%BD%D0%BE%D1%87%D0%B0%D0%BC%D0%B8%201983%20%D1%84%D0%B8%D0%BB%D1%8C%D0%BC","искать")</f>
        <v/>
      </c>
      <c r="N2128" s="3" t="n"/>
      <c r="O2128" s="2" t="n"/>
    </row>
    <row r="2129">
      <c r="A2129" s="2" t="n">
        <v>2128</v>
      </c>
      <c r="B2129" s="2" t="inlineStr">
        <is>
          <t>короткая</t>
        </is>
      </c>
      <c r="C2129" s="2" t="n">
        <v>7932</v>
      </c>
      <c r="D2129" s="3" t="inlineStr">
        <is>
          <t>На крутизне</t>
        </is>
      </c>
      <c r="E2129" s="2" t="n">
        <v>1985</v>
      </c>
      <c r="F2129" s="2" t="inlineStr">
        <is>
          <t>телефильм</t>
        </is>
      </c>
      <c r="G2129" s="2" t="n"/>
      <c r="H2129" s="2" t="n">
        <v>166</v>
      </c>
      <c r="I2129" s="2" t="inlineStr"/>
      <c r="J2129" s="2" t="inlineStr"/>
      <c r="K2129" s="3" t="inlineStr">
        <is>
          <t>Телесериал по одноименному роману Константина Басенко. О становлении Советской власти на Украине, борьбе чекистов с бандами националистов. Время действия — 20-е годы.</t>
        </is>
      </c>
      <c r="L2129" s="2" t="inlineStr">
        <is>
          <t>Кино_СССР сводный каталог.xlsx: список телефильмов</t>
        </is>
      </c>
      <c r="M2129" s="2">
        <f>HYPERLINK("https://ru.wikipedia.org/w/index.php?search=%D0%9D%D0%B0%20%D0%BA%D1%80%D1%83%D1%82%D0%B8%D0%B7%D0%BD%D0%B5%201985%20%D1%84%D0%B8%D0%BB%D1%8C%D0%BC","искать")</f>
        <v/>
      </c>
      <c r="N2129" s="3" t="n"/>
      <c r="O2129" s="2" t="n"/>
    </row>
    <row r="2130">
      <c r="A2130" s="2" t="n">
        <v>2129</v>
      </c>
      <c r="B2130" s="2" t="inlineStr">
        <is>
          <t>короткая</t>
        </is>
      </c>
      <c r="C2130" s="2" t="n">
        <v>10037</v>
      </c>
      <c r="D2130" s="3" t="inlineStr">
        <is>
          <t>Воскресный день</t>
        </is>
      </c>
      <c r="E2130" s="2" t="n">
        <v>1989</v>
      </c>
      <c r="F2130" s="2" t="inlineStr">
        <is>
          <t>кинофильм</t>
        </is>
      </c>
      <c r="G2130" s="2" t="inlineStr">
        <is>
          <t>Грузия-фильм</t>
        </is>
      </c>
      <c r="H2130" s="2" t="n">
        <v>166</v>
      </c>
      <c r="I2130" s="2" t="inlineStr"/>
      <c r="J2130" s="2" t="inlineStr"/>
      <c r="K2130" s="3" t="inlineStr">
        <is>
          <t>კვირა დღე
Киноновелла об одном дне молодого человека. О его неожиданных встречах, общении с друзьями и обо всем том, что окружало юношу в то чудесное воскресное утро.</t>
        </is>
      </c>
      <c r="L2130" s="2" t="inlineStr">
        <is>
          <t>https://www.kino-teatr.ru/short/movie/sov/84589/annot/</t>
        </is>
      </c>
      <c r="M2130" s="2">
        <f>HYPERLINK("https://ru.wikipedia.org/w/index.php?search=%D0%92%D0%BE%D1%81%D0%BA%D1%80%D0%B5%D1%81%D0%BD%D1%8B%D0%B9%20%D0%B4%D0%B5%D0%BD%D1%8C%201989%20%D1%84%D0%B8%D0%BB%D1%8C%D0%BC","искать")</f>
        <v/>
      </c>
      <c r="N2130" s="3" t="n"/>
      <c r="O2130" s="2" t="n"/>
    </row>
    <row r="2131">
      <c r="A2131" s="2" t="n">
        <v>2130</v>
      </c>
      <c r="B2131" s="2" t="inlineStr">
        <is>
          <t>короткая</t>
        </is>
      </c>
      <c r="C2131" s="2" t="n">
        <v>7852</v>
      </c>
      <c r="D2131" s="3" t="inlineStr">
        <is>
          <t>Маршал революции</t>
        </is>
      </c>
      <c r="E2131" s="2" t="n">
        <v>1978</v>
      </c>
      <c r="F2131" s="2" t="inlineStr">
        <is>
          <t>телефильм</t>
        </is>
      </c>
      <c r="G2131" s="2" t="n"/>
      <c r="H2131" s="2" t="n">
        <v>167</v>
      </c>
      <c r="I2131" s="2" t="inlineStr"/>
      <c r="J2131" s="2" t="inlineStr"/>
      <c r="K2131" s="3" t="inlineStr">
        <is>
          <t>О военачальнике Красной армии, революционере М.В.Фрунзе. Фильм охватывает период с октября по декабрь 1920 года, взятие Перекопа и окончательный разгром армии Врангеля</t>
        </is>
      </c>
      <c r="L2131" s="2" t="inlineStr">
        <is>
          <t>Кино_СССР сводный каталог.xlsx: список телефильмов</t>
        </is>
      </c>
      <c r="M2131" s="2">
        <f>HYPERLINK("https://ru.wikipedia.org/w/index.php?search=%D0%9C%D0%B0%D1%80%D1%88%D0%B0%D0%BB%20%D1%80%D0%B5%D0%B2%D0%BE%D0%BB%D1%8E%D1%86%D0%B8%D0%B8%201978%20%D1%84%D0%B8%D0%BB%D1%8C%D0%BC","искать")</f>
        <v/>
      </c>
      <c r="N2131" s="3" t="n"/>
      <c r="O2131" s="2" t="n"/>
    </row>
    <row r="2132">
      <c r="A2132" s="2" t="n">
        <v>2131</v>
      </c>
      <c r="B2132" s="2" t="inlineStr">
        <is>
          <t>короткая</t>
        </is>
      </c>
      <c r="C2132" s="2" t="n">
        <v>9410</v>
      </c>
      <c r="D2132" s="3" t="inlineStr">
        <is>
          <t>Караул</t>
        </is>
      </c>
      <c r="E2132" s="2" t="n">
        <v>1989</v>
      </c>
      <c r="F2132" s="2" t="inlineStr">
        <is>
          <t>кинофильм</t>
        </is>
      </c>
      <c r="G2132" s="2" t="n"/>
      <c r="H2132" s="2" t="n">
        <v>167</v>
      </c>
      <c r="I2132" s="2" t="inlineStr"/>
      <c r="J2132" s="2" t="inlineStr"/>
      <c r="K2132" s="3" t="inlineStr">
        <is>
          <t>Картина о дедовщине в армии, снятая по материалам реального уголовного дела, когда молодой солдат внутренних войск в поезде для перевозки зеков расстрелял весь караул.</t>
        </is>
      </c>
      <c r="L2132" s="2" t="inlineStr">
        <is>
          <t>Кино_СССР сводный каталог.xlsx: список фильмов (доп.)</t>
        </is>
      </c>
      <c r="M2132" s="2">
        <f>HYPERLINK("https://ru.wikipedia.org/w/index.php?search=%D0%9A%D0%B0%D1%80%D0%B0%D1%83%D0%BB%201989%20%D1%84%D0%B8%D0%BB%D1%8C%D0%BC","искать")</f>
        <v/>
      </c>
      <c r="N2132" s="3" t="n"/>
      <c r="O2132" s="2" t="n"/>
    </row>
    <row r="2133">
      <c r="A2133" s="2" t="n">
        <v>2132</v>
      </c>
      <c r="B2133" s="2" t="inlineStr">
        <is>
          <t>короткая</t>
        </is>
      </c>
      <c r="C2133" s="2" t="n">
        <v>9596</v>
      </c>
      <c r="D2133" s="3" t="inlineStr">
        <is>
          <t>Продлись, продлись, очарованье...</t>
        </is>
      </c>
      <c r="E2133" s="2" t="n">
        <v>1984</v>
      </c>
      <c r="F2133" s="2" t="inlineStr">
        <is>
          <t>кинофильм</t>
        </is>
      </c>
      <c r="G2133" s="2" t="n"/>
      <c r="H2133" s="2" t="n">
        <v>168</v>
      </c>
      <c r="I2133" s="2" t="inlineStr"/>
      <c r="J2133" s="2" t="inlineStr"/>
      <c r="K2133" s="3" t="inlineStr">
        <is>
          <t>По повести В.Перуанской «Кикимора». Трагическая история любви двух пожилых людей, имеющих наследников, неготовых, как оказалось, смириться с возможным счастьем близких.</t>
        </is>
      </c>
      <c r="L2133" s="2" t="inlineStr">
        <is>
          <t>Кино_СССР сводный каталог.xlsx: список фильмов (доп.)</t>
        </is>
      </c>
      <c r="M2133" s="2">
        <f>HYPERLINK("https://ru.wikipedia.org/w/index.php?search=%D0%9F%D1%80%D0%BE%D0%B4%D0%BB%D0%B8%D1%81%D1%8C%2C%20%D0%BF%D1%80%D0%BE%D0%B4%D0%BB%D0%B8%D1%81%D1%8C%2C%20%D0%BE%D1%87%D0%B0%D1%80%D0%BE%D0%B2%D0%B0%D0%BD%D1%8C%D0%B5...%201984%20%D1%84%D0%B8%D0%BB%D1%8C%D0%BC","искать")</f>
        <v/>
      </c>
      <c r="N2133" s="3" t="n"/>
      <c r="O2133" s="2" t="n"/>
    </row>
    <row r="2134">
      <c r="A2134" s="2" t="n">
        <v>2133</v>
      </c>
      <c r="B2134" s="2" t="inlineStr">
        <is>
          <t>короткая</t>
        </is>
      </c>
      <c r="C2134" s="2" t="n">
        <v>9734</v>
      </c>
      <c r="D2134" s="3" t="inlineStr">
        <is>
          <t>Хоккеисты</t>
        </is>
      </c>
      <c r="E2134" s="2" t="n">
        <v>1964</v>
      </c>
      <c r="F2134" s="2" t="inlineStr">
        <is>
          <t>кинофильм</t>
        </is>
      </c>
      <c r="G2134" s="2" t="n"/>
      <c r="H2134" s="2" t="n">
        <v>168</v>
      </c>
      <c r="I2134" s="2" t="inlineStr"/>
      <c r="J2134" s="2" t="inlineStr"/>
      <c r="K2134" s="3" t="inlineStr">
        <is>
          <t>Капитан хоккейной команды Дуганов борется за право опытных игроков продолжать спортивную карьеру. Преодолев трудности, он добивается участия в решающем финальном матче.</t>
        </is>
      </c>
      <c r="L2134" s="2" t="inlineStr">
        <is>
          <t>Кино_СССР сводный каталог.xlsx: список фильмов (доп.)</t>
        </is>
      </c>
      <c r="M2134" s="2">
        <f>HYPERLINK("https://ru.wikipedia.org/w/index.php?search=%D0%A5%D0%BE%D0%BA%D0%BA%D0%B5%D0%B8%D1%81%D1%82%D1%8B%201964%20%D1%84%D0%B8%D0%BB%D1%8C%D0%BC","искать")</f>
        <v/>
      </c>
      <c r="N2134" s="3" t="n"/>
      <c r="O2134" s="2" t="n"/>
    </row>
    <row r="2135">
      <c r="A2135" s="2" t="n">
        <v>2134</v>
      </c>
      <c r="B2135" s="2" t="inlineStr">
        <is>
          <t>короткая</t>
        </is>
      </c>
      <c r="C2135" s="2" t="n">
        <v>9964</v>
      </c>
      <c r="D2135" s="3" t="inlineStr">
        <is>
          <t>Детективная история</t>
        </is>
      </c>
      <c r="E2135" s="2" t="n">
        <v>1981</v>
      </c>
      <c r="F2135" s="2" t="inlineStr">
        <is>
          <t>кинофильм</t>
        </is>
      </c>
      <c r="G2135" s="2" t="inlineStr">
        <is>
          <t>Ленфильм</t>
        </is>
      </c>
      <c r="H2135" s="2" t="n">
        <v>168</v>
      </c>
      <c r="I2135" s="2" t="inlineStr"/>
      <c r="J2135" s="2" t="inlineStr"/>
      <c r="K2135" s="3" t="inlineStr">
        <is>
          <t>По заказу Правления Гострудсберкасс СССР.
Съёмочная группа гонится за счастливым обладателем облигаций Государственного займа, чтобы пригласить его сниматься в рекламе.</t>
        </is>
      </c>
      <c r="L2135" s="2" t="inlineStr">
        <is>
          <t>https://www.kino-teatr.ru/short/movie/sov/48774/annot/</t>
        </is>
      </c>
      <c r="M2135" s="2">
        <f>HYPERLINK("https://ru.wikipedia.org/w/index.php?search=%D0%94%D0%B5%D1%82%D0%B5%D0%BA%D1%82%D0%B8%D0%B2%D0%BD%D0%B0%D1%8F%20%D0%B8%D1%81%D1%82%D0%BE%D1%80%D0%B8%D1%8F%201981%20%D1%84%D0%B8%D0%BB%D1%8C%D0%BC","искать")</f>
        <v/>
      </c>
      <c r="N2135" s="3" t="n"/>
      <c r="O2135" s="2" t="n"/>
    </row>
    <row r="2136">
      <c r="A2136" s="2" t="n">
        <v>2135</v>
      </c>
      <c r="B2136" s="2" t="inlineStr">
        <is>
          <t>короткая</t>
        </is>
      </c>
      <c r="C2136" s="2" t="n">
        <v>10553</v>
      </c>
      <c r="D2136" s="3" t="inlineStr">
        <is>
          <t>Гомер. Одиссея</t>
        </is>
      </c>
      <c r="E2136" s="2" t="n">
        <v>1974</v>
      </c>
      <c r="F2136" s="2" t="inlineStr">
        <is>
          <t>фильм-спектакль</t>
        </is>
      </c>
      <c r="G2136" s="2" t="inlineStr">
        <is>
          <t>Центральное телевидение СССР</t>
        </is>
      </c>
      <c r="H2136" s="2" t="n">
        <v>168</v>
      </c>
      <c r="I2136" s="2" t="inlineStr"/>
      <c r="J2136" s="2" t="inlineStr"/>
      <c r="K2136" s="3" t="inlineStr">
        <is>
          <t>Литературная композиция.
Одиссея" Гомера - греческая эпическая поэма.
Тема "Одиссеи" — странствия хитроумного Одиссея, царя Итаки, возвращавшегося из троянского похода.</t>
        </is>
      </c>
      <c r="L2136" s="2" t="inlineStr">
        <is>
          <t>https://www.kino-teatr.ru/teatr/movie/104656/annot/</t>
        </is>
      </c>
      <c r="M2136" s="2">
        <f>HYPERLINK("https://ru.wikipedia.org/w/index.php?search=%D0%93%D0%BE%D0%BC%D0%B5%D1%80.%20%D0%9E%D0%B4%D0%B8%D1%81%D1%81%D0%B5%D1%8F%201974%20%D1%84%D0%B8%D0%BB%D1%8C%D0%BC","искать")</f>
        <v/>
      </c>
      <c r="N2136" s="3" t="n"/>
      <c r="O2136" s="2" t="n"/>
    </row>
    <row r="2137">
      <c r="A2137" s="2" t="n">
        <v>2136</v>
      </c>
      <c r="B2137" s="2" t="inlineStr">
        <is>
          <t>короткая</t>
        </is>
      </c>
      <c r="C2137" s="2" t="n">
        <v>7511</v>
      </c>
      <c r="D2137" s="3" t="inlineStr">
        <is>
          <t>Джамайка</t>
        </is>
      </c>
      <c r="E2137" s="2" t="n">
        <v>1987</v>
      </c>
      <c r="F2137" s="2" t="inlineStr">
        <is>
          <t>телефильм</t>
        </is>
      </c>
      <c r="G2137" s="2" t="n"/>
      <c r="H2137" s="2" t="n">
        <v>169</v>
      </c>
      <c r="I2137" s="2" t="inlineStr"/>
      <c r="J2137" s="2" t="inlineStr"/>
      <c r="K2137" s="3" t="inlineStr">
        <is>
          <t>По повести М. Каминского "Маршруты водителя Беспалова". Бывший таксист Анатолий Беспалов, а теперь - алкоголик по кличке "Джамайка", решает вернуться к нормальной жизни.</t>
        </is>
      </c>
      <c r="L2137" s="2" t="inlineStr">
        <is>
          <t>Кино_СССР сводный каталог.xlsx: список телефильмов</t>
        </is>
      </c>
      <c r="M2137" s="2">
        <f>HYPERLINK("https://ru.wikipedia.org/w/index.php?search=%D0%94%D0%B6%D0%B0%D0%BC%D0%B0%D0%B9%D0%BA%D0%B0%201987%20%D1%84%D0%B8%D0%BB%D1%8C%D0%BC","искать")</f>
        <v/>
      </c>
      <c r="N2137" s="3" t="n"/>
      <c r="O2137" s="2" t="n"/>
    </row>
    <row r="2138">
      <c r="A2138" s="2" t="n">
        <v>2137</v>
      </c>
      <c r="B2138" s="2" t="inlineStr">
        <is>
          <t>короткая</t>
        </is>
      </c>
      <c r="C2138" s="2" t="n">
        <v>8009</v>
      </c>
      <c r="D2138" s="3" t="inlineStr">
        <is>
          <t>Ночной визит</t>
        </is>
      </c>
      <c r="E2138" s="2" t="n">
        <v>1974</v>
      </c>
      <c r="F2138" s="2" t="inlineStr">
        <is>
          <t>телефильм</t>
        </is>
      </c>
      <c r="G2138" s="2" t="n"/>
      <c r="H2138" s="2" t="n">
        <v>169</v>
      </c>
      <c r="I2138" s="2" t="inlineStr"/>
      <c r="J2138" s="2" t="inlineStr"/>
      <c r="K2138" s="3" t="inlineStr">
        <is>
          <t>ღამის ვიზიტი Телефильм по роману братьев Вайнеров «Визит к Минотавру». Сотрудники милиции расследуют дело о похищении уникальной скрипки итальянского мастера Страдивари.</t>
        </is>
      </c>
      <c r="L2138" s="2" t="inlineStr">
        <is>
          <t>Кино_СССР сводный каталог.xlsx: список телефильмов</t>
        </is>
      </c>
      <c r="M2138" s="2">
        <f>HYPERLINK("https://ru.wikipedia.org/w/index.php?search=%D0%9D%D0%BE%D1%87%D0%BD%D0%BE%D0%B9%20%D0%B2%D0%B8%D0%B7%D0%B8%D1%82%201974%20%D1%84%D0%B8%D0%BB%D1%8C%D0%BC","искать")</f>
        <v/>
      </c>
      <c r="N2138" s="3" t="n"/>
      <c r="O2138" s="2" t="n"/>
    </row>
    <row r="2139">
      <c r="A2139" s="2" t="n">
        <v>2138</v>
      </c>
      <c r="B2139" s="2" t="inlineStr">
        <is>
          <t>короткая</t>
        </is>
      </c>
      <c r="C2139" s="2" t="n">
        <v>8121</v>
      </c>
      <c r="D2139" s="3" t="inlineStr">
        <is>
          <t>По секрету всему свету</t>
        </is>
      </c>
      <c r="E2139" s="2" t="n">
        <v>1976</v>
      </c>
      <c r="F2139" s="2" t="inlineStr">
        <is>
          <t>телефильм</t>
        </is>
      </c>
      <c r="G2139" s="2" t="inlineStr">
        <is>
          <t>Беларусьфильм</t>
        </is>
      </c>
      <c r="H2139" s="2" t="n">
        <v>169</v>
      </c>
      <c r="I2139" s="2" t="inlineStr"/>
      <c r="J2139" s="2" t="inlineStr"/>
      <c r="K2139" s="3" t="inlineStr">
        <is>
          <t>Телефильм по мотивам книги В. Драгунского "Денискины рассказы". Смешные и удивительные истории, приключившиеся с маленьким мальчиком Дениской, его родителями и друзьями.</t>
        </is>
      </c>
      <c r="L2139" s="2" t="inlineStr">
        <is>
          <t>Кино_СССР сводный каталог.xlsx: список телефильмов</t>
        </is>
      </c>
      <c r="M2139" s="2">
        <f>HYPERLINK("https://ru.wikipedia.org/w/index.php?search=%D0%9F%D0%BE%20%D1%81%D0%B5%D0%BA%D1%80%D0%B5%D1%82%D1%83%20%D0%B2%D1%81%D0%B5%D0%BC%D1%83%20%D1%81%D0%B2%D0%B5%D1%82%D1%83%201976%20%D1%84%D0%B8%D0%BB%D1%8C%D0%BC","искать")</f>
        <v/>
      </c>
      <c r="N2139" s="3" t="n"/>
      <c r="O2139" s="2" t="n"/>
    </row>
    <row r="2140">
      <c r="A2140" s="2" t="n">
        <v>2139</v>
      </c>
      <c r="B2140" s="2" t="inlineStr">
        <is>
          <t>короткая</t>
        </is>
      </c>
      <c r="C2140" s="2" t="n">
        <v>8508</v>
      </c>
      <c r="D2140" s="3" t="inlineStr">
        <is>
          <t>Факир на час</t>
        </is>
      </c>
      <c r="E2140" s="2" t="n">
        <v>1971</v>
      </c>
      <c r="F2140" s="2" t="inlineStr">
        <is>
          <t>телефильм</t>
        </is>
      </c>
      <c r="G2140" s="2" t="n"/>
      <c r="H2140" s="2" t="n">
        <v>169</v>
      </c>
      <c r="I2140" s="2" t="inlineStr"/>
      <c r="J2140" s="2" t="inlineStr"/>
      <c r="K2140" s="3" t="inlineStr">
        <is>
          <t>Телефильм по пьесе В.Дыховичного, М.Слободского. Веселая неразбериха произошла в провинциальной гостинице, когда корреспондента газеты приняли за известного гипнотизера.</t>
        </is>
      </c>
      <c r="L2140" s="2" t="inlineStr">
        <is>
          <t>Кино_СССР сводный каталог.xlsx: список телефильмов</t>
        </is>
      </c>
      <c r="M2140" s="2">
        <f>HYPERLINK("https://ru.wikipedia.org/w/index.php?search=%D0%A4%D0%B0%D0%BA%D0%B8%D1%80%20%D0%BD%D0%B0%20%D1%87%D0%B0%D1%81%201971%20%D1%84%D0%B8%D0%BB%D1%8C%D0%BC","искать")</f>
        <v/>
      </c>
      <c r="N2140" s="3" t="n"/>
      <c r="O2140" s="2" t="n"/>
    </row>
    <row r="2141">
      <c r="A2141" s="2" t="n">
        <v>2140</v>
      </c>
      <c r="B2141" s="2" t="inlineStr">
        <is>
          <t>короткая</t>
        </is>
      </c>
      <c r="C2141" s="2" t="n">
        <v>8603</v>
      </c>
      <c r="D2141" s="3" t="inlineStr">
        <is>
          <t>Юбилей Данте</t>
        </is>
      </c>
      <c r="E2141" s="2" t="n">
        <v>1978</v>
      </c>
      <c r="F2141" s="2" t="inlineStr">
        <is>
          <t>телефильм</t>
        </is>
      </c>
      <c r="G2141" s="2" t="n"/>
      <c r="H2141" s="2" t="n">
        <v>169</v>
      </c>
      <c r="I2141" s="2" t="inlineStr"/>
      <c r="J2141" s="2" t="inlineStr"/>
      <c r="K2141" s="3" t="inlineStr">
        <is>
          <t>Телефильм по мотивам одноименной повести Анара. Об актере, долгие годы исполняющем маленькие роли в театре и к концу жизни призадумавшемся, чего он достиг в своей жизни.</t>
        </is>
      </c>
      <c r="L2141" s="2" t="inlineStr">
        <is>
          <t>Кино_СССР сводный каталог.xlsx: список телефильмов</t>
        </is>
      </c>
      <c r="M2141" s="2">
        <f>HYPERLINK("https://ru.wikipedia.org/w/index.php?search=%D0%AE%D0%B1%D0%B8%D0%BB%D0%B5%D0%B9%20%D0%94%D0%B0%D0%BD%D1%82%D0%B5%201978%20%D1%84%D0%B8%D0%BB%D1%8C%D0%BC","искать")</f>
        <v/>
      </c>
      <c r="N2141" s="3" t="n"/>
      <c r="O2141" s="2" t="n"/>
    </row>
    <row r="2142">
      <c r="A2142" s="2" t="n">
        <v>2141</v>
      </c>
      <c r="B2142" s="2" t="inlineStr">
        <is>
          <t>короткая</t>
        </is>
      </c>
      <c r="C2142" s="2" t="n">
        <v>8662</v>
      </c>
      <c r="D2142" s="3" t="inlineStr">
        <is>
          <t>Воин</t>
        </is>
      </c>
      <c r="E2142" s="2" t="n">
        <v>1991</v>
      </c>
      <c r="F2142" s="2" t="inlineStr">
        <is>
          <t>кинофильм</t>
        </is>
      </c>
      <c r="G2142" s="2" t="n"/>
      <c r="H2142" s="2" t="n">
        <v>169</v>
      </c>
      <c r="I2142" s="2" t="inlineStr"/>
      <c r="J2142" s="2" t="inlineStr"/>
      <c r="K2142" s="3" t="inlineStr">
        <is>
          <t>Благородный Кайсар и его верные друзья — музыкант и пастух — вступают в борьбу с темными монахами, которые похитили красавицу Гаухар, и ценой своей жизни спасают девушку</t>
        </is>
      </c>
      <c r="L2142" s="2" t="inlineStr">
        <is>
          <t>Кино_СССР сводный каталог.xlsx: список фильмов (доп.)</t>
        </is>
      </c>
      <c r="M2142" s="2">
        <f>HYPERLINK("https://ru.wikipedia.org/w/index.php?search=%D0%92%D0%BE%D0%B8%D0%BD%201991%20%D1%84%D0%B8%D0%BB%D1%8C%D0%BC","искать")</f>
        <v/>
      </c>
      <c r="N2142" s="3" t="n"/>
      <c r="O2142" s="2" t="n"/>
    </row>
    <row r="2143">
      <c r="A2143" s="2" t="n">
        <v>2142</v>
      </c>
      <c r="B2143" s="2" t="inlineStr">
        <is>
          <t>короткая</t>
        </is>
      </c>
      <c r="C2143" s="2" t="n">
        <v>9519</v>
      </c>
      <c r="D2143" s="3" t="inlineStr">
        <is>
          <t>Облако-рай</t>
        </is>
      </c>
      <c r="E2143" s="2" t="n">
        <v>1990</v>
      </c>
      <c r="F2143" s="2" t="inlineStr">
        <is>
          <t>кинофильм</t>
        </is>
      </c>
      <c r="G2143" s="2" t="n"/>
      <c r="H2143" s="2" t="n">
        <v>169</v>
      </c>
      <c r="I2143" s="2" t="inlineStr"/>
      <c r="J2143" s="2" t="inlineStr"/>
      <c r="K2143" s="3" t="inlineStr">
        <is>
          <t>Трагикомедия о простых, бесхитростных людях, которых пробуждает от повседневной рутины необычный поступок молодого, любящего слегка приврать, но, по сути, доброго парня.</t>
        </is>
      </c>
      <c r="L2143" s="2" t="inlineStr">
        <is>
          <t>Кино_СССР сводный каталог.xlsx: список фильмов (доп.)</t>
        </is>
      </c>
      <c r="M2143" s="2">
        <f>HYPERLINK("https://ru.wikipedia.org/w/index.php?search=%D0%9E%D0%B1%D0%BB%D0%B0%D0%BA%D0%BE-%D1%80%D0%B0%D0%B9%201990%20%D1%84%D0%B8%D0%BB%D1%8C%D0%BC","искать")</f>
        <v/>
      </c>
      <c r="N2143" s="3" t="n"/>
      <c r="O2143" s="2" t="n"/>
    </row>
    <row r="2144">
      <c r="A2144" s="2" t="n">
        <v>2143</v>
      </c>
      <c r="B2144" s="2" t="inlineStr">
        <is>
          <t>короткая</t>
        </is>
      </c>
      <c r="C2144" s="2" t="n">
        <v>9687</v>
      </c>
      <c r="D2144" s="3" t="inlineStr">
        <is>
          <t>Танк "Клим Ворошилов-2"</t>
        </is>
      </c>
      <c r="E2144" s="2" t="n">
        <v>1990</v>
      </c>
      <c r="F2144" s="2" t="inlineStr">
        <is>
          <t>кинофильм</t>
        </is>
      </c>
      <c r="G2144" s="2" t="n"/>
      <c r="H2144" s="2" t="n">
        <v>169</v>
      </c>
      <c r="I2144" s="2" t="inlineStr"/>
      <c r="J2144" s="2" t="inlineStr"/>
      <c r="K2144" s="3" t="inlineStr">
        <is>
          <t>Первые дни войны. Курсант обнаруживает брошенный танк "КВ-2". и набирает экипаж. Приведя танк в полную боевую готовность, команда вступает в свой первый и последний бой.</t>
        </is>
      </c>
      <c r="L2144" s="2" t="inlineStr">
        <is>
          <t>Кино_СССР сводный каталог.xlsx: список фильмов (доп.)</t>
        </is>
      </c>
      <c r="M2144" s="2">
        <f>HYPERLINK("https://ru.wikipedia.org/w/index.php?search=%D0%A2%D0%B0%D0%BD%D0%BA%20%22%D0%9A%D0%BB%D0%B8%D0%BC%20%D0%92%D0%BE%D1%80%D0%BE%D1%88%D0%B8%D0%BB%D0%BE%D0%B2-2%22%201990%20%D1%84%D0%B8%D0%BB%D1%8C%D0%BC","искать")</f>
        <v/>
      </c>
      <c r="N2144" s="3" t="n"/>
      <c r="O2144" s="2" t="n"/>
    </row>
    <row r="2145">
      <c r="A2145" s="2" t="n">
        <v>2144</v>
      </c>
      <c r="B2145" s="2" t="inlineStr">
        <is>
          <t>короткая</t>
        </is>
      </c>
      <c r="C2145" s="2" t="n">
        <v>10710</v>
      </c>
      <c r="D2145" s="3" t="inlineStr">
        <is>
          <t>Петрушка - иностранец</t>
        </is>
      </c>
      <c r="E2145" s="2" t="n">
        <v>1977</v>
      </c>
      <c r="F2145" s="2" t="inlineStr">
        <is>
          <t>фильм-спектакль</t>
        </is>
      </c>
      <c r="G2145" s="2" t="inlineStr">
        <is>
          <t>ТО "Экран", Государственный академический Центральный театр кукол</t>
        </is>
      </c>
      <c r="H2145" s="2" t="n">
        <v>169</v>
      </c>
      <c r="I2145" s="2" t="inlineStr"/>
      <c r="J2145" s="2" t="inlineStr"/>
      <c r="K2145" s="3" t="inlineStr">
        <is>
          <t>Телеспектакль по произведению С. Маршака - "Петрушка иностранец". О веселых проказах Петрушки. Самуил Яковлевич создал это произведение специально для кукольного театра.</t>
        </is>
      </c>
      <c r="L2145" s="2" t="inlineStr">
        <is>
          <t>https://www.kino-teatr.ru/teatr/movie/103551/annot/</t>
        </is>
      </c>
      <c r="M2145" s="2">
        <f>HYPERLINK("https://ru.wikipedia.org/w/index.php?search=%D0%9F%D0%B5%D1%82%D1%80%D1%83%D1%88%D0%BA%D0%B0%20-%20%D0%B8%D0%BD%D0%BE%D1%81%D1%82%D1%80%D0%B0%D0%BD%D0%B5%D1%86%201977%20%D1%84%D0%B8%D0%BB%D1%8C%D0%BC","искать")</f>
        <v/>
      </c>
      <c r="N2145" s="3" t="n"/>
      <c r="O2145" s="2" t="n"/>
    </row>
    <row r="2146">
      <c r="A2146" s="2" t="n">
        <v>2145</v>
      </c>
      <c r="B2146" s="2" t="inlineStr">
        <is>
          <t>короткая</t>
        </is>
      </c>
      <c r="C2146" s="2" t="n">
        <v>7183</v>
      </c>
      <c r="D2146" s="3" t="inlineStr">
        <is>
          <t>31 июня</t>
        </is>
      </c>
      <c r="E2146" s="2" t="n">
        <v>1978</v>
      </c>
      <c r="F2146" s="2" t="inlineStr">
        <is>
          <t>телефильм</t>
        </is>
      </c>
      <c r="G2146" s="2" t="inlineStr">
        <is>
          <t>Киностудия «Мосфильм»; Творческое объединение телевизионных фильмов</t>
        </is>
      </c>
      <c r="H2146" s="2" t="n">
        <v>170</v>
      </c>
      <c r="I2146" s="2" t="inlineStr"/>
      <c r="J2146" s="2" t="inlineStr"/>
      <c r="K2146" s="3" t="inlineStr">
        <is>
          <t>Телефильм по мотивам повести Джона Б.Пристли. Фантастическая история любви художника, живущего в XXI веке и принцессы королевства Перадор, времён правления короля Артура.</t>
        </is>
      </c>
      <c r="L2146" s="2" t="inlineStr">
        <is>
          <t>Кино_СССР сводный каталог.xlsx: список телефильмов</t>
        </is>
      </c>
      <c r="M2146" s="2">
        <f>HYPERLINK("https://ru.wikipedia.org/w/index.php?search=31%20%D0%B8%D1%8E%D0%BD%D1%8F%201978%20%D1%84%D0%B8%D0%BB%D1%8C%D0%BC","искать")</f>
        <v/>
      </c>
      <c r="N2146" s="3" t="n"/>
      <c r="O2146" s="2" t="n"/>
    </row>
    <row r="2147">
      <c r="A2147" s="2" t="n">
        <v>2146</v>
      </c>
      <c r="B2147" s="2" t="inlineStr">
        <is>
          <t>короткая</t>
        </is>
      </c>
      <c r="C2147" s="2" t="n">
        <v>8346</v>
      </c>
      <c r="D2147" s="3" t="inlineStr">
        <is>
          <t>Сказание о храбром витязе Фэт-Фрумосе</t>
        </is>
      </c>
      <c r="E2147" s="2" t="n">
        <v>1977</v>
      </c>
      <c r="F2147" s="2" t="inlineStr">
        <is>
          <t>телефильм</t>
        </is>
      </c>
      <c r="G2147" s="2" t="n"/>
      <c r="H2147" s="2" t="n">
        <v>170</v>
      </c>
      <c r="I2147" s="2" t="inlineStr"/>
      <c r="J2147" s="2" t="inlineStr"/>
      <c r="K2147" s="3" t="inlineStr">
        <is>
          <t>Телефильм. По мотивам молдавских народных сказок о приключениях защитника бедных и угнетённых, сына охотника, богатыря Фэт-Фрумоса в царстве змея-дракона Лауэра-Балауэра.</t>
        </is>
      </c>
      <c r="L2147" s="2" t="inlineStr">
        <is>
          <t>Кино_СССР сводный каталог.xlsx: список телефильмов</t>
        </is>
      </c>
      <c r="M2147" s="2">
        <f>HYPERLINK("https://ru.wikipedia.org/w/index.php?search=%D0%A1%D0%BA%D0%B0%D0%B7%D0%B0%D0%BD%D0%B8%D0%B5%20%D0%BE%20%D1%85%D1%80%D0%B0%D0%B1%D1%80%D0%BE%D0%BC%20%D0%B2%D0%B8%D1%82%D1%8F%D0%B7%D0%B5%20%D0%A4%D1%8D%D1%82-%D0%A4%D1%80%D1%83%D0%BC%D0%BE%D1%81%D0%B5%201977%20%D1%84%D0%B8%D0%BB%D1%8C%D0%BC","искать")</f>
        <v/>
      </c>
      <c r="N2147" s="3" t="n"/>
      <c r="O2147" s="2" t="n"/>
    </row>
    <row r="2148">
      <c r="A2148" s="2" t="n">
        <v>2147</v>
      </c>
      <c r="B2148" s="2" t="inlineStr">
        <is>
          <t>короткая</t>
        </is>
      </c>
      <c r="C2148" s="2" t="n">
        <v>8812</v>
      </c>
      <c r="D2148" s="3" t="inlineStr">
        <is>
          <t>Майя и Пайя</t>
        </is>
      </c>
      <c r="E2148" s="2" t="n">
        <v>1990</v>
      </c>
      <c r="F2148" s="2" t="inlineStr">
        <is>
          <t>кинофильм</t>
        </is>
      </c>
      <c r="G2148" s="2" t="n"/>
      <c r="H2148" s="2" t="n">
        <v>170</v>
      </c>
      <c r="I2148" s="2" t="inlineStr"/>
      <c r="J2148" s="2" t="inlineStr"/>
      <c r="K2148" s="3" t="inlineStr">
        <is>
          <t>По мотивам одноименной пьесы-сказки Анны Бригадере. Сказка о чудесных приключениях в подземном царстве двух сестер: доброй, трудолюбивой Майи и ленивой, завистливой Пайи.</t>
        </is>
      </c>
      <c r="L2148" s="2" t="inlineStr">
        <is>
          <t>Кино_СССР сводный каталог.xlsx: список фильмов (доп.)</t>
        </is>
      </c>
      <c r="M2148" s="2">
        <f>HYPERLINK("https://ru.wikipedia.org/w/index.php?search=%D0%9C%D0%B0%D0%B9%D1%8F%20%D0%B8%20%D0%9F%D0%B0%D0%B9%D1%8F%201990%20%D1%84%D0%B8%D0%BB%D1%8C%D0%BC","искать")</f>
        <v/>
      </c>
      <c r="N2148" s="3" t="n"/>
      <c r="O2148" s="2" t="n"/>
    </row>
    <row r="2149">
      <c r="A2149" s="2" t="n">
        <v>2148</v>
      </c>
      <c r="B2149" s="2" t="inlineStr">
        <is>
          <t>короткая</t>
        </is>
      </c>
      <c r="C2149" s="2" t="n">
        <v>7583</v>
      </c>
      <c r="D2149" s="3" t="inlineStr">
        <is>
          <t>Желающие могут записаться</t>
        </is>
      </c>
      <c r="E2149" s="2" t="n">
        <v>1973</v>
      </c>
      <c r="F2149" s="2" t="inlineStr">
        <is>
          <t>телефильм</t>
        </is>
      </c>
      <c r="G2149" s="2" t="n"/>
      <c r="H2149" s="2" t="n">
        <v>171</v>
      </c>
      <c r="I2149" s="2" t="inlineStr"/>
      <c r="J2149" s="2" t="inlineStr"/>
      <c r="K2149" s="3" t="inlineStr">
        <is>
          <t>მსურველებს შეუძლიათ ჩაეწერონ Фильм рассказывает об отношениях между тренером по боксу и его учениками. Тренер воспитывает детей как спортсменов и формирует из них граждан.</t>
        </is>
      </c>
      <c r="L2149" s="2" t="inlineStr">
        <is>
          <t>Кино_СССР сводный каталог.xlsx: список телефильмов</t>
        </is>
      </c>
      <c r="M2149" s="2">
        <f>HYPERLINK("https://ru.wikipedia.org/w/index.php?search=%D0%96%D0%B5%D0%BB%D0%B0%D1%8E%D1%89%D0%B8%D0%B5%20%D0%BC%D0%BE%D0%B3%D1%83%D1%82%20%D0%B7%D0%B0%D0%BF%D0%B8%D1%81%D0%B0%D1%82%D1%8C%D1%81%D1%8F%201973%20%D1%84%D0%B8%D0%BB%D1%8C%D0%BC","искать")</f>
        <v/>
      </c>
      <c r="N2149" s="3" t="n"/>
      <c r="O2149" s="2" t="n"/>
    </row>
    <row r="2150">
      <c r="A2150" s="2" t="n">
        <v>2149</v>
      </c>
      <c r="B2150" s="2" t="inlineStr">
        <is>
          <t>короткая</t>
        </is>
      </c>
      <c r="C2150" s="2" t="n">
        <v>9418</v>
      </c>
      <c r="D2150" s="3" t="inlineStr">
        <is>
          <t>Князь Удача Андреевич</t>
        </is>
      </c>
      <c r="E2150" s="2" t="n">
        <v>1989</v>
      </c>
      <c r="F2150" s="2" t="inlineStr">
        <is>
          <t>кинофильм</t>
        </is>
      </c>
      <c r="G2150" s="2" t="n"/>
      <c r="H2150" s="2" t="n">
        <v>171</v>
      </c>
      <c r="I2150" s="2" t="inlineStr"/>
      <c r="J2150" s="2" t="inlineStr"/>
      <c r="K2150" s="3" t="inlineStr">
        <is>
          <t>Веселая детективная история про шестиклассников, увлекшихся историей города и благодаря легенде о кладе князя Удачи Андреевича напавших на след шайки воров и расхитителей.</t>
        </is>
      </c>
      <c r="L2150" s="2" t="inlineStr">
        <is>
          <t>Кино_СССР сводный каталог.xlsx: список фильмов (доп.)</t>
        </is>
      </c>
      <c r="M2150" s="2">
        <f>HYPERLINK("https://ru.wikipedia.org/w/index.php?search=%D0%9A%D0%BD%D1%8F%D0%B7%D1%8C%20%D0%A3%D0%B4%D0%B0%D1%87%D0%B0%20%D0%90%D0%BD%D0%B4%D1%80%D0%B5%D0%B5%D0%B2%D0%B8%D1%87%201989%20%D1%84%D0%B8%D0%BB%D1%8C%D0%BC","искать")</f>
        <v/>
      </c>
      <c r="N2150" s="3" t="n"/>
      <c r="O2150" s="2" t="n"/>
    </row>
    <row r="2151">
      <c r="A2151" s="2" t="n">
        <v>2150</v>
      </c>
      <c r="B2151" s="2" t="inlineStr">
        <is>
          <t>короткая</t>
        </is>
      </c>
      <c r="C2151" s="2" t="n">
        <v>9934</v>
      </c>
      <c r="D2151" s="3" t="inlineStr">
        <is>
          <t>До Италии не так далеко</t>
        </is>
      </c>
      <c r="E2151" s="2" t="n">
        <v>1978</v>
      </c>
      <c r="F2151" s="2" t="inlineStr">
        <is>
          <t>кинофильм</t>
        </is>
      </c>
      <c r="G2151" s="2" t="inlineStr">
        <is>
          <t>Грузия-фильм</t>
        </is>
      </c>
      <c r="H2151" s="2" t="n">
        <v>171</v>
      </c>
      <c r="I2151" s="2" t="inlineStr"/>
      <c r="J2151" s="2" t="inlineStr"/>
      <c r="K2151" s="3" t="inlineStr">
        <is>
          <t>О том, как простого грузинского крестьянина, оказавшегося героем Итальянского сопротивления времен Второй мировой войны, пригласили в Италию для получения высокой награды.</t>
        </is>
      </c>
      <c r="L2151" s="2" t="inlineStr">
        <is>
          <t>https://www.kino-teatr.ru/short/movie/sov/83892/annot/</t>
        </is>
      </c>
      <c r="M2151" s="2">
        <f>HYPERLINK("https://ru.wikipedia.org/w/index.php?search=%D0%94%D0%BE%20%D0%98%D1%82%D0%B0%D0%BB%D0%B8%D0%B8%20%D0%BD%D0%B5%20%D1%82%D0%B0%D0%BA%20%D0%B4%D0%B0%D0%BB%D0%B5%D0%BA%D0%BE%201978%20%D1%84%D0%B8%D0%BB%D1%8C%D0%BC","искать")</f>
        <v/>
      </c>
      <c r="N2151" s="3" t="n"/>
      <c r="O2151" s="2" t="n"/>
    </row>
    <row r="2152">
      <c r="A2152" s="2" t="n">
        <v>2151</v>
      </c>
      <c r="B2152" s="2" t="inlineStr">
        <is>
          <t>короткая</t>
        </is>
      </c>
      <c r="C2152" s="2" t="n">
        <v>7719</v>
      </c>
      <c r="D2152" s="3" t="inlineStr">
        <is>
          <t>Карнавал</t>
        </is>
      </c>
      <c r="E2152" s="2" t="n">
        <v>1971</v>
      </c>
      <c r="F2152" s="2" t="inlineStr">
        <is>
          <t>телефильм</t>
        </is>
      </c>
      <c r="G2152" s="2" t="n"/>
      <c r="H2152" s="2" t="n">
        <v>172</v>
      </c>
      <c r="I2152" s="2" t="inlineStr"/>
      <c r="J2152" s="2" t="inlineStr"/>
      <c r="K2152" s="3" t="inlineStr">
        <is>
          <t>Международная тайная организация негодяев, называющая себя Скучнистами, хочет уничтожить в мире смех и веселье. Для этого они нанимают киллера, чтобы убить главного клоуна.</t>
        </is>
      </c>
      <c r="L2152" s="2" t="inlineStr">
        <is>
          <t>Кино_СССР сводный каталог.xlsx: список телефильмов</t>
        </is>
      </c>
      <c r="M2152" s="2">
        <f>HYPERLINK("https://ru.wikipedia.org/w/index.php?search=%D0%9A%D0%B0%D1%80%D0%BD%D0%B0%D0%B2%D0%B0%D0%BB%201971%20%D1%84%D0%B8%D0%BB%D1%8C%D0%BC","искать")</f>
        <v/>
      </c>
      <c r="N2152" s="3" t="n"/>
      <c r="O2152" s="2" t="n"/>
    </row>
    <row r="2153">
      <c r="A2153" s="2" t="n">
        <v>2152</v>
      </c>
      <c r="B2153" s="2" t="inlineStr">
        <is>
          <t>короткая</t>
        </is>
      </c>
      <c r="C2153" s="2" t="n">
        <v>7846</v>
      </c>
      <c r="D2153" s="3" t="inlineStr">
        <is>
          <t>Мальчишки</t>
        </is>
      </c>
      <c r="E2153" s="2" t="n">
        <v>1982</v>
      </c>
      <c r="F2153" s="2" t="inlineStr">
        <is>
          <t>телефильм</t>
        </is>
      </c>
      <c r="G2153" s="2" t="n"/>
      <c r="H2153" s="2" t="n">
        <v>172</v>
      </c>
      <c r="I2153" s="2" t="inlineStr"/>
      <c r="J2153" s="2" t="inlineStr"/>
      <c r="K2153" s="3" t="inlineStr">
        <is>
          <t>Фильм поставлен по мотивам произведений  А.Гайдара и рассказывает о приключениях детей во время Гражданской войны, о том, как они помогали раненому комиссару Красной армии.</t>
        </is>
      </c>
      <c r="L2153" s="2" t="inlineStr">
        <is>
          <t>Кино_СССР сводный каталог.xlsx: список телефильмов</t>
        </is>
      </c>
      <c r="M2153" s="2">
        <f>HYPERLINK("https://ru.wikipedia.org/w/index.php?search=%D0%9C%D0%B0%D0%BB%D1%8C%D1%87%D0%B8%D1%88%D0%BA%D0%B8%201982%20%D1%84%D0%B8%D0%BB%D1%8C%D0%BC","искать")</f>
        <v/>
      </c>
      <c r="N2153" s="3" t="n"/>
      <c r="O2153" s="2" t="n"/>
    </row>
    <row r="2154">
      <c r="A2154" s="2" t="n">
        <v>2153</v>
      </c>
      <c r="B2154" s="2" t="inlineStr">
        <is>
          <t>короткая</t>
        </is>
      </c>
      <c r="C2154" s="2" t="n">
        <v>8363</v>
      </c>
      <c r="D2154" s="3" t="inlineStr">
        <is>
          <t>Смеханические приключения Тарапуньки и Штепселя</t>
        </is>
      </c>
      <c r="E2154" s="2" t="n">
        <v>1970</v>
      </c>
      <c r="F2154" s="2" t="inlineStr">
        <is>
          <t>телефильм</t>
        </is>
      </c>
      <c r="G2154" s="2" t="inlineStr">
        <is>
          <t>к/с им. Довженко</t>
        </is>
      </c>
      <c r="H2154" s="2" t="n">
        <v>172</v>
      </c>
      <c r="I2154" s="2" t="inlineStr"/>
      <c r="J2154" s="2" t="inlineStr"/>
      <c r="K2154" s="3" t="inlineStr">
        <is>
          <t>Телефильм о веселых приключениях популярных артистов эстрады Штепселя и Тарапуньки и изобретенной ими "смеханической машины", с вкраплениями эстрадных номеров и интермедий.</t>
        </is>
      </c>
      <c r="L2154" s="2" t="inlineStr">
        <is>
          <t>Кино_СССР сводный каталог.xlsx: список телефильмов</t>
        </is>
      </c>
      <c r="M2154" s="2">
        <f>HYPERLINK("https://ru.wikipedia.org/w/index.php?search=%D0%A1%D0%BC%D0%B5%D1%85%D0%B0%D0%BD%D0%B8%D1%87%D0%B5%D1%81%D0%BA%D0%B8%D0%B5%20%D0%BF%D1%80%D0%B8%D0%BA%D0%BB%D1%8E%D1%87%D0%B5%D0%BD%D0%B8%D1%8F%20%D0%A2%D0%B0%D1%80%D0%B0%D0%BF%D1%83%D0%BD%D1%8C%D0%BA%D0%B8%20%D0%B8%20%D0%A8%D1%82%D0%B5%D0%BF%D1%81%D0%B5%D0%BB%D1%8F%201970%20%D1%84%D0%B8%D0%BB%D1%8C%D0%BC","искать")</f>
        <v/>
      </c>
      <c r="N2154" s="3" t="n"/>
      <c r="O2154" s="2" t="n"/>
    </row>
    <row r="2155">
      <c r="A2155" s="2" t="n">
        <v>2154</v>
      </c>
      <c r="B2155" s="2" t="inlineStr">
        <is>
          <t>короткая</t>
        </is>
      </c>
      <c r="C2155" s="2" t="n">
        <v>9127</v>
      </c>
      <c r="D2155" s="3" t="inlineStr">
        <is>
          <t>Улица погасших фонарей</t>
        </is>
      </c>
      <c r="E2155" s="2" t="n">
        <v>1991</v>
      </c>
      <c r="F2155" s="2" t="inlineStr">
        <is>
          <t>кинофильм</t>
        </is>
      </c>
      <c r="G2155" s="2" t="n"/>
      <c r="H2155" s="2" t="n">
        <v>172</v>
      </c>
      <c r="I2155" s="2" t="inlineStr"/>
      <c r="J2155" s="2" t="inlineStr"/>
      <c r="K2155" s="3" t="inlineStr">
        <is>
          <t>40-е годы. Парикмахер Санду, открытый, честный и непосредственный, попадает в жернова репрессивных органов. Пережить весь этот ужас герою помогают воспоминания о его любви.</t>
        </is>
      </c>
      <c r="L2155" s="2" t="inlineStr">
        <is>
          <t>Кино_СССР сводный каталог.xlsx: список фильмов (доп.)</t>
        </is>
      </c>
      <c r="M2155" s="2">
        <f>HYPERLINK("https://ru.wikipedia.org/w/index.php?search=%D0%A3%D0%BB%D0%B8%D1%86%D0%B0%20%D0%BF%D0%BE%D0%B3%D0%B0%D1%81%D1%88%D0%B8%D1%85%20%D1%84%D0%BE%D0%BD%D0%B0%D1%80%D0%B5%D0%B9%201991%20%D1%84%D0%B8%D0%BB%D1%8C%D0%BC","искать")</f>
        <v/>
      </c>
      <c r="N2155" s="3" t="n"/>
      <c r="O2155" s="2" t="n"/>
    </row>
    <row r="2156">
      <c r="A2156" s="2" t="n">
        <v>2155</v>
      </c>
      <c r="B2156" s="2" t="inlineStr">
        <is>
          <t>короткая</t>
        </is>
      </c>
      <c r="C2156" s="2" t="n">
        <v>7984</v>
      </c>
      <c r="D2156" s="3" t="inlineStr">
        <is>
          <t>Ненаглядный мой</t>
        </is>
      </c>
      <c r="E2156" s="2" t="n">
        <v>1983</v>
      </c>
      <c r="F2156" s="2" t="inlineStr">
        <is>
          <t>телефильм</t>
        </is>
      </c>
      <c r="G2156" s="2" t="n"/>
      <c r="H2156" s="2" t="n">
        <v>173</v>
      </c>
      <c r="I2156" s="2" t="inlineStr"/>
      <c r="J2156" s="2" t="inlineStr"/>
      <c r="K2156" s="3" t="inlineStr">
        <is>
          <t>Телефильм по мотивам рассказа Виктора Астафьева «Тревожный сон». Фаина вышла замуж незадолго до войны. Она одна воспитывает дочь, сохраняя верность мужу, погибшему на войне.</t>
        </is>
      </c>
      <c r="L2156" s="2" t="inlineStr">
        <is>
          <t>Кино_СССР сводный каталог.xlsx: список телефильмов</t>
        </is>
      </c>
      <c r="M2156" s="2">
        <f>HYPERLINK("https://ru.wikipedia.org/w/index.php?search=%D0%9D%D0%B5%D0%BD%D0%B0%D0%B3%D0%BB%D1%8F%D0%B4%D0%BD%D1%8B%D0%B9%20%D0%BC%D0%BE%D0%B9%201983%20%D1%84%D0%B8%D0%BB%D1%8C%D0%BC","искать")</f>
        <v/>
      </c>
      <c r="N2156" s="3" t="n"/>
      <c r="O2156" s="2" t="n"/>
    </row>
    <row r="2157">
      <c r="A2157" s="2" t="n">
        <v>2156</v>
      </c>
      <c r="B2157" s="2" t="inlineStr">
        <is>
          <t>короткая</t>
        </is>
      </c>
      <c r="C2157" s="2" t="n">
        <v>10325</v>
      </c>
      <c r="D2157" s="3" t="inlineStr">
        <is>
          <t>Правду! Ничего, кроме правды!</t>
        </is>
      </c>
      <c r="E2157" s="2" t="n">
        <v>1969</v>
      </c>
      <c r="F2157" s="2" t="inlineStr">
        <is>
          <t>фильм-спектакль</t>
        </is>
      </c>
      <c r="G2157" s="2" t="inlineStr">
        <is>
          <t>Экран</t>
        </is>
      </c>
      <c r="H2157" s="2" t="n">
        <v>173</v>
      </c>
      <c r="I2157" s="2" t="inlineStr"/>
      <c r="J2157" s="2" t="inlineStr"/>
      <c r="K2157" s="3" t="inlineStr">
        <is>
          <t>Фильм-спектакль по пьесе Д.Аля в постановке Ленинградского государственного академического БДТ.
О суде над Октябрьской революцией, который организовал в 1919 году сенат США.</t>
        </is>
      </c>
      <c r="L2157" s="2" t="inlineStr">
        <is>
          <t>https://www.kino-teatr.ru/teatr/movie/81610/annot/</t>
        </is>
      </c>
      <c r="M2157" s="2">
        <f>HYPERLINK("https://ru.wikipedia.org/w/index.php?search=%D0%9F%D1%80%D0%B0%D0%B2%D0%B4%D1%83%21%20%D0%9D%D0%B8%D1%87%D0%B5%D0%B3%D0%BE%2C%20%D0%BA%D1%80%D0%BE%D0%BC%D0%B5%20%D0%BF%D1%80%D0%B0%D0%B2%D0%B4%D1%8B%21%201969%20%D1%84%D0%B8%D0%BB%D1%8C%D0%BC","искать")</f>
        <v/>
      </c>
      <c r="N2157" s="3" t="n"/>
      <c r="O2157" s="2" t="n"/>
    </row>
    <row r="2158">
      <c r="A2158" s="2" t="n">
        <v>2157</v>
      </c>
      <c r="B2158" s="2" t="inlineStr">
        <is>
          <t>короткая</t>
        </is>
      </c>
      <c r="C2158" s="2" t="n">
        <v>11143</v>
      </c>
      <c r="D2158" s="3" t="inlineStr">
        <is>
          <t>Братишка, люби революцию!</t>
        </is>
      </c>
      <c r="E2158" s="2" t="n">
        <v>1987</v>
      </c>
      <c r="F2158" s="2" t="inlineStr">
        <is>
          <t>фильм-спектакль</t>
        </is>
      </c>
      <c r="G2158" s="2" t="inlineStr">
        <is>
          <t>Главная редакция литературно-драматических программ ЦТ</t>
        </is>
      </c>
      <c r="H2158" s="2" t="n">
        <v>173</v>
      </c>
      <c r="I2158" s="2" t="inlineStr"/>
      <c r="J2158" s="2" t="inlineStr"/>
      <c r="K2158" s="3" t="inlineStr">
        <is>
          <t>По повести Бориса Лавренева "Ветер", посвященной событиям гражданской войны. В центре телеспектакля - образ матроса Василия Гулявина, отдавшего свою жизнь за дело революции.</t>
        </is>
      </c>
      <c r="L2158" s="2" t="inlineStr">
        <is>
          <t>https://www.kino-teatr.ru/teatr/movie/16471/annot/</t>
        </is>
      </c>
      <c r="M2158" s="2">
        <f>HYPERLINK("https://ru.wikipedia.org/w/index.php?search=%D0%91%D1%80%D0%B0%D1%82%D0%B8%D1%88%D0%BA%D0%B0%2C%20%D0%BB%D1%8E%D0%B1%D0%B8%20%D1%80%D0%B5%D0%B2%D0%BE%D0%BB%D1%8E%D1%86%D0%B8%D1%8E%21%201987%20%D1%84%D0%B8%D0%BB%D1%8C%D0%BC","искать")</f>
        <v/>
      </c>
      <c r="N2158" s="3" t="n"/>
      <c r="O2158" s="2" t="n"/>
    </row>
    <row r="2159">
      <c r="A2159" s="2" t="n">
        <v>2158</v>
      </c>
      <c r="B2159" s="2" t="inlineStr">
        <is>
          <t>короткая</t>
        </is>
      </c>
      <c r="C2159" s="2" t="n">
        <v>8755</v>
      </c>
      <c r="D2159" s="3" t="inlineStr">
        <is>
          <t>Каменный идол</t>
        </is>
      </c>
      <c r="E2159" s="2" t="n">
        <v>1989</v>
      </c>
      <c r="F2159" s="2" t="inlineStr">
        <is>
          <t>кинофильм</t>
        </is>
      </c>
      <c r="G2159" s="2" t="n"/>
      <c r="H2159" s="2" t="n">
        <v>174</v>
      </c>
      <c r="I2159" s="2" t="inlineStr"/>
      <c r="J2159" s="2" t="inlineStr"/>
      <c r="K2159" s="3" t="inlineStr">
        <is>
          <t>О судьбе молодого пастуха, на долю которого страдания, унижения в годы массовых репрессий НКВД. Ведь если тебя проведут под конвоем средь бела дня по улицам - это уже позор..</t>
        </is>
      </c>
      <c r="L2159" s="2" t="inlineStr">
        <is>
          <t>Кино_СССР сводный каталог.xlsx: список фильмов (доп.)</t>
        </is>
      </c>
      <c r="M2159" s="2">
        <f>HYPERLINK("https://ru.wikipedia.org/w/index.php?search=%D0%9A%D0%B0%D0%BC%D0%B5%D0%BD%D0%BD%D1%8B%D0%B9%20%D0%B8%D0%B4%D0%BE%D0%BB%201989%20%D1%84%D0%B8%D0%BB%D1%8C%D0%BC","искать")</f>
        <v/>
      </c>
      <c r="N2159" s="3" t="n"/>
      <c r="O2159" s="2" t="n"/>
    </row>
    <row r="2160">
      <c r="A2160" s="2" t="n">
        <v>2159</v>
      </c>
      <c r="B2160" s="2" t="inlineStr">
        <is>
          <t>короткая</t>
        </is>
      </c>
      <c r="C2160" s="2" t="n">
        <v>8985</v>
      </c>
      <c r="D2160" s="3" t="inlineStr">
        <is>
          <t>Пройдут годы</t>
        </is>
      </c>
      <c r="E2160" s="2" t="n">
        <v>1981</v>
      </c>
      <c r="F2160" s="2" t="inlineStr">
        <is>
          <t>кинофильм</t>
        </is>
      </c>
      <c r="G2160" s="2" t="n"/>
      <c r="H2160" s="2" t="n">
        <v>174</v>
      </c>
      <c r="I2160" s="2" t="inlineStr"/>
      <c r="J2160" s="2" t="inlineStr"/>
      <c r="K2160" s="3" t="inlineStr">
        <is>
          <t>Реклама Госстраха. Спустя десять лет, по истечении срока страхования жизни, бабушка получила полную страховую сумму и на эти деньги купила для всей семьи путёвку в Ленинград.</t>
        </is>
      </c>
      <c r="L2160" s="2" t="inlineStr">
        <is>
          <t>Кино_СССР сводный каталог.xlsx: список фильмов (доп.)</t>
        </is>
      </c>
      <c r="M2160" s="2">
        <f>HYPERLINK("https://ru.wikipedia.org/w/index.php?search=%D0%9F%D1%80%D0%BE%D0%B9%D0%B4%D1%83%D1%82%20%D0%B3%D0%BE%D0%B4%D1%8B%201981%20%D1%84%D0%B8%D0%BB%D1%8C%D0%BC","искать")</f>
        <v/>
      </c>
      <c r="N2160" s="3" t="n"/>
      <c r="O2160" s="2" t="n"/>
    </row>
    <row r="2161">
      <c r="A2161" s="2" t="n">
        <v>2160</v>
      </c>
      <c r="B2161" s="2" t="inlineStr">
        <is>
          <t>короткая</t>
        </is>
      </c>
      <c r="C2161" s="2" t="n">
        <v>9511</v>
      </c>
      <c r="D2161" s="3" t="inlineStr">
        <is>
          <t>Новая Москва</t>
        </is>
      </c>
      <c r="E2161" s="2" t="n">
        <v>1938</v>
      </c>
      <c r="F2161" s="2" t="inlineStr">
        <is>
          <t>кинофильм</t>
        </is>
      </c>
      <c r="G2161" s="2" t="n"/>
      <c r="H2161" s="2" t="n">
        <v>174</v>
      </c>
      <c r="I2161" s="2" t="inlineStr"/>
      <c r="J2161" s="2" t="inlineStr"/>
      <c r="K2161" s="3" t="inlineStr">
        <is>
          <t>Молодой конструктор Алеша привозит в Москву действующую модель будущей столицы. Подготовка ее публичного показа сопровождается любовными приключениями и техническим курьезом.</t>
        </is>
      </c>
      <c r="L2161" s="2" t="inlineStr">
        <is>
          <t>Кино_СССР сводный каталог.xlsx: список фильмов (доп.)</t>
        </is>
      </c>
      <c r="M2161" s="2">
        <f>HYPERLINK("https://ru.wikipedia.org/w/index.php?search=%D0%9D%D0%BE%D0%B2%D0%B0%D1%8F%20%D0%9C%D0%BE%D1%81%D0%BA%D0%B2%D0%B0%201938%20%D1%84%D0%B8%D0%BB%D1%8C%D0%BC","искать")</f>
        <v/>
      </c>
      <c r="N2161" s="3" t="n"/>
      <c r="O2161" s="2" t="n"/>
    </row>
    <row r="2162">
      <c r="A2162" s="2" t="n">
        <v>2161</v>
      </c>
      <c r="B2162" s="2" t="inlineStr">
        <is>
          <t>короткая</t>
        </is>
      </c>
      <c r="C2162" s="2" t="n">
        <v>7871</v>
      </c>
      <c r="D2162" s="3" t="inlineStr">
        <is>
          <t>Месяц на размышление</t>
        </is>
      </c>
      <c r="E2162" s="2" t="n">
        <v>1980</v>
      </c>
      <c r="F2162" s="2" t="inlineStr">
        <is>
          <t>телефильм</t>
        </is>
      </c>
      <c r="G2162" s="2" t="n"/>
      <c r="H2162" s="2" t="n">
        <v>175</v>
      </c>
      <c r="I2162" s="2" t="inlineStr"/>
      <c r="J2162" s="2" t="inlineStr"/>
      <c r="K2162" s="3" t="inlineStr">
        <is>
          <t>Молодые люди полюбили друг друга и решили пожениться. Месяц, который им дали на размышление, помог героям по-новому посмотреть на себя и на окружающих, проверить свои чувства.</t>
        </is>
      </c>
      <c r="L2162" s="2" t="inlineStr">
        <is>
          <t>Кино_СССР сводный каталог.xlsx: список телефильмов</t>
        </is>
      </c>
      <c r="M2162" s="2">
        <f>HYPERLINK("https://ru.wikipedia.org/w/index.php?search=%D0%9C%D0%B5%D1%81%D1%8F%D1%86%20%D0%BD%D0%B0%20%D1%80%D0%B0%D0%B7%D0%BC%D1%8B%D1%88%D0%BB%D0%B5%D0%BD%D0%B8%D0%B5%201980%20%D1%84%D0%B8%D0%BB%D1%8C%D0%BC","искать")</f>
        <v/>
      </c>
      <c r="N2162" s="3" t="n"/>
      <c r="O2162" s="2" t="n"/>
    </row>
    <row r="2163">
      <c r="A2163" s="2" t="n">
        <v>2162</v>
      </c>
      <c r="B2163" s="2" t="inlineStr">
        <is>
          <t>короткая</t>
        </is>
      </c>
      <c r="C2163" s="2" t="n">
        <v>8428</v>
      </c>
      <c r="D2163" s="3" t="inlineStr">
        <is>
          <t>Тайна Зеленого острова</t>
        </is>
      </c>
      <c r="E2163" s="2" t="n">
        <v>1984</v>
      </c>
      <c r="F2163" s="2" t="inlineStr">
        <is>
          <t>телефильм</t>
        </is>
      </c>
      <c r="G2163" s="2" t="n"/>
      <c r="H2163" s="2" t="n">
        <v>175</v>
      </c>
      <c r="I2163" s="2" t="inlineStr"/>
      <c r="J2163" s="2" t="inlineStr"/>
      <c r="K2163" s="3" t="inlineStr">
        <is>
          <t>О приключениях городских мальчиков Мурада и Селима. Они построили буер и отправились на нем в пустыню. В пути их настигла буря, буер был разбит, а мальчики оказались в оазисе.</t>
        </is>
      </c>
      <c r="L2163" s="2" t="inlineStr">
        <is>
          <t>Кино_СССР сводный каталог.xlsx: список телефильмов</t>
        </is>
      </c>
      <c r="M2163" s="2">
        <f>HYPERLINK("https://ru.wikipedia.org/w/index.php?search=%D0%A2%D0%B0%D0%B9%D0%BD%D0%B0%20%D0%97%D0%B5%D0%BB%D0%B5%D0%BD%D0%BE%D0%B3%D0%BE%20%D0%BE%D1%81%D1%82%D1%80%D0%BE%D0%B2%D0%B0%201984%20%D1%84%D0%B8%D0%BB%D1%8C%D0%BC","искать")</f>
        <v/>
      </c>
      <c r="N2163" s="3" t="n"/>
      <c r="O2163" s="2" t="n"/>
    </row>
    <row r="2164">
      <c r="A2164" s="2" t="n">
        <v>2163</v>
      </c>
      <c r="B2164" s="2" t="inlineStr">
        <is>
          <t>короткая</t>
        </is>
      </c>
      <c r="C2164" s="2" t="n">
        <v>9271</v>
      </c>
      <c r="D2164" s="3" t="inlineStr">
        <is>
          <t>Виват, гардемарины!</t>
        </is>
      </c>
      <c r="E2164" s="2" t="n">
        <v>1991</v>
      </c>
      <c r="F2164" s="2" t="inlineStr">
        <is>
          <t>кинофильм</t>
        </is>
      </c>
      <c r="G2164" s="2" t="inlineStr">
        <is>
          <t>Мосфильм</t>
        </is>
      </c>
      <c r="H2164" s="2" t="n">
        <v>175</v>
      </c>
      <c r="I2164" s="2" t="inlineStr"/>
      <c r="J2164" s="2" t="inlineStr"/>
      <c r="K2164" s="3" t="inlineStr">
        <is>
          <t>Киновариант в двух сериях. Второй фильм трилогии о гардемаринах. Сюжет основан на историческом факте приезда зимой 1744 года в Россию невесты Петра III - будущей Екатерины II.</t>
        </is>
      </c>
      <c r="L2164" s="2" t="inlineStr">
        <is>
          <t>Кино_СССР сводный каталог.xlsx: список фильмов (доп.)</t>
        </is>
      </c>
      <c r="M2164" s="2">
        <f>HYPERLINK("https://ru.wikipedia.org/w/index.php?search=%D0%92%D0%B8%D0%B2%D0%B0%D1%82%2C%20%D0%B3%D0%B0%D1%80%D0%B4%D0%B5%D0%BC%D0%B0%D1%80%D0%B8%D0%BD%D1%8B%21%201991%20%D1%84%D0%B8%D0%BB%D1%8C%D0%BC","искать")</f>
        <v/>
      </c>
      <c r="N2164" s="3" t="n"/>
      <c r="O2164" s="2" t="n"/>
    </row>
    <row r="2165">
      <c r="A2165" s="2" t="n">
        <v>2164</v>
      </c>
      <c r="B2165" s="2" t="inlineStr">
        <is>
          <t>короткая</t>
        </is>
      </c>
      <c r="C2165" s="2" t="n">
        <v>9538</v>
      </c>
      <c r="D2165" s="3" t="inlineStr">
        <is>
          <t>Очаровательные пришельцы</t>
        </is>
      </c>
      <c r="E2165" s="2" t="n">
        <v>1991</v>
      </c>
      <c r="F2165" s="2" t="inlineStr">
        <is>
          <t>кинофильм</t>
        </is>
      </c>
      <c r="G2165" s="2" t="n"/>
      <c r="H2165" s="2" t="n">
        <v>175</v>
      </c>
      <c r="I2165" s="2" t="inlineStr"/>
      <c r="J2165" s="2" t="inlineStr"/>
      <c r="K2165" s="3" t="inlineStr">
        <is>
          <t>Фантастическая байка о девушке Насте и снежном человеке - пришельцах из дальних миров, перед которыми поставлена задача дать оценку человеческим надругательствам над природой.</t>
        </is>
      </c>
      <c r="L2165" s="2" t="inlineStr">
        <is>
          <t>Кино_СССР сводный каталог.xlsx: список фильмов (доп.)</t>
        </is>
      </c>
      <c r="M2165" s="2">
        <f>HYPERLINK("https://ru.wikipedia.org/w/index.php?search=%D0%9E%D1%87%D0%B0%D1%80%D0%BE%D0%B2%D0%B0%D1%82%D0%B5%D0%BB%D1%8C%D0%BD%D1%8B%D0%B5%20%D0%BF%D1%80%D0%B8%D1%88%D0%B5%D0%BB%D1%8C%D1%86%D1%8B%201991%20%D1%84%D0%B8%D0%BB%D1%8C%D0%BC","искать")</f>
        <v/>
      </c>
      <c r="N2165" s="3" t="n"/>
      <c r="O2165" s="2" t="n"/>
    </row>
    <row r="2166">
      <c r="A2166" s="2" t="n">
        <v>2165</v>
      </c>
      <c r="B2166" s="2" t="inlineStr">
        <is>
          <t>короткая</t>
        </is>
      </c>
      <c r="C2166" s="2" t="n">
        <v>10538</v>
      </c>
      <c r="D2166" s="3" t="inlineStr">
        <is>
          <t>Алвеш и компания</t>
        </is>
      </c>
      <c r="E2166" s="2" t="n">
        <v>1974</v>
      </c>
      <c r="F2166" s="2" t="inlineStr">
        <is>
          <t>фильм-спектакль</t>
        </is>
      </c>
      <c r="G2166" s="2" t="n"/>
      <c r="H2166" s="2" t="n">
        <v>175</v>
      </c>
      <c r="I2166" s="2" t="inlineStr"/>
      <c r="J2166" s="2" t="inlineStr"/>
      <c r="K2166" s="3" t="inlineStr">
        <is>
          <t>По одноименной пьесе португальского драматурга Эса де Кейруша.
Все было хорошо в жизни Алвеш до дня, в который он пришел домой и увидел свою жену на диване с другим мужчиной..</t>
        </is>
      </c>
      <c r="L2166" s="2" t="inlineStr">
        <is>
          <t>https://www.kino-teatr.ru/teatr/movie/129350/annot/</t>
        </is>
      </c>
      <c r="M2166" s="2">
        <f>HYPERLINK("https://ru.wikipedia.org/w/index.php?search=%D0%90%D0%BB%D0%B2%D0%B5%D1%88%20%D0%B8%20%D0%BA%D0%BE%D0%BC%D0%BF%D0%B0%D0%BD%D0%B8%D1%8F%201974%20%D1%84%D0%B8%D0%BB%D1%8C%D0%BC","искать")</f>
        <v/>
      </c>
      <c r="N2166" s="3" t="n"/>
      <c r="O2166" s="2" t="n"/>
    </row>
    <row r="2167">
      <c r="A2167" s="2" t="n">
        <v>2166</v>
      </c>
      <c r="B2167" s="2" t="inlineStr">
        <is>
          <t>короткая</t>
        </is>
      </c>
      <c r="C2167" s="2" t="n">
        <v>11390</v>
      </c>
      <c r="D2167" s="3" t="inlineStr">
        <is>
          <t>Прозрение</t>
        </is>
      </c>
      <c r="E2167" s="2" t="n">
        <v>1987</v>
      </c>
      <c r="F2167" s="2" t="inlineStr">
        <is>
          <t>фильм-опера/балет</t>
        </is>
      </c>
      <c r="G2167" s="2" t="n"/>
      <c r="H2167" s="2" t="n">
        <v>175</v>
      </c>
      <c r="I2167" s="2" t="inlineStr"/>
      <c r="J2167" s="2" t="inlineStr"/>
      <c r="K2167" s="3" t="inlineStr">
        <is>
          <t>Фильм-балет. В постановке и по либретто Бориса Эйфмана балет-притча о любви царя и простолюдинки. Танцуют артисты Ленинградского Нового балета под руководством Бориса Эйфмана.</t>
        </is>
      </c>
      <c r="L2167" s="2" t="inlineStr">
        <is>
          <t>Кино_СССР телефильмы и пропуски включить в базу.xlsx</t>
        </is>
      </c>
      <c r="M2167" s="2">
        <f>HYPERLINK("https://ru.wikipedia.org/w/index.php?search=%D0%9F%D1%80%D0%BE%D0%B7%D1%80%D0%B5%D0%BD%D0%B8%D0%B5%201987%20%D1%84%D0%B8%D0%BB%D1%8C%D0%BC","искать")</f>
        <v/>
      </c>
      <c r="N2167" s="3" t="n"/>
      <c r="O2167" s="2" t="n"/>
    </row>
    <row r="2168">
      <c r="A2168" s="2" t="n">
        <v>2167</v>
      </c>
      <c r="B2168" s="2" t="inlineStr">
        <is>
          <t>короткая</t>
        </is>
      </c>
      <c r="C2168" s="2" t="n">
        <v>9180</v>
      </c>
      <c r="D2168" s="3" t="inlineStr">
        <is>
          <t>Эльза</t>
        </is>
      </c>
      <c r="E2168" s="2" t="n">
        <v>1991</v>
      </c>
      <c r="F2168" s="2" t="inlineStr">
        <is>
          <t>кинофильм</t>
        </is>
      </c>
      <c r="G2168" s="2" t="n"/>
      <c r="H2168" s="2" t="n">
        <v>176</v>
      </c>
      <c r="I2168" s="2" t="inlineStr"/>
      <c r="J2168" s="2" t="inlineStr"/>
      <c r="K2168" s="3" t="inlineStr">
        <is>
          <t>Никак не ожидает грузинский режиссёр, приехавший в Германию, осуществить свою мечту и поставить спектакль ,что все его чувства будут наполнены любовью к женщине по имени Эльза.</t>
        </is>
      </c>
      <c r="L2168" s="2" t="inlineStr">
        <is>
          <t>Кино_СССР сводный каталог.xlsx: список фильмов (доп.)</t>
        </is>
      </c>
      <c r="M2168" s="2">
        <f>HYPERLINK("https://ru.wikipedia.org/w/index.php?search=%D0%AD%D0%BB%D1%8C%D0%B7%D0%B0%201991%20%D1%84%D0%B8%D0%BB%D1%8C%D0%BC","искать")</f>
        <v/>
      </c>
      <c r="N2168" s="3" t="n"/>
      <c r="O2168" s="2" t="n"/>
    </row>
    <row r="2169">
      <c r="A2169" s="2" t="n">
        <v>2168</v>
      </c>
      <c r="B2169" s="2" t="inlineStr">
        <is>
          <t>короткая</t>
        </is>
      </c>
      <c r="C2169" s="2" t="n">
        <v>9646</v>
      </c>
      <c r="D2169" s="3" t="inlineStr">
        <is>
          <t>Скорый поезд</t>
        </is>
      </c>
      <c r="E2169" s="2" t="n">
        <v>1988</v>
      </c>
      <c r="F2169" s="2" t="inlineStr">
        <is>
          <t>кинофильм</t>
        </is>
      </c>
      <c r="G2169" s="2" t="n"/>
      <c r="H2169" s="2" t="n">
        <v>176</v>
      </c>
      <c r="I2169" s="2" t="inlineStr"/>
      <c r="J2169" s="2" t="inlineStr"/>
      <c r="K2169" s="3" t="inlineStr">
        <is>
          <t>Официантка вагона-ресторана Ольга одна воспитывает сына, которого из-за постоянных поездок вынуждена держать в интернате. Тревога за ребенка заставляет ее решить уйти с работы.</t>
        </is>
      </c>
      <c r="L2169" s="2" t="inlineStr">
        <is>
          <t>Кино_СССР сводный каталог.xlsx: список фильмов (доп.)</t>
        </is>
      </c>
      <c r="M2169" s="2">
        <f>HYPERLINK("https://ru.wikipedia.org/w/index.php?search=%D0%A1%D0%BA%D0%BE%D1%80%D1%8B%D0%B9%20%D0%BF%D0%BE%D0%B5%D0%B7%D0%B4%201988%20%D1%84%D0%B8%D0%BB%D1%8C%D0%BC","искать")</f>
        <v/>
      </c>
      <c r="N2169" s="3" t="n"/>
      <c r="O2169" s="2" t="n"/>
    </row>
    <row r="2170">
      <c r="A2170" s="2" t="n">
        <v>2169</v>
      </c>
      <c r="B2170" s="2" t="inlineStr">
        <is>
          <t>короткая</t>
        </is>
      </c>
      <c r="C2170" s="2" t="n">
        <v>9694</v>
      </c>
      <c r="D2170" s="3" t="inlineStr">
        <is>
          <t>Торможение в небесах</t>
        </is>
      </c>
      <c r="E2170" s="2" t="n">
        <v>1989</v>
      </c>
      <c r="F2170" s="2" t="inlineStr">
        <is>
          <t>кинофильм</t>
        </is>
      </c>
      <c r="G2170" s="2" t="n"/>
      <c r="H2170" s="2" t="n">
        <v>176</v>
      </c>
      <c r="I2170" s="2" t="inlineStr"/>
      <c r="J2170" s="2" t="inlineStr"/>
      <c r="K2170" s="3" t="inlineStr">
        <is>
          <t>Почти детективная, трагифарсовая история о "поединке" тележурналистов, которые сняли разоблачительный материал об истинных нравах, царящих в одном из "перестроившихся" обкомов.</t>
        </is>
      </c>
      <c r="L2170" s="2" t="inlineStr">
        <is>
          <t>Кино_СССР сводный каталог.xlsx: список фильмов (доп.)</t>
        </is>
      </c>
      <c r="M2170" s="2">
        <f>HYPERLINK("https://ru.wikipedia.org/w/index.php?search=%D0%A2%D0%BE%D1%80%D0%BC%D0%BE%D0%B6%D0%B5%D0%BD%D0%B8%D0%B5%20%D0%B2%20%D0%BD%D0%B5%D0%B1%D0%B5%D1%81%D0%B0%D1%85%201989%20%D1%84%D0%B8%D0%BB%D1%8C%D0%BC","искать")</f>
        <v/>
      </c>
      <c r="N2170" s="3" t="n"/>
      <c r="O2170" s="2" t="n"/>
    </row>
    <row r="2171">
      <c r="A2171" s="2" t="n">
        <v>2170</v>
      </c>
      <c r="B2171" s="2" t="inlineStr">
        <is>
          <t>короткая</t>
        </is>
      </c>
      <c r="C2171" s="2" t="n">
        <v>10282</v>
      </c>
      <c r="D2171" s="3" t="inlineStr">
        <is>
          <t>А вы, товарищ?</t>
        </is>
      </c>
      <c r="E2171" s="2" t="n">
        <v>1969</v>
      </c>
      <c r="F2171" s="2" t="inlineStr">
        <is>
          <t>фильм-спектакль</t>
        </is>
      </c>
      <c r="G2171" s="2" t="inlineStr">
        <is>
          <t>Студия "Публицист" Центральное телевидение</t>
        </is>
      </c>
      <c r="H2171" s="2" t="n">
        <v>176</v>
      </c>
      <c r="I2171" s="2" t="inlineStr"/>
      <c r="J2171" s="2" t="inlineStr"/>
      <c r="K2171" s="3" t="inlineStr">
        <is>
          <t>Телеспектакль о проведении в Москве в 1920 году III съезда комсомола, о комсомольцах - делегатах съезда.
Первая часть - "Малая Дмитровка, 6", вторая часть - "Нам говорил Ленин"</t>
        </is>
      </c>
      <c r="L2171" s="2" t="inlineStr">
        <is>
          <t>https://www.kino-teatr.ru/teatr/movie/135421/annot/</t>
        </is>
      </c>
      <c r="M2171" s="2">
        <f>HYPERLINK("https://ru.wikipedia.org/w/index.php?search=%D0%90%20%D0%B2%D1%8B%2C%20%D1%82%D0%BE%D0%B2%D0%B0%D1%80%D0%B8%D1%89%3F%201969%20%D1%84%D0%B8%D0%BB%D1%8C%D0%BC","искать")</f>
        <v/>
      </c>
      <c r="N2171" s="3" t="n"/>
      <c r="O2171" s="2" t="n"/>
    </row>
    <row r="2172">
      <c r="A2172" s="2" t="n">
        <v>2171</v>
      </c>
      <c r="B2172" s="2" t="inlineStr">
        <is>
          <t>короткая</t>
        </is>
      </c>
      <c r="C2172" s="2" t="n">
        <v>7402</v>
      </c>
      <c r="D2172" s="3" t="inlineStr">
        <is>
          <t>Всем - спасибо!</t>
        </is>
      </c>
      <c r="E2172" s="2" t="n">
        <v>1981</v>
      </c>
      <c r="F2172" s="2" t="inlineStr">
        <is>
          <t>телефильм</t>
        </is>
      </c>
      <c r="G2172" s="2" t="inlineStr">
        <is>
          <t>ТО «Экран»</t>
        </is>
      </c>
      <c r="H2172" s="2" t="n">
        <v>177</v>
      </c>
      <c r="I2172" s="2" t="inlineStr"/>
      <c r="J2172" s="2" t="inlineStr"/>
      <c r="K2172" s="3" t="inlineStr">
        <is>
          <t>Молодой математик Дмитрий тяжело переживает уход жены. Случайно попав на съемки фильма, герой вдруг начинает понимать, что в основе сюжета лежат воспоминания его бывшей супруги.</t>
        </is>
      </c>
      <c r="L2172" s="2" t="inlineStr">
        <is>
          <t>Кино_СССР сводный каталог.xlsx: список телефильмов</t>
        </is>
      </c>
      <c r="M2172" s="2">
        <f>HYPERLINK("https://ru.wikipedia.org/w/index.php?search=%D0%92%D1%81%D0%B5%D0%BC%20-%20%D1%81%D0%BF%D0%B0%D1%81%D0%B8%D0%B1%D0%BE%21%201981%20%D1%84%D0%B8%D0%BB%D1%8C%D0%BC","искать")</f>
        <v/>
      </c>
      <c r="N2172" s="3" t="n"/>
      <c r="O2172" s="2" t="n"/>
    </row>
    <row r="2173">
      <c r="A2173" s="2" t="n">
        <v>2172</v>
      </c>
      <c r="B2173" s="2" t="inlineStr">
        <is>
          <t>короткая</t>
        </is>
      </c>
      <c r="C2173" s="2" t="n">
        <v>11358</v>
      </c>
      <c r="D2173" s="3" t="inlineStr">
        <is>
          <t>Вас приглашает оперетта</t>
        </is>
      </c>
      <c r="E2173" s="2" t="n">
        <v>1985</v>
      </c>
      <c r="F2173" s="2" t="inlineStr">
        <is>
          <t>не игровое</t>
        </is>
      </c>
      <c r="G2173" s="2" t="n"/>
      <c r="H2173" s="2" t="n">
        <v>177</v>
      </c>
      <c r="I2173" s="2" t="inlineStr"/>
      <c r="J2173" s="2" t="inlineStr"/>
      <c r="K2173" s="3" t="inlineStr">
        <is>
          <t>Фильм-концерт со  сценами из оперетт: "Королева чардаша", "Перекресток", "Товарищ Любовь", "Марица", "Принцесса цирка", "Пенелопа", "Господа артисты", "Баядера", "Летучая мышь".</t>
        </is>
      </c>
      <c r="L2173" s="2" t="inlineStr">
        <is>
          <t>Кино_СССР телефильмы и пропуски включить в базу.xlsx</t>
        </is>
      </c>
      <c r="M2173" s="2">
        <f>HYPERLINK("https://ru.wikipedia.org/w/index.php?search=%D0%92%D0%B0%D1%81%20%D0%BF%D1%80%D0%B8%D0%B3%D0%BB%D0%B0%D1%88%D0%B0%D0%B5%D1%82%20%D0%BE%D0%BF%D0%B5%D1%80%D0%B5%D1%82%D1%82%D0%B0%201985%20%D1%84%D0%B8%D0%BB%D1%8C%D0%BC","искать")</f>
        <v/>
      </c>
      <c r="N2173" s="3" t="n"/>
      <c r="O2173" s="2" t="n"/>
    </row>
    <row r="2174">
      <c r="A2174" s="2" t="n">
        <v>2173</v>
      </c>
      <c r="B2174" s="2" t="inlineStr">
        <is>
          <t>короткая</t>
        </is>
      </c>
      <c r="C2174" s="2" t="n">
        <v>9285</v>
      </c>
      <c r="D2174" s="3" t="inlineStr">
        <is>
          <t>Вот вернулся этот парень</t>
        </is>
      </c>
      <c r="E2174" s="2" t="n">
        <v>1981</v>
      </c>
      <c r="F2174" s="2" t="inlineStr">
        <is>
          <t>кинофильм</t>
        </is>
      </c>
      <c r="G2174" s="2" t="n"/>
      <c r="H2174" s="2" t="n">
        <v>178</v>
      </c>
      <c r="I2174" s="2" t="inlineStr"/>
      <c r="J2174" s="2" t="inlineStr"/>
      <c r="K2174" s="3" t="inlineStr">
        <is>
          <t>Молодой рабочий возвращается после армии на родной завод. Возглавив неблагополучную бригаду, он старается наладить отношения в коллективе и справиться с возникающими конфликтами.</t>
        </is>
      </c>
      <c r="L2174" s="2" t="inlineStr">
        <is>
          <t>Кино_СССР сводный каталог.xlsx: список фильмов (доп.)</t>
        </is>
      </c>
      <c r="M2174" s="2">
        <f>HYPERLINK("https://ru.wikipedia.org/w/index.php?search=%D0%92%D0%BE%D1%82%20%D0%B2%D0%B5%D1%80%D0%BD%D1%83%D0%BB%D1%81%D1%8F%20%D1%8D%D1%82%D0%BE%D1%82%20%D0%BF%D0%B0%D1%80%D0%B5%D0%BD%D1%8C%201981%20%D1%84%D0%B8%D0%BB%D1%8C%D0%BC","искать")</f>
        <v/>
      </c>
      <c r="N2174" s="3" t="n"/>
      <c r="O2174" s="2" t="n"/>
    </row>
    <row r="2175">
      <c r="A2175" s="2" t="n">
        <v>2174</v>
      </c>
      <c r="B2175" s="2" t="inlineStr">
        <is>
          <t>короткая</t>
        </is>
      </c>
      <c r="C2175" s="2" t="n">
        <v>9479</v>
      </c>
      <c r="D2175" s="3" t="inlineStr">
        <is>
          <t>Моя морячка</t>
        </is>
      </c>
      <c r="E2175" s="2" t="n">
        <v>1990</v>
      </c>
      <c r="F2175" s="2" t="inlineStr">
        <is>
          <t>кинофильм</t>
        </is>
      </c>
      <c r="G2175" s="2" t="n"/>
      <c r="H2175" s="2" t="n">
        <v>178</v>
      </c>
      <c r="I2175" s="2" t="inlineStr"/>
      <c r="J2175" s="2" t="inlineStr"/>
      <c r="K2175" s="3" t="inlineStr">
        <is>
          <t>В парке южного городка Людмила Пашкова проводит конкурс самодеятельных талантов. Приехавший из Мурманска Гудков исполняет песню, которая становится хитом, и требует главный приз.</t>
        </is>
      </c>
      <c r="L2175" s="2" t="inlineStr">
        <is>
          <t>Кино_СССР сводный каталог.xlsx: список фильмов (доп.)</t>
        </is>
      </c>
      <c r="M2175" s="2">
        <f>HYPERLINK("https://ru.wikipedia.org/w/index.php?search=%D0%9C%D0%BE%D1%8F%20%D0%BC%D0%BE%D1%80%D1%8F%D1%87%D0%BA%D0%B0%201990%20%D1%84%D0%B8%D0%BB%D1%8C%D0%BC","искать")</f>
        <v/>
      </c>
      <c r="N2175" s="3" t="n"/>
      <c r="O2175" s="2" t="n"/>
    </row>
    <row r="2176">
      <c r="A2176" s="2" t="n">
        <v>2175</v>
      </c>
      <c r="B2176" s="2" t="inlineStr">
        <is>
          <t>короткая</t>
        </is>
      </c>
      <c r="C2176" s="2" t="n">
        <v>9861</v>
      </c>
      <c r="D2176" s="3" t="inlineStr">
        <is>
          <t>Красный агитатор Трофим Глушков</t>
        </is>
      </c>
      <c r="E2176" s="2" t="n">
        <v>1969</v>
      </c>
      <c r="F2176" s="2" t="inlineStr">
        <is>
          <t>телефильм</t>
        </is>
      </c>
      <c r="G2176" s="2" t="inlineStr">
        <is>
          <t>Беларусьфильм</t>
        </is>
      </c>
      <c r="H2176" s="2" t="n">
        <v>178</v>
      </c>
      <c r="I2176" s="2" t="inlineStr"/>
      <c r="J2176" s="2" t="inlineStr"/>
      <c r="K2176" s="3" t="inlineStr">
        <is>
          <t>Телефильм по мотивам рассказов Всеволода Иванова.
О подвиге одного из первых советских агитаторов-киномехаников Трофима Глушкова, убитого белогвардейцами. Годы гражданской войны.</t>
        </is>
      </c>
      <c r="L2176" s="2" t="inlineStr">
        <is>
          <t>https://www.kino-teatr.ru/short/movie/sov/8371/annot/</t>
        </is>
      </c>
      <c r="M2176" s="2">
        <f>HYPERLINK("https://ru.wikipedia.org/w/index.php?search=%D0%9A%D1%80%D0%B0%D1%81%D0%BD%D1%8B%D0%B9%20%D0%B0%D0%B3%D0%B8%D1%82%D0%B0%D1%82%D0%BE%D1%80%20%D0%A2%D1%80%D0%BE%D1%84%D0%B8%D0%BC%20%D0%93%D0%BB%D1%83%D1%88%D0%BA%D0%BE%D0%B2%201969%20%D1%84%D0%B8%D0%BB%D1%8C%D0%BC","искать")</f>
        <v/>
      </c>
      <c r="N2176" s="3" t="n"/>
      <c r="O2176" s="2" t="n"/>
    </row>
    <row r="2177">
      <c r="A2177" s="2" t="n">
        <v>2176</v>
      </c>
      <c r="B2177" s="2" t="inlineStr">
        <is>
          <t>короткая</t>
        </is>
      </c>
      <c r="C2177" s="2" t="n">
        <v>10652</v>
      </c>
      <c r="D2177" s="3" t="inlineStr">
        <is>
          <t>Король Матиуш Первый</t>
        </is>
      </c>
      <c r="E2177" s="2" t="n">
        <v>1976</v>
      </c>
      <c r="F2177" s="2" t="inlineStr">
        <is>
          <t>фильм-спектакль</t>
        </is>
      </c>
      <c r="G2177" s="2" t="inlineStr">
        <is>
          <t>Творческое объединение "Экран"</t>
        </is>
      </c>
      <c r="H2177" s="2" t="n">
        <v>178</v>
      </c>
      <c r="I2177" s="2" t="inlineStr"/>
      <c r="J2177" s="2" t="inlineStr"/>
      <c r="K2177" s="3" t="inlineStr">
        <is>
          <t>По мотивам сказки Януша Корчака в постановке Государственного Центрального детского театра.
История мальчика-короля, мечтавшего сделать всех детей своего королевства счастливыми.</t>
        </is>
      </c>
      <c r="L2177" s="2" t="inlineStr">
        <is>
          <t>https://www.kino-teatr.ru/teatr/movie/104265/annot/</t>
        </is>
      </c>
      <c r="M2177" s="2">
        <f>HYPERLINK("https://ru.wikipedia.org/w/index.php?search=%D0%9A%D0%BE%D1%80%D0%BE%D0%BB%D1%8C%20%D0%9C%D0%B0%D1%82%D0%B8%D1%83%D1%88%20%D0%9F%D0%B5%D1%80%D0%B2%D1%8B%D0%B9%201976%20%D1%84%D0%B8%D0%BB%D1%8C%D0%BC","искать")</f>
        <v/>
      </c>
      <c r="N2177" s="3" t="n"/>
      <c r="O2177" s="2" t="n"/>
    </row>
    <row r="2178">
      <c r="A2178" s="2" t="n">
        <v>2177</v>
      </c>
      <c r="B2178" s="2" t="inlineStr">
        <is>
          <t>короткая</t>
        </is>
      </c>
      <c r="C2178" s="2" t="n">
        <v>8107</v>
      </c>
      <c r="D2178" s="3" t="inlineStr">
        <is>
          <t>Песня об Арсене</t>
        </is>
      </c>
      <c r="E2178" s="2" t="n">
        <v>1985</v>
      </c>
      <c r="F2178" s="2" t="inlineStr">
        <is>
          <t>телефильм</t>
        </is>
      </c>
      <c r="G2178" s="2" t="n"/>
      <c r="H2178" s="2" t="n">
        <v>179</v>
      </c>
      <c r="I2178" s="2" t="inlineStr"/>
      <c r="J2178" s="2" t="inlineStr"/>
      <c r="K2178" s="3" t="inlineStr">
        <is>
          <t>არსენას ლექსი В основу фильма легло грузинское народное сказание "Стих об Арсене". Молодой благородный разбойник Арсен грабит богатых и отдает всю свою добычу бедным и угнетенным.</t>
        </is>
      </c>
      <c r="L2178" s="2" t="inlineStr">
        <is>
          <t>Кино_СССР сводный каталог.xlsx: список телефильмов</t>
        </is>
      </c>
      <c r="M2178" s="2">
        <f>HYPERLINK("https://ru.wikipedia.org/w/index.php?search=%D0%9F%D0%B5%D1%81%D0%BD%D1%8F%20%D0%BE%D0%B1%20%D0%90%D1%80%D1%81%D0%B5%D0%BD%D0%B5%201985%20%D1%84%D0%B8%D0%BB%D1%8C%D0%BC","искать")</f>
        <v/>
      </c>
      <c r="N2178" s="3" t="n"/>
      <c r="O2178" s="2" t="n"/>
    </row>
    <row r="2179">
      <c r="A2179" s="2" t="n">
        <v>2178</v>
      </c>
      <c r="B2179" s="2" t="inlineStr">
        <is>
          <t>короткая</t>
        </is>
      </c>
      <c r="C2179" s="2" t="n">
        <v>8718</v>
      </c>
      <c r="D2179" s="3" t="inlineStr">
        <is>
          <t>Желаем выиграть</t>
        </is>
      </c>
      <c r="E2179" s="2" t="n">
        <v>1986</v>
      </c>
      <c r="F2179" s="2" t="inlineStr">
        <is>
          <t>кинофильм</t>
        </is>
      </c>
      <c r="G2179" s="2" t="n"/>
      <c r="H2179" s="2" t="n">
        <v>179</v>
      </c>
      <c r="I2179" s="2" t="inlineStr"/>
      <c r="J2179" s="2" t="inlineStr"/>
      <c r="K2179" s="3" t="inlineStr">
        <is>
          <t>Для приобретения шубы и фотоаппарата молодожёны решают продать облигации государственного займа. Но оказывается, что по ним можно выиграть серьёзную сумму денег и даже автомобиль.</t>
        </is>
      </c>
      <c r="L2179" s="2" t="inlineStr">
        <is>
          <t>Кино_СССР сводный каталог.xlsx: список фильмов (доп.)</t>
        </is>
      </c>
      <c r="M2179" s="2">
        <f>HYPERLINK("https://ru.wikipedia.org/w/index.php?search=%D0%96%D0%B5%D0%BB%D0%B0%D0%B5%D0%BC%20%D0%B2%D1%8B%D0%B8%D0%B3%D1%80%D0%B0%D1%82%D1%8C%201986%20%D1%84%D0%B8%D0%BB%D1%8C%D0%BC","искать")</f>
        <v/>
      </c>
      <c r="N2179" s="3" t="n"/>
      <c r="O2179" s="2" t="n"/>
    </row>
    <row r="2180">
      <c r="A2180" s="2" t="n">
        <v>2179</v>
      </c>
      <c r="B2180" s="2" t="inlineStr">
        <is>
          <t>короткая</t>
        </is>
      </c>
      <c r="C2180" s="2" t="n">
        <v>9045</v>
      </c>
      <c r="D2180" s="3" t="inlineStr">
        <is>
          <t>Следователь</t>
        </is>
      </c>
      <c r="E2180" s="2" t="n">
        <v>1973</v>
      </c>
      <c r="F2180" s="2" t="inlineStr">
        <is>
          <t>кинофильм</t>
        </is>
      </c>
      <c r="G2180" s="2" t="n"/>
      <c r="H2180" s="2" t="n">
        <v>179</v>
      </c>
      <c r="I2180" s="2" t="inlineStr"/>
      <c r="J2180" s="2" t="inlineStr"/>
      <c r="K2180" s="3" t="inlineStr">
        <is>
          <t>Игровой учебный фильм по заказу МВД СССР. Следователь по особо важным делам, подполковник милиции Андрей Андреевич Басов приезжает из Москвы расследовать дело по ограблению кассы.</t>
        </is>
      </c>
      <c r="L2180" s="2" t="inlineStr">
        <is>
          <t>Кино_СССР сводный каталог.xlsx: список фильмов (доп.)</t>
        </is>
      </c>
      <c r="M2180" s="2">
        <f>HYPERLINK("https://ru.wikipedia.org/w/index.php?search=%D0%A1%D0%BB%D0%B5%D0%B4%D0%BE%D0%B2%D0%B0%D1%82%D0%B5%D0%BB%D1%8C%201973%20%D1%84%D0%B8%D0%BB%D1%8C%D0%BC","искать")</f>
        <v/>
      </c>
      <c r="N2180" s="3" t="n"/>
      <c r="O2180" s="2" t="n"/>
    </row>
    <row r="2181">
      <c r="A2181" s="2" t="n">
        <v>2180</v>
      </c>
      <c r="B2181" s="2" t="inlineStr">
        <is>
          <t>короткая</t>
        </is>
      </c>
      <c r="C2181" s="2" t="n">
        <v>9937</v>
      </c>
      <c r="D2181" s="3" t="inlineStr">
        <is>
          <t>Незабываемый день</t>
        </is>
      </c>
      <c r="E2181" s="2" t="n">
        <v>1978</v>
      </c>
      <c r="F2181" s="2" t="inlineStr">
        <is>
          <t>телефильм</t>
        </is>
      </c>
      <c r="G2181" s="2" t="inlineStr">
        <is>
          <t>Грузия-фильм</t>
        </is>
      </c>
      <c r="H2181" s="2" t="n">
        <v>179</v>
      </c>
      <c r="I2181" s="2" t="inlineStr"/>
      <c r="J2181" s="2" t="inlineStr"/>
      <c r="K2181" s="3" t="inlineStr">
        <is>
          <t>Телефильм. В деревню из города приехала девочка. Она познакомилась с двумя мальчишками, родными братьями, которые слоняются по местным окрестностям и пугают женщин "волчьим воем".</t>
        </is>
      </c>
      <c r="L2181" s="2" t="inlineStr">
        <is>
          <t>https://www.kino-teatr.ru/short/movie/sov/82643/annot/</t>
        </is>
      </c>
      <c r="M2181" s="2">
        <f>HYPERLINK("https://ru.wikipedia.org/w/index.php?search=%D0%9D%D0%B5%D0%B7%D0%B0%D0%B1%D1%8B%D0%B2%D0%B0%D0%B5%D0%BC%D1%8B%D0%B9%20%D0%B4%D0%B5%D0%BD%D1%8C%201978%20%D1%84%D0%B8%D0%BB%D1%8C%D0%BC","искать")</f>
        <v/>
      </c>
      <c r="N2181" s="3" t="n"/>
      <c r="O2181" s="2" t="n"/>
    </row>
    <row r="2182">
      <c r="A2182" s="2" t="n">
        <v>2181</v>
      </c>
      <c r="B2182" s="2" t="inlineStr">
        <is>
          <t>короткая</t>
        </is>
      </c>
      <c r="C2182" s="2" t="n">
        <v>10564</v>
      </c>
      <c r="D2182" s="3" t="inlineStr">
        <is>
          <t>Кассандра</t>
        </is>
      </c>
      <c r="E2182" s="2" t="n">
        <v>1974</v>
      </c>
      <c r="F2182" s="2" t="inlineStr">
        <is>
          <t>фильм-спектакль</t>
        </is>
      </c>
      <c r="G2182" s="2" t="inlineStr">
        <is>
          <t>Укртелефильм</t>
        </is>
      </c>
      <c r="H2182" s="2" t="n">
        <v>179</v>
      </c>
      <c r="I2182" s="2" t="inlineStr"/>
      <c r="J2182" s="2" t="inlineStr"/>
      <c r="K2182" s="3" t="inlineStr">
        <is>
          <t>По одноименной пьесе Леси Украинки в постановке Киевского академического украинского драматического театра имени Ивана Франко.
В основе пьесы - древнегреческий миф о падении Трои.</t>
        </is>
      </c>
      <c r="L2182" s="2" t="inlineStr">
        <is>
          <t>https://www.kino-teatr.ru/teatr/movie/12955/annot/</t>
        </is>
      </c>
      <c r="M2182" s="2">
        <f>HYPERLINK("https://ru.wikipedia.org/w/index.php?search=%D0%9A%D0%B0%D1%81%D1%81%D0%B0%D0%BD%D0%B4%D1%80%D0%B0%201974%20%D1%84%D0%B8%D0%BB%D1%8C%D0%BC","искать")</f>
        <v/>
      </c>
      <c r="N2182" s="3" t="n"/>
      <c r="O2182" s="2" t="n"/>
    </row>
    <row r="2183">
      <c r="A2183" s="2" t="n">
        <v>2182</v>
      </c>
      <c r="B2183" s="2" t="inlineStr">
        <is>
          <t>короткая</t>
        </is>
      </c>
      <c r="C2183" s="2" t="n">
        <v>7385</v>
      </c>
      <c r="D2183" s="3" t="inlineStr">
        <is>
          <t>Вперед, гвардейцы!</t>
        </is>
      </c>
      <c r="E2183" s="2" t="n">
        <v>1971</v>
      </c>
      <c r="F2183" s="2" t="inlineStr">
        <is>
          <t>телефильм</t>
        </is>
      </c>
      <c r="G2183" s="2" t="inlineStr">
        <is>
          <t>Таджикфильм</t>
        </is>
      </c>
      <c r="H2183" s="2" t="n">
        <v>180</v>
      </c>
      <c r="I2183" s="2" t="inlineStr"/>
      <c r="J2183" s="2" t="inlineStr"/>
      <c r="K2183" s="3" t="inlineStr">
        <is>
          <t>Телефильм. Скучно пятерке друзей вместе с одноклассниками готовиться к "Зарнице". Гораздо интереснее попробовать себя в роли сыщиков и выяснить, кто же украл клад серебряных монет.</t>
        </is>
      </c>
      <c r="L2183" s="2" t="inlineStr">
        <is>
          <t>Кино_СССР сводный каталог.xlsx: список телефильмов</t>
        </is>
      </c>
      <c r="M2183" s="2">
        <f>HYPERLINK("https://ru.wikipedia.org/w/index.php?search=%D0%92%D0%BF%D0%B5%D1%80%D0%B5%D0%B4%2C%20%D0%B3%D0%B2%D0%B0%D1%80%D0%B4%D0%B5%D0%B9%D1%86%D1%8B%21%201971%20%D1%84%D0%B8%D0%BB%D1%8C%D0%BC","искать")</f>
        <v/>
      </c>
      <c r="N2183" s="3" t="n"/>
      <c r="O2183" s="2" t="n"/>
    </row>
    <row r="2184">
      <c r="A2184" s="2" t="n">
        <v>2183</v>
      </c>
      <c r="B2184" s="2" t="inlineStr">
        <is>
          <t>короткая</t>
        </is>
      </c>
      <c r="C2184" s="2" t="n">
        <v>8239</v>
      </c>
      <c r="D2184" s="3" t="inlineStr">
        <is>
          <t>Профессия — следователь</t>
        </is>
      </c>
      <c r="E2184" s="2" t="n">
        <v>1982</v>
      </c>
      <c r="F2184" s="2" t="inlineStr">
        <is>
          <t>телефильм</t>
        </is>
      </c>
      <c r="G2184" s="2" t="n"/>
      <c r="H2184" s="2" t="n">
        <v>180</v>
      </c>
      <c r="I2184" s="2" t="inlineStr"/>
      <c r="J2184" s="2" t="inlineStr"/>
      <c r="K2184" s="3" t="inlineStr">
        <is>
          <t>Телесериал. В основе сюжета - расследование дела о хищении государственной собственности. Герой фильма - старший следователь по особо важным делам полковник Борис Иванович Антонов.</t>
        </is>
      </c>
      <c r="L2184" s="2" t="inlineStr">
        <is>
          <t>Кино_СССР сводный каталог.xlsx: список телефильмов</t>
        </is>
      </c>
      <c r="M2184" s="2">
        <f>HYPERLINK("https://ru.wikipedia.org/w/index.php?search=%D0%9F%D1%80%D0%BE%D1%84%D0%B5%D1%81%D1%81%D0%B8%D1%8F%20%E2%80%94%20%D1%81%D0%BB%D0%B5%D0%B4%D0%BE%D0%B2%D0%B0%D1%82%D0%B5%D0%BB%D1%8C%201982%20%D1%84%D0%B8%D0%BB%D1%8C%D0%BC","искать")</f>
        <v/>
      </c>
      <c r="N2184" s="3" t="n"/>
      <c r="O2184" s="2" t="n"/>
    </row>
    <row r="2185">
      <c r="A2185" s="2" t="n">
        <v>2184</v>
      </c>
      <c r="B2185" s="2" t="inlineStr">
        <is>
          <t>короткая</t>
        </is>
      </c>
      <c r="C2185" s="2" t="n">
        <v>8572</v>
      </c>
      <c r="D2185" s="3" t="inlineStr">
        <is>
          <t>Чужой след</t>
        </is>
      </c>
      <c r="E2185" s="2" t="n">
        <v>1959</v>
      </c>
      <c r="F2185" s="2" t="inlineStr">
        <is>
          <t>телефильм</t>
        </is>
      </c>
      <c r="G2185" s="2" t="n"/>
      <c r="H2185" s="2" t="n">
        <v>180</v>
      </c>
      <c r="I2185" s="2" t="inlineStr"/>
      <c r="J2185" s="2" t="inlineStr"/>
      <c r="K2185" s="3" t="inlineStr">
        <is>
          <t>Телефильм. Детективная история о том, как сотрудники высокогорной гидрометеорологической станции вместе с пограничниками нейтрализуют коварные замыслы шпионов. Фильм не сохранился.</t>
        </is>
      </c>
      <c r="L2185" s="2" t="inlineStr">
        <is>
          <t>Кино_СССР сводный каталог.xlsx: список телефильмов</t>
        </is>
      </c>
      <c r="M2185" s="2">
        <f>HYPERLINK("https://ru.wikipedia.org/w/index.php?search=%D0%A7%D1%83%D0%B6%D0%BE%D0%B9%20%D1%81%D0%BB%D0%B5%D0%B4%201959%20%D1%84%D0%B8%D0%BB%D1%8C%D0%BC","искать")</f>
        <v/>
      </c>
      <c r="N2185" s="3" t="n"/>
      <c r="O2185" s="2" t="n"/>
    </row>
    <row r="2186">
      <c r="A2186" s="2" t="n">
        <v>2185</v>
      </c>
      <c r="B2186" s="2" t="inlineStr">
        <is>
          <t>короткая</t>
        </is>
      </c>
      <c r="C2186" s="2" t="n">
        <v>10832</v>
      </c>
      <c r="D2186" s="3" t="inlineStr">
        <is>
          <t>Банк Немо</t>
        </is>
      </c>
      <c r="E2186" s="2" t="n">
        <v>1980</v>
      </c>
      <c r="F2186" s="2" t="inlineStr">
        <is>
          <t>фильм-спектакль</t>
        </is>
      </c>
      <c r="G2186" s="2" t="inlineStr">
        <is>
          <t>Литовское телевидение</t>
        </is>
      </c>
      <c r="H2186" s="2" t="n">
        <v>180</v>
      </c>
      <c r="I2186" s="2" t="inlineStr"/>
      <c r="J2186" s="2" t="inlineStr"/>
      <c r="K2186" s="3" t="inlineStr">
        <is>
          <t>Это рассказ о молодом человеке, стремящемся сделать карьеру и деньги, о его хитрых интригах, когда он бросает под ноги честь, дружбу и чувства, используя доверчивых людей и женщин.</t>
        </is>
      </c>
      <c r="L2186" s="2" t="inlineStr">
        <is>
          <t>https://www.kino-teatr.ru/teatr/movie/106611/annot/</t>
        </is>
      </c>
      <c r="M2186" s="2">
        <f>HYPERLINK("https://ru.wikipedia.org/w/index.php?search=%D0%91%D0%B0%D0%BD%D0%BA%20%D0%9D%D0%B5%D0%BC%D0%BE%201980%20%D1%84%D0%B8%D0%BB%D1%8C%D0%BC","искать")</f>
        <v/>
      </c>
      <c r="N2186" s="3" t="n"/>
      <c r="O2186" s="2" t="n"/>
    </row>
    <row r="2187">
      <c r="A2187" s="2" t="n">
        <v>2186</v>
      </c>
      <c r="B2187" s="2" t="inlineStr">
        <is>
          <t>короткая</t>
        </is>
      </c>
      <c r="C2187" s="2" t="n">
        <v>8495</v>
      </c>
      <c r="D2187" s="3" t="inlineStr">
        <is>
          <t>У самого Чёрного моря</t>
        </is>
      </c>
      <c r="E2187" s="2" t="n">
        <v>1975</v>
      </c>
      <c r="F2187" s="2" t="inlineStr">
        <is>
          <t>телефильм</t>
        </is>
      </c>
      <c r="G2187" s="2" t="n"/>
      <c r="H2187" s="2" t="n">
        <v>181</v>
      </c>
      <c r="I2187" s="2" t="inlineStr"/>
      <c r="J2187" s="2" t="inlineStr"/>
      <c r="K2187" s="3" t="inlineStr">
        <is>
          <t>Молодой москвич проводит свой отпуск в маленьком абхазском селении. Радости и горести, будни и праздники жителей села вторгаются в его жизнь, и он становится их активным участником.</t>
        </is>
      </c>
      <c r="L2187" s="2" t="inlineStr">
        <is>
          <t>Кино_СССР сводный каталог.xlsx: список телефильмов</t>
        </is>
      </c>
      <c r="M2187" s="2">
        <f>HYPERLINK("https://ru.wikipedia.org/w/index.php?search=%D0%A3%20%D1%81%D0%B0%D0%BC%D0%BE%D0%B3%D0%BE%20%D0%A7%D1%91%D1%80%D0%BD%D0%BE%D0%B3%D0%BE%20%D0%BC%D0%BE%D1%80%D1%8F%201975%20%D1%84%D0%B8%D0%BB%D1%8C%D0%BC","искать")</f>
        <v/>
      </c>
      <c r="N2187" s="3" t="n"/>
      <c r="O2187" s="2" t="n"/>
    </row>
    <row r="2188">
      <c r="A2188" s="2" t="n">
        <v>2187</v>
      </c>
      <c r="B2188" s="2" t="inlineStr">
        <is>
          <t>короткая</t>
        </is>
      </c>
      <c r="C2188" s="2" t="n">
        <v>9658</v>
      </c>
      <c r="D2188" s="3" t="inlineStr">
        <is>
          <t>Совесть</t>
        </is>
      </c>
      <c r="E2188" s="2" t="n">
        <v>1968</v>
      </c>
      <c r="F2188" s="2" t="inlineStr">
        <is>
          <t>кинофильм</t>
        </is>
      </c>
      <c r="G2188" s="2" t="inlineStr">
        <is>
          <t>Киевский государственный институт театрального искусства им. И. К. Карпенко-Карого</t>
        </is>
      </c>
      <c r="H2188" s="2" t="n">
        <v>181</v>
      </c>
      <c r="I2188" s="2" t="inlineStr"/>
      <c r="J2188" s="2" t="inlineStr"/>
      <c r="K2188" s="3" t="inlineStr">
        <is>
          <t>Во время немецкой оккупации Украины сельский юноша убивает офицера. Немцы требуют выдать его и угрожают уничтожить всё село, ставя жителей и самого юношу перед нравственным выбором.</t>
        </is>
      </c>
      <c r="L2188" s="2" t="inlineStr">
        <is>
          <t>Кино_СССР сводный каталог.xlsx: список фильмов (доп.)</t>
        </is>
      </c>
      <c r="M2188" s="2">
        <f>HYPERLINK("https://ru.wikipedia.org/w/index.php?search=%D0%A1%D0%BE%D0%B2%D0%B5%D1%81%D1%82%D1%8C%201968%20%D1%84%D0%B8%D0%BB%D1%8C%D0%BC","искать")</f>
        <v/>
      </c>
      <c r="N2188" s="3" t="n"/>
      <c r="O2188" s="2" t="n"/>
    </row>
    <row r="2189">
      <c r="A2189" s="2" t="n">
        <v>2188</v>
      </c>
      <c r="B2189" s="2" t="inlineStr">
        <is>
          <t>короткая</t>
        </is>
      </c>
      <c r="C2189" s="2" t="n">
        <v>10690</v>
      </c>
      <c r="D2189" s="3" t="inlineStr">
        <is>
          <t>Кому нужны Дон-Кихоты?</t>
        </is>
      </c>
      <c r="E2189" s="2" t="n">
        <v>1977</v>
      </c>
      <c r="F2189" s="2" t="inlineStr">
        <is>
          <t>фильм-спектакль</t>
        </is>
      </c>
      <c r="G2189" s="2" t="inlineStr">
        <is>
          <t>Ленинградское телевидение</t>
        </is>
      </c>
      <c r="H2189" s="2" t="n">
        <v>181</v>
      </c>
      <c r="I2189" s="2" t="inlineStr"/>
      <c r="J2189" s="2" t="inlineStr"/>
      <c r="K2189" s="3" t="inlineStr">
        <is>
          <t>Телеспектакль-диспут по повести Майи Черкашиной "Девятый А".
В школе избили ученика. Народа вокруг было много, но вступился только один. 9-а и 9-б устроили после уроков "суд чести".</t>
        </is>
      </c>
      <c r="L2189" s="2" t="inlineStr">
        <is>
          <t>https://www.kino-teatr.ru/teatr/movie/119918/annot/</t>
        </is>
      </c>
      <c r="M2189" s="2">
        <f>HYPERLINK("https://ru.wikipedia.org/w/index.php?search=%D0%9A%D0%BE%D0%BC%D1%83%20%D0%BD%D1%83%D0%B6%D0%BD%D1%8B%20%D0%94%D0%BE%D0%BD-%D0%9A%D0%B8%D1%85%D0%BE%D1%82%D1%8B%3F%201977%20%D1%84%D0%B8%D0%BB%D1%8C%D0%BC","искать")</f>
        <v/>
      </c>
      <c r="N2189" s="3" t="n"/>
      <c r="O2189" s="2" t="n"/>
    </row>
    <row r="2190">
      <c r="A2190" s="2" t="n">
        <v>2189</v>
      </c>
      <c r="B2190" s="2" t="inlineStr">
        <is>
          <t>короткая</t>
        </is>
      </c>
      <c r="C2190" s="2" t="n">
        <v>8354</v>
      </c>
      <c r="D2190" s="3" t="inlineStr">
        <is>
          <t>Скачу за радугой</t>
        </is>
      </c>
      <c r="E2190" s="2" t="n">
        <v>1973</v>
      </c>
      <c r="F2190" s="2" t="inlineStr">
        <is>
          <t>телефильм</t>
        </is>
      </c>
      <c r="G2190" s="2" t="n"/>
      <c r="H2190" s="2" t="n">
        <v>182</v>
      </c>
      <c r="I2190" s="2" t="inlineStr"/>
      <c r="J2190" s="2" t="inlineStr"/>
      <c r="K2190" s="3" t="inlineStr">
        <is>
          <t>По повести Юзефа Принцева. О жизни школьников в пионерском лагере. Ребята с увлечением включились в военно-пионерскую игру, восстановили партизанскую землянку в лесу и создали музей.</t>
        </is>
      </c>
      <c r="L2190" s="2" t="inlineStr">
        <is>
          <t>Кино_СССР сводный каталог.xlsx: список телефильмов</t>
        </is>
      </c>
      <c r="M2190" s="2">
        <f>HYPERLINK("https://ru.wikipedia.org/w/index.php?search=%D0%A1%D0%BA%D0%B0%D1%87%D1%83%20%D0%B7%D0%B0%20%D1%80%D0%B0%D0%B4%D1%83%D0%B3%D0%BE%D0%B9%201973%20%D1%84%D0%B8%D0%BB%D1%8C%D0%BC","искать")</f>
        <v/>
      </c>
      <c r="N2190" s="3" t="n"/>
      <c r="O2190" s="2" t="n"/>
    </row>
    <row r="2191">
      <c r="A2191" s="2" t="n">
        <v>2190</v>
      </c>
      <c r="B2191" s="2" t="inlineStr">
        <is>
          <t>короткая</t>
        </is>
      </c>
      <c r="C2191" s="2" t="n">
        <v>7284</v>
      </c>
      <c r="D2191" s="3" t="inlineStr">
        <is>
          <t>Был настоящим трубачом</t>
        </is>
      </c>
      <c r="E2191" s="2" t="n">
        <v>1973</v>
      </c>
      <c r="F2191" s="2" t="inlineStr">
        <is>
          <t>телефильм</t>
        </is>
      </c>
      <c r="G2191" s="2" t="inlineStr">
        <is>
          <t>ТО «Экран»</t>
        </is>
      </c>
      <c r="H2191" s="2" t="n">
        <v>183</v>
      </c>
      <c r="I2191" s="2" t="inlineStr"/>
      <c r="J2191" s="2" t="inlineStr"/>
      <c r="K2191" s="3" t="inlineStr">
        <is>
          <t>О жизни девятилетнего артиста-агитатора Коти Мгеброва-Чекана, погибшего в 1922 году от руки контрреволюционера и похороненного в Петрограде на Марсовом поле рядом с героями революции.</t>
        </is>
      </c>
      <c r="L2191" s="2" t="inlineStr">
        <is>
          <t>Кино_СССР сводный каталог.xlsx: список телефильмов</t>
        </is>
      </c>
      <c r="M2191" s="2">
        <f>HYPERLINK("https://ru.wikipedia.org/w/index.php?search=%D0%91%D1%8B%D0%BB%20%D0%BD%D0%B0%D1%81%D1%82%D0%BE%D1%8F%D1%89%D0%B8%D0%BC%20%D1%82%D1%80%D1%83%D0%B1%D0%B0%D1%87%D0%BE%D0%BC%201973%20%D1%84%D0%B8%D0%BB%D1%8C%D0%BC","искать")</f>
        <v/>
      </c>
      <c r="N2191" s="3" t="n"/>
      <c r="O2191" s="2" t="n"/>
    </row>
    <row r="2192">
      <c r="A2192" s="2" t="n">
        <v>2191</v>
      </c>
      <c r="B2192" s="2" t="inlineStr">
        <is>
          <t>короткая</t>
        </is>
      </c>
      <c r="C2192" s="2" t="n">
        <v>8197</v>
      </c>
      <c r="D2192" s="3" t="inlineStr">
        <is>
          <t>Приехали на конкурс повара...</t>
        </is>
      </c>
      <c r="E2192" s="2" t="n">
        <v>1977</v>
      </c>
      <c r="F2192" s="2" t="inlineStr">
        <is>
          <t>телефильм</t>
        </is>
      </c>
      <c r="G2192" s="2" t="n"/>
      <c r="H2192" s="2" t="n">
        <v>183</v>
      </c>
      <c r="I2192" s="2" t="inlineStr"/>
      <c r="J2192" s="2" t="inlineStr"/>
      <c r="K2192" s="3" t="inlineStr">
        <is>
          <t>Забавные приключения трех поваров из Еревана, приехавших в Москву на конкурс мастеров кулинарного искусства. Но из-за целого ряда веселых недоразумений призовое место от них уплывает.</t>
        </is>
      </c>
      <c r="L2192" s="2" t="inlineStr">
        <is>
          <t>Кино_СССР сводный каталог.xlsx: список телефильмов</t>
        </is>
      </c>
      <c r="M2192" s="2">
        <f>HYPERLINK("https://ru.wikipedia.org/w/index.php?search=%D0%9F%D1%80%D0%B8%D0%B5%D1%85%D0%B0%D0%BB%D0%B8%20%D0%BD%D0%B0%20%D0%BA%D0%BE%D0%BD%D0%BA%D1%83%D1%80%D1%81%20%D0%BF%D0%BE%D0%B2%D0%B0%D1%80%D0%B0...%201977%20%D1%84%D0%B8%D0%BB%D1%8C%D0%BC","искать")</f>
        <v/>
      </c>
      <c r="N2192" s="3" t="n"/>
      <c r="O2192" s="2" t="n"/>
    </row>
    <row r="2193">
      <c r="A2193" s="2" t="n">
        <v>2192</v>
      </c>
      <c r="B2193" s="2" t="inlineStr">
        <is>
          <t>короткая</t>
        </is>
      </c>
      <c r="C2193" s="2" t="n">
        <v>8364</v>
      </c>
      <c r="D2193" s="3" t="inlineStr">
        <is>
          <t>Смок и Малыш</t>
        </is>
      </c>
      <c r="E2193" s="2" t="n">
        <v>1975</v>
      </c>
      <c r="F2193" s="2" t="inlineStr">
        <is>
          <t>телефильм</t>
        </is>
      </c>
      <c r="G2193" s="2" t="n"/>
      <c r="H2193" s="2" t="n">
        <v>183</v>
      </c>
      <c r="I2193" s="2" t="inlineStr"/>
      <c r="J2193" s="2" t="inlineStr"/>
      <c r="K2193" s="3" t="inlineStr">
        <is>
          <t>Фильм поставлен по мотивам двух сборников рассказов "Смок Белью" и "Смок и Малыш" американского писателя Джека Лондона. Приключения двух друзей во времена золотой лихорадки в Америке.</t>
        </is>
      </c>
      <c r="L2193" s="2" t="inlineStr">
        <is>
          <t>Кино_СССР сводный каталог.xlsx: список телефильмов</t>
        </is>
      </c>
      <c r="M2193" s="2">
        <f>HYPERLINK("https://ru.wikipedia.org/w/index.php?search=%D0%A1%D0%BC%D0%BE%D0%BA%20%D0%B8%20%D0%9C%D0%B0%D0%BB%D1%8B%D1%88%201975%20%D1%84%D0%B8%D0%BB%D1%8C%D0%BC","искать")</f>
        <v/>
      </c>
      <c r="N2193" s="3" t="n"/>
      <c r="O2193" s="2" t="n"/>
    </row>
    <row r="2194">
      <c r="A2194" s="2" t="n">
        <v>2193</v>
      </c>
      <c r="B2194" s="2" t="inlineStr">
        <is>
          <t>короткая</t>
        </is>
      </c>
      <c r="C2194" s="2" t="n">
        <v>9411</v>
      </c>
      <c r="D2194" s="3" t="inlineStr">
        <is>
          <t>Карьер</t>
        </is>
      </c>
      <c r="E2194" s="2" t="n">
        <v>1990</v>
      </c>
      <c r="F2194" s="2" t="inlineStr">
        <is>
          <t>кинофильм</t>
        </is>
      </c>
      <c r="G2194" s="2" t="n"/>
      <c r="H2194" s="2" t="n">
        <v>183</v>
      </c>
      <c r="I2194" s="2" t="inlineStr"/>
      <c r="J2194" s="2" t="inlineStr"/>
      <c r="K2194" s="3" t="inlineStr">
        <is>
          <t>В 1941 году в оккупированной Белоруссии раненый офицер Алексей Агеев скрывается у попадьи. Местный полицай, узнав о его появлении, заставляет его согласиться на тайное сотрудничество.</t>
        </is>
      </c>
      <c r="L2194" s="2" t="inlineStr">
        <is>
          <t>Кино_СССР сводный каталог.xlsx: список фильмов (доп.)</t>
        </is>
      </c>
      <c r="M2194" s="2">
        <f>HYPERLINK("https://ru.wikipedia.org/w/index.php?search=%D0%9A%D0%B0%D1%80%D1%8C%D0%B5%D1%80%201990%20%D1%84%D0%B8%D0%BB%D1%8C%D0%BC","искать")</f>
        <v/>
      </c>
      <c r="N2194" s="3" t="n"/>
      <c r="O2194" s="2" t="n"/>
    </row>
    <row r="2195">
      <c r="A2195" s="2" t="n">
        <v>2194</v>
      </c>
      <c r="B2195" s="2" t="inlineStr">
        <is>
          <t>короткая</t>
        </is>
      </c>
      <c r="C2195" s="2" t="n">
        <v>9528</v>
      </c>
      <c r="D2195" s="3" t="inlineStr">
        <is>
          <t>Операция "Вундерланд"</t>
        </is>
      </c>
      <c r="E2195" s="2" t="n">
        <v>1988</v>
      </c>
      <c r="F2195" s="2" t="inlineStr">
        <is>
          <t>кинофильм</t>
        </is>
      </c>
      <c r="G2195" s="2" t="n"/>
      <c r="H2195" s="2" t="n">
        <v>183</v>
      </c>
      <c r="I2195" s="2" t="inlineStr"/>
      <c r="J2195" s="2" t="inlineStr"/>
      <c r="K2195" s="3" t="inlineStr">
        <is>
          <t>ოპერაცია „ვუნდერლანდი“ В основе сюжета - реальные события 1942 года, которые происходили на Крайнем Севере. Два советских каравана со стратегическим сырьем шли северным морским путем.</t>
        </is>
      </c>
      <c r="L2195" s="2" t="inlineStr">
        <is>
          <t>Кино_СССР сводный каталог.xlsx: список фильмов (доп.)</t>
        </is>
      </c>
      <c r="M2195" s="2">
        <f>HYPERLINK("https://ru.wikipedia.org/w/index.php?search=%D0%9E%D0%BF%D0%B5%D1%80%D0%B0%D1%86%D0%B8%D1%8F%20%22%D0%92%D1%83%D0%BD%D0%B4%D0%B5%D1%80%D0%BB%D0%B0%D0%BD%D0%B4%22%201988%20%D1%84%D0%B8%D0%BB%D1%8C%D0%BC","искать")</f>
        <v/>
      </c>
      <c r="N2195" s="3" t="n"/>
      <c r="O2195" s="2" t="n"/>
    </row>
    <row r="2196">
      <c r="A2196" s="2" t="n">
        <v>2195</v>
      </c>
      <c r="B2196" s="2" t="inlineStr">
        <is>
          <t>короткая</t>
        </is>
      </c>
      <c r="C2196" s="2" t="n">
        <v>10254</v>
      </c>
      <c r="D2196" s="3" t="inlineStr">
        <is>
          <t>Мальчик из спичечной коробки</t>
        </is>
      </c>
      <c r="E2196" s="2" t="n">
        <v>1968</v>
      </c>
      <c r="F2196" s="2" t="inlineStr">
        <is>
          <t>фильм-спектакль</t>
        </is>
      </c>
      <c r="G2196" s="2" t="inlineStr">
        <is>
          <t>Ленинградское телевидение</t>
        </is>
      </c>
      <c r="H2196" s="2" t="n">
        <v>183</v>
      </c>
      <c r="I2196" s="2" t="inlineStr"/>
      <c r="J2196" s="2" t="inlineStr"/>
      <c r="K2196" s="3" t="inlineStr">
        <is>
          <t>Героя повести немецкого писателя Эриха Кёстнера зовут Макс Пихельштейнер. Он спит в спичечной коробке и росту в нем всего пять сантиметров. Жизнь Макса полна удивительных приключений.</t>
        </is>
      </c>
      <c r="L2196" s="2" t="inlineStr">
        <is>
          <t>https://www.kino-teatr.ru/teatr/movie/84828/annot/</t>
        </is>
      </c>
      <c r="M2196" s="2">
        <f>HYPERLINK("https://ru.wikipedia.org/w/index.php?search=%D0%9C%D0%B0%D0%BB%D1%8C%D1%87%D0%B8%D0%BA%20%D0%B8%D0%B7%20%D1%81%D0%BF%D0%B8%D1%87%D0%B5%D1%87%D0%BD%D0%BE%D0%B9%20%D0%BA%D0%BE%D1%80%D0%BE%D0%B1%D0%BA%D0%B8%201968%20%D1%84%D0%B8%D0%BB%D1%8C%D0%BC","искать")</f>
        <v/>
      </c>
      <c r="N2196" s="3" t="n"/>
      <c r="O2196" s="2" t="n"/>
    </row>
    <row r="2197">
      <c r="A2197" s="2" t="n">
        <v>2196</v>
      </c>
      <c r="B2197" s="2" t="inlineStr">
        <is>
          <t>короткая</t>
        </is>
      </c>
      <c r="C2197" s="2" t="n">
        <v>11309</v>
      </c>
      <c r="D2197" s="3" t="inlineStr">
        <is>
          <t>Мечта, не предай</t>
        </is>
      </c>
      <c r="E2197" s="2" t="n">
        <v>1990</v>
      </c>
      <c r="F2197" s="2" t="inlineStr">
        <is>
          <t>фильм-спектакль</t>
        </is>
      </c>
      <c r="G2197" s="2" t="n"/>
      <c r="H2197" s="2" t="n">
        <v>183</v>
      </c>
      <c r="I2197" s="2" t="inlineStr"/>
      <c r="J2197" s="2" t="inlineStr"/>
      <c r="K2197" s="3" t="inlineStr">
        <is>
          <t>Телефильм о жизни и творчестве украинской поэтессы Леси Украинки. Исполняются стихотворения, фрагменты драматических произведений "Лесная песня", "В катакомбах", "Каменный властелин".</t>
        </is>
      </c>
      <c r="L2197" s="2" t="inlineStr">
        <is>
          <t>https://www.kino-teatr.ru/teatr/movie/101772/annot/</t>
        </is>
      </c>
      <c r="M2197" s="2">
        <f>HYPERLINK("https://ru.wikipedia.org/w/index.php?search=%D0%9C%D0%B5%D1%87%D1%82%D0%B0%2C%20%D0%BD%D0%B5%20%D0%BF%D1%80%D0%B5%D0%B4%D0%B0%D0%B9%201990%20%D1%84%D0%B8%D0%BB%D1%8C%D0%BC","искать")</f>
        <v/>
      </c>
      <c r="N2197" s="3" t="n"/>
      <c r="O2197" s="2" t="n"/>
    </row>
    <row r="2198">
      <c r="A2198" s="2" t="n">
        <v>2197</v>
      </c>
      <c r="B2198" s="2" t="inlineStr">
        <is>
          <t>короткая</t>
        </is>
      </c>
      <c r="C2198" s="2" t="n">
        <v>7280</v>
      </c>
      <c r="D2198" s="3" t="inlineStr">
        <is>
          <t>Буйный Терек</t>
        </is>
      </c>
      <c r="E2198" s="2" t="n">
        <v>1981</v>
      </c>
      <c r="F2198" s="2" t="inlineStr">
        <is>
          <t>телефильм</t>
        </is>
      </c>
      <c r="G2198" s="2" t="n"/>
      <c r="H2198" s="2" t="n">
        <v>184</v>
      </c>
      <c r="I2198" s="2" t="inlineStr"/>
      <c r="J2198" s="2" t="inlineStr"/>
      <c r="K2198" s="3" t="inlineStr">
        <is>
          <t>События фильма происходят после Февральской революции 1917 года. В центре фильма - судьба двух сыновей полковника Дзандара, один примкнул к большевикам, другой - к контрреволюционерам.</t>
        </is>
      </c>
      <c r="L2198" s="2" t="inlineStr">
        <is>
          <t>Кино_СССР сводный каталог.xlsx: список телефильмов</t>
        </is>
      </c>
      <c r="M2198" s="2">
        <f>HYPERLINK("https://ru.wikipedia.org/w/index.php?search=%D0%91%D1%83%D0%B9%D0%BD%D1%8B%D0%B9%20%D0%A2%D0%B5%D1%80%D0%B5%D0%BA%201981%20%D1%84%D0%B8%D0%BB%D1%8C%D0%BC","искать")</f>
        <v/>
      </c>
      <c r="N2198" s="3" t="n"/>
      <c r="O2198" s="2" t="n"/>
    </row>
    <row r="2199">
      <c r="A2199" s="2" t="n">
        <v>2198</v>
      </c>
      <c r="B2199" s="2" t="inlineStr">
        <is>
          <t>короткая</t>
        </is>
      </c>
      <c r="C2199" s="2" t="n">
        <v>9711</v>
      </c>
      <c r="D2199" s="3" t="inlineStr">
        <is>
          <t>Улыбка на камне</t>
        </is>
      </c>
      <c r="E2199" s="2" t="n">
        <v>1974</v>
      </c>
      <c r="F2199" s="2" t="inlineStr">
        <is>
          <t>кинофильм</t>
        </is>
      </c>
      <c r="G2199" s="2" t="n"/>
      <c r="H2199" s="2" t="n">
        <v>184</v>
      </c>
      <c r="I2199" s="2" t="inlineStr"/>
      <c r="J2199" s="2" t="inlineStr"/>
      <c r="K2199" s="3" t="inlineStr">
        <is>
          <t>Герой фильма - скульптор. К нему обратились жители его родного села с просьбой создать памятник погибшим на войне. Событие это стало поворотным в гражданской и творческой судьбе героя.</t>
        </is>
      </c>
      <c r="L2199" s="2" t="inlineStr">
        <is>
          <t>Кино_СССР сводный каталог.xlsx: список фильмов (доп.)</t>
        </is>
      </c>
      <c r="M2199" s="2">
        <f>HYPERLINK("https://ru.wikipedia.org/w/index.php?search=%D0%A3%D0%BB%D1%8B%D0%B1%D0%BA%D0%B0%20%D0%BD%D0%B0%20%D0%BA%D0%B0%D0%BC%D0%BD%D0%B5%201974%20%D1%84%D0%B8%D0%BB%D1%8C%D0%BC","искать")</f>
        <v/>
      </c>
      <c r="N2199" s="3" t="n"/>
      <c r="O2199" s="2" t="n"/>
    </row>
    <row r="2200">
      <c r="A2200" s="2" t="n">
        <v>2199</v>
      </c>
      <c r="B2200" s="2" t="inlineStr">
        <is>
          <t>короткая</t>
        </is>
      </c>
      <c r="C2200" s="2" t="n">
        <v>10225</v>
      </c>
      <c r="D2200" s="3" t="inlineStr">
        <is>
          <t>Шоу Кэрол Бернетт (1967-1978, 1991)</t>
        </is>
      </c>
      <c r="E2200" s="2" t="n">
        <v>1967</v>
      </c>
      <c r="F2200" s="2" t="inlineStr">
        <is>
          <t>фильм-спектакль</t>
        </is>
      </c>
      <c r="G2200" s="2" t="inlineStr">
        <is>
          <t>Burngood, Bob Banner Associates, Punkin Productions Inc.</t>
        </is>
      </c>
      <c r="H2200" s="2" t="n">
        <v>184</v>
      </c>
      <c r="I2200" s="2" t="inlineStr"/>
      <c r="J2200" s="2" t="inlineStr"/>
      <c r="K2200" s="3" t="inlineStr">
        <is>
          <t>Еженедельное телевизионное шоу Кэролл Барнетт и ее труппы пародистов, исполняющих искрометные пародии на множество известных фильмов. Сериал снимался с участием приглашенных кинозвезд.</t>
        </is>
      </c>
      <c r="L2200" s="2" t="inlineStr">
        <is>
          <t>https://www.kino-teatr.ru/teatr/movie/58973/annot/</t>
        </is>
      </c>
      <c r="M2200" s="2">
        <f>HYPERLINK("https://ru.wikipedia.org/w/index.php?search=%D0%A8%D0%BE%D1%83%20%D0%9A%D1%8D%D1%80%D0%BE%D0%BB%20%D0%91%D0%B5%D1%80%D0%BD%D0%B5%D1%82%D1%82%20%281967-1978%2C%201991%29%201967%20%D1%84%D0%B8%D0%BB%D1%8C%D0%BC","искать")</f>
        <v/>
      </c>
      <c r="N2200" s="3" t="n"/>
      <c r="O2200" s="2" t="n"/>
    </row>
    <row r="2201">
      <c r="A2201" s="2" t="n">
        <v>2200</v>
      </c>
      <c r="B2201" s="2" t="inlineStr">
        <is>
          <t>короткая</t>
        </is>
      </c>
      <c r="C2201" s="2" t="n">
        <v>10889</v>
      </c>
      <c r="D2201" s="3" t="inlineStr">
        <is>
          <t>Любовь октябрёнка Овечкина</t>
        </is>
      </c>
      <c r="E2201" s="2" t="n">
        <v>1981</v>
      </c>
      <c r="F2201" s="2" t="inlineStr">
        <is>
          <t>фильм-спектакль</t>
        </is>
      </c>
      <c r="G2201" s="2" t="inlineStr">
        <is>
          <t>Ленинградское телевидение</t>
        </is>
      </c>
      <c r="H2201" s="2" t="n">
        <v>184</v>
      </c>
      <c r="I2201" s="2" t="inlineStr"/>
      <c r="J2201" s="2" t="inlineStr"/>
      <c r="K2201" s="3" t="inlineStr">
        <is>
          <t>По рассказу Н. Соломко.
Первоклассник Валера Овечкин влюблен в девятиклассницу Оленьку.
Однажды Оля со своим одноклассником Мишей решили прогулять контрольную и взяли Овечкина с собой.</t>
        </is>
      </c>
      <c r="L2201" s="2" t="inlineStr">
        <is>
          <t>https://www.kino-teatr.ru/teatr/movie/104801/annot/</t>
        </is>
      </c>
      <c r="M2201" s="2">
        <f>HYPERLINK("https://ru.wikipedia.org/w/index.php?search=%D0%9B%D1%8E%D0%B1%D0%BE%D0%B2%D1%8C%20%D0%BE%D0%BA%D1%82%D1%8F%D0%B1%D1%80%D1%91%D0%BD%D0%BA%D0%B0%20%D0%9E%D0%B2%D0%B5%D1%87%D0%BA%D0%B8%D0%BD%D0%B0%201981%20%D1%84%D0%B8%D0%BB%D1%8C%D0%BC","искать")</f>
        <v/>
      </c>
      <c r="N2201" s="3" t="n"/>
      <c r="O2201" s="2" t="n"/>
    </row>
    <row r="2202">
      <c r="A2202" s="2" t="n">
        <v>2201</v>
      </c>
      <c r="B2202" s="2" t="inlineStr">
        <is>
          <t>короткая</t>
        </is>
      </c>
      <c r="C2202" s="2" t="n">
        <v>11316</v>
      </c>
      <c r="D2202" s="3" t="inlineStr">
        <is>
          <t>Приключения Пифа</t>
        </is>
      </c>
      <c r="E2202" s="2" t="n">
        <v>1990</v>
      </c>
      <c r="F2202" s="2" t="inlineStr">
        <is>
          <t>фильм-спектакль</t>
        </is>
      </c>
      <c r="G2202" s="2" t="inlineStr">
        <is>
          <t>ПАНОРАМА (С.-Пб.)</t>
        </is>
      </c>
      <c r="H2202" s="2" t="n">
        <v>184</v>
      </c>
      <c r="I2202" s="2" t="inlineStr"/>
      <c r="J2202" s="2" t="inlineStr"/>
      <c r="K2202" s="3" t="inlineStr">
        <is>
          <t>По одноименной пьесе В.Шуковского и М.Астрана в постановке Ленинградского Большого театра кукол. О забавных приключениях пса Пифа и его подружки мышки Розали. Постановка В.Сударушкина.</t>
        </is>
      </c>
      <c r="L2202" s="2" t="inlineStr">
        <is>
          <t>https://www.kino-teatr.ru/teatr/movie/9757/annot/</t>
        </is>
      </c>
      <c r="M2202" s="2">
        <f>HYPERLINK("https://ru.wikipedia.org/w/index.php?search=%D0%9F%D1%80%D0%B8%D0%BA%D0%BB%D1%8E%D1%87%D0%B5%D0%BD%D0%B8%D1%8F%20%D0%9F%D0%B8%D1%84%D0%B0%201990%20%D1%84%D0%B8%D0%BB%D1%8C%D0%BC","искать")</f>
        <v/>
      </c>
      <c r="N2202" s="3" t="n"/>
      <c r="O2202" s="2" t="n"/>
    </row>
    <row r="2203">
      <c r="A2203" s="2" t="n">
        <v>2202</v>
      </c>
      <c r="B2203" s="2" t="inlineStr">
        <is>
          <t>короткая</t>
        </is>
      </c>
      <c r="C2203" s="2" t="n">
        <v>7666</v>
      </c>
      <c r="D2203" s="3" t="inlineStr">
        <is>
          <t>И тогда ты вернешься...</t>
        </is>
      </c>
      <c r="E2203" s="2" t="n">
        <v>1976</v>
      </c>
      <c r="F2203" s="2" t="inlineStr">
        <is>
          <t>телефильм</t>
        </is>
      </c>
      <c r="G2203" s="2" t="n"/>
      <c r="H2203" s="2" t="n">
        <v>185</v>
      </c>
      <c r="I2203" s="2" t="inlineStr"/>
      <c r="J2203" s="2" t="inlineStr"/>
      <c r="K2203" s="3" t="inlineStr">
        <is>
          <t>Героиня – сотрудница Института древних рукописей, проецирует события своей жизни на изучаемые ею истории из средневековых манускриптов и приходит к весьма поучительным для себя выводам.</t>
        </is>
      </c>
      <c r="L2203" s="2" t="inlineStr">
        <is>
          <t>Кино_СССР сводный каталог.xlsx: список телефильмов</t>
        </is>
      </c>
      <c r="M2203" s="2">
        <f>HYPERLINK("https://ru.wikipedia.org/w/index.php?search=%D0%98%20%D1%82%D0%BE%D0%B3%D0%B4%D0%B0%20%D1%82%D1%8B%20%D0%B2%D0%B5%D1%80%D0%BD%D0%B5%D1%88%D1%8C%D1%81%D1%8F...%201976%20%D1%84%D0%B8%D0%BB%D1%8C%D0%BC","искать")</f>
        <v/>
      </c>
      <c r="N2203" s="3" t="n"/>
      <c r="O2203" s="2" t="n"/>
    </row>
    <row r="2204">
      <c r="A2204" s="2" t="n">
        <v>2203</v>
      </c>
      <c r="B2204" s="2" t="inlineStr">
        <is>
          <t>короткая</t>
        </is>
      </c>
      <c r="C2204" s="2" t="n">
        <v>8264</v>
      </c>
      <c r="D2204" s="3" t="inlineStr">
        <is>
          <t>Рассказы о Кешке и его друзьях</t>
        </is>
      </c>
      <c r="E2204" s="2" t="n">
        <v>1974</v>
      </c>
      <c r="F2204" s="2" t="inlineStr">
        <is>
          <t>телефильм</t>
        </is>
      </c>
      <c r="G2204" s="2" t="n"/>
      <c r="H2204" s="2" t="n">
        <v>185</v>
      </c>
      <c r="I2204" s="2" t="inlineStr"/>
      <c r="J2204" s="2" t="inlineStr"/>
      <c r="K2204" s="3" t="inlineStr">
        <is>
          <t>Телесериал. Весельчак Кешка, непоседа Борька, романтик Сима, деловая Анечка и чрезвычайно серьезный Толян, неожиданно увлекшись спортом, вполне серьезно принимаются за сооружение карта.</t>
        </is>
      </c>
      <c r="L2204" s="2" t="inlineStr">
        <is>
          <t>Кино_СССР сводный каталог.xlsx: список телефильмов</t>
        </is>
      </c>
      <c r="M2204" s="2">
        <f>HYPERLINK("https://ru.wikipedia.org/w/index.php?search=%D0%A0%D0%B0%D1%81%D1%81%D0%BA%D0%B0%D0%B7%D1%8B%20%D0%BE%20%D0%9A%D0%B5%D1%88%D0%BA%D0%B5%20%D0%B8%20%D0%B5%D0%B3%D0%BE%20%D0%B4%D1%80%D1%83%D0%B7%D1%8C%D1%8F%D1%85%201974%20%D1%84%D0%B8%D0%BB%D1%8C%D0%BC","искать")</f>
        <v/>
      </c>
      <c r="N2204" s="3" t="n"/>
      <c r="O2204" s="2" t="n"/>
    </row>
    <row r="2205">
      <c r="A2205" s="2" t="n">
        <v>2204</v>
      </c>
      <c r="B2205" s="2" t="inlineStr">
        <is>
          <t>короткая</t>
        </is>
      </c>
      <c r="C2205" s="2" t="n">
        <v>10681</v>
      </c>
      <c r="D2205" s="3" t="inlineStr">
        <is>
          <t>Вызов</t>
        </is>
      </c>
      <c r="E2205" s="2" t="n">
        <v>1977</v>
      </c>
      <c r="F2205" s="2" t="inlineStr">
        <is>
          <t>фильм-спектакль</t>
        </is>
      </c>
      <c r="G2205" s="2" t="inlineStr">
        <is>
          <t>Центральное телевидение</t>
        </is>
      </c>
      <c r="H2205" s="2" t="n">
        <v>185</v>
      </c>
      <c r="I2205" s="2" t="inlineStr"/>
      <c r="J2205" s="2" t="inlineStr"/>
      <c r="K2205" s="3" t="inlineStr">
        <is>
          <t>Действие происходит в колхозе "Вызов".
На смену опытному председателю колхоза Бересту приходит молодой специалист, экономист Бочарова, которая стремится реорганизовать работу хозяйства.</t>
        </is>
      </c>
      <c r="L2205" s="2" t="inlineStr">
        <is>
          <t>https://www.kino-teatr.ru/teatr/movie/95557/annot/</t>
        </is>
      </c>
      <c r="M2205" s="2">
        <f>HYPERLINK("https://ru.wikipedia.org/w/index.php?search=%D0%92%D1%8B%D0%B7%D0%BE%D0%B2%201977%20%D1%84%D0%B8%D0%BB%D1%8C%D0%BC","искать")</f>
        <v/>
      </c>
      <c r="N2205" s="3" t="n"/>
      <c r="O2205" s="2" t="n"/>
    </row>
    <row r="2206">
      <c r="A2206" s="2" t="n">
        <v>2205</v>
      </c>
      <c r="B2206" s="2" t="inlineStr">
        <is>
          <t>короткая</t>
        </is>
      </c>
      <c r="C2206" s="2" t="n">
        <v>10822</v>
      </c>
      <c r="D2206" s="3" t="inlineStr">
        <is>
          <t>Хлопотун, или Дело мастера боится</t>
        </is>
      </c>
      <c r="E2206" s="2" t="n">
        <v>1979</v>
      </c>
      <c r="F2206" s="2" t="inlineStr">
        <is>
          <t>фильм-спектакль</t>
        </is>
      </c>
      <c r="G2206" s="2" t="n"/>
      <c r="H2206" s="2" t="n">
        <v>185</v>
      </c>
      <c r="I2206" s="2" t="inlineStr"/>
      <c r="J2206" s="2" t="inlineStr"/>
      <c r="K2206" s="3" t="inlineStr">
        <is>
          <t>По мотивам водевиля А.И.Писарева "Хлопотун, или Дело мастера боится" (1824).
Господин Репейкин - отзывчивый, но безалаберный человек, пытаясь всем помочь, зачастую сам попадает впросак.</t>
        </is>
      </c>
      <c r="L2206" s="2" t="inlineStr">
        <is>
          <t>https://www.kino-teatr.ru/teatr/movie/101424/annot/</t>
        </is>
      </c>
      <c r="M2206" s="2">
        <f>HYPERLINK("https://ru.wikipedia.org/w/index.php?search=%D0%A5%D0%BB%D0%BE%D0%BF%D0%BE%D1%82%D1%83%D0%BD%2C%20%D0%B8%D0%BB%D0%B8%20%D0%94%D0%B5%D0%BB%D0%BE%20%D0%BC%D0%B0%D1%81%D1%82%D0%B5%D1%80%D0%B0%20%D0%B1%D0%BE%D0%B8%D1%82%D1%81%D1%8F%201979%20%D1%84%D0%B8%D0%BB%D1%8C%D0%BC","искать")</f>
        <v/>
      </c>
      <c r="N2206" s="3" t="n"/>
      <c r="O2206" s="2" t="n"/>
    </row>
    <row r="2207">
      <c r="A2207" s="2" t="n">
        <v>2206</v>
      </c>
      <c r="B2207" s="2" t="inlineStr">
        <is>
          <t>короткая</t>
        </is>
      </c>
      <c r="C2207" s="2" t="n">
        <v>10973</v>
      </c>
      <c r="D2207" s="3" t="inlineStr">
        <is>
          <t>Усвятские шлемоносцы</t>
        </is>
      </c>
      <c r="E2207" s="2" t="n">
        <v>1982</v>
      </c>
      <c r="F2207" s="2" t="inlineStr">
        <is>
          <t>фильм-спектакль</t>
        </is>
      </c>
      <c r="G2207" s="2" t="inlineStr">
        <is>
          <t>Главная редакция литературно-драматических программ ЦТ</t>
        </is>
      </c>
      <c r="H2207" s="2" t="n">
        <v>185</v>
      </c>
      <c r="I2207" s="2" t="inlineStr"/>
      <c r="J2207" s="2" t="inlineStr"/>
      <c r="K2207" s="3" t="inlineStr">
        <is>
          <t>По мотивам повести Евгения Носова в постановке Куйбышевского академического театра драмы имени М. Горького.
О жителях русской деревушки, ушедших защищать свою Родину в первые дни войны.</t>
        </is>
      </c>
      <c r="L2207" s="2" t="inlineStr">
        <is>
          <t>https://www.kino-teatr.ru/teatr/movie/107636/annot/</t>
        </is>
      </c>
      <c r="M2207" s="2">
        <f>HYPERLINK("https://ru.wikipedia.org/w/index.php?search=%D0%A3%D1%81%D0%B2%D1%8F%D1%82%D1%81%D0%BA%D0%B8%D0%B5%20%D1%88%D0%BB%D0%B5%D0%BC%D0%BE%D0%BD%D0%BE%D1%81%D1%86%D1%8B%201982%20%D1%84%D0%B8%D0%BB%D1%8C%D0%BC","искать")</f>
        <v/>
      </c>
      <c r="N2207" s="3" t="n"/>
      <c r="O2207" s="2" t="n"/>
    </row>
    <row r="2208">
      <c r="A2208" s="2" t="n">
        <v>2207</v>
      </c>
      <c r="B2208" s="2" t="inlineStr">
        <is>
          <t>короткая</t>
        </is>
      </c>
      <c r="C2208" s="2" t="n">
        <v>11069</v>
      </c>
      <c r="D2208" s="3" t="inlineStr">
        <is>
          <t>Новоселье</t>
        </is>
      </c>
      <c r="E2208" s="2" t="n">
        <v>1985</v>
      </c>
      <c r="F2208" s="2" t="inlineStr">
        <is>
          <t>фильм-спектакль</t>
        </is>
      </c>
      <c r="G2208" s="2" t="inlineStr">
        <is>
          <t>Главная редакция литературно-драматических программ ЦТ</t>
        </is>
      </c>
      <c r="H2208" s="2" t="n">
        <v>185</v>
      </c>
      <c r="I2208" s="2" t="inlineStr"/>
      <c r="J2208" s="2" t="inlineStr"/>
      <c r="K2208" s="3" t="inlineStr">
        <is>
          <t>По одноименной пьесе Аркадия Ваксберга.
Действие происходит в одном из строительных управлений, куда направляется журналист столичной газеты, чтобы разобраться в истинном положении дел.</t>
        </is>
      </c>
      <c r="L2208" s="2" t="inlineStr">
        <is>
          <t>https://www.kino-teatr.ru/teatr/movie/106804/annot/</t>
        </is>
      </c>
      <c r="M2208" s="2">
        <f>HYPERLINK("https://ru.wikipedia.org/w/index.php?search=%D0%9D%D0%BE%D0%B2%D0%BE%D1%81%D0%B5%D0%BB%D1%8C%D0%B5%201985%20%D1%84%D0%B8%D0%BB%D1%8C%D0%BC","искать")</f>
        <v/>
      </c>
      <c r="N2208" s="3" t="n"/>
      <c r="O2208" s="2" t="n"/>
    </row>
    <row r="2209">
      <c r="A2209" s="2" t="n">
        <v>2208</v>
      </c>
      <c r="B2209" s="2" t="inlineStr">
        <is>
          <t>короткая</t>
        </is>
      </c>
      <c r="C2209" s="2" t="n">
        <v>9896</v>
      </c>
      <c r="D2209" s="3" t="inlineStr">
        <is>
          <t>Солдатёнок</t>
        </is>
      </c>
      <c r="E2209" s="2" t="n">
        <v>1972</v>
      </c>
      <c r="F2209" s="2" t="inlineStr">
        <is>
          <t>телефильм</t>
        </is>
      </c>
      <c r="G2209" s="2" t="inlineStr">
        <is>
          <t>Киргизтелефильм</t>
        </is>
      </c>
      <c r="H2209" s="2" t="n">
        <v>186</v>
      </c>
      <c r="I2209" s="2" t="inlineStr"/>
      <c r="J2209" s="2" t="inlineStr"/>
      <c r="K2209" s="3" t="inlineStr">
        <is>
          <t>Телефильм по рассказу Ч.Айтматова.
Однажды в кинофильме о войне Авалбек "узнал" своего отца в солдате, идущем с гранатой на фашистский танк. И никто не посмел разуверить в этом мальчика.</t>
        </is>
      </c>
      <c r="L2209" s="2" t="inlineStr">
        <is>
          <t>https://www.kino-teatr.ru/short/movie/sov/83989/annot/</t>
        </is>
      </c>
      <c r="M2209" s="2">
        <f>HYPERLINK("https://ru.wikipedia.org/w/index.php?search=%D0%A1%D0%BE%D0%BB%D0%B4%D0%B0%D1%82%D1%91%D0%BD%D0%BE%D0%BA%201972%20%D1%84%D0%B8%D0%BB%D1%8C%D0%BC","искать")</f>
        <v/>
      </c>
      <c r="N2209" s="3" t="n"/>
      <c r="O2209" s="2" t="n"/>
    </row>
    <row r="2210">
      <c r="A2210" s="2" t="n">
        <v>2209</v>
      </c>
      <c r="B2210" s="2" t="inlineStr">
        <is>
          <t>короткая</t>
        </is>
      </c>
      <c r="C2210" s="2" t="n">
        <v>9998</v>
      </c>
      <c r="D2210" s="3" t="inlineStr">
        <is>
          <t>Моя тетя Дуду</t>
        </is>
      </c>
      <c r="E2210" s="2" t="n">
        <v>1984</v>
      </c>
      <c r="F2210" s="2" t="inlineStr">
        <is>
          <t>кинофильм</t>
        </is>
      </c>
      <c r="G2210" s="2" t="inlineStr">
        <is>
          <t>Грузия-фильм</t>
        </is>
      </c>
      <c r="H2210" s="2" t="n">
        <v>186</v>
      </c>
      <c r="I2210" s="2" t="inlineStr"/>
      <c r="J2210" s="2" t="inlineStr"/>
      <c r="K2210" s="3" t="inlineStr">
        <is>
          <t>Комедийная новелла о пожилой женщине Дудухане. Человек мудрый и исключительно добрый, она сохранила молодость духа, но никто кроме племянника Никуша не смог оценить ее душевные качества.</t>
        </is>
      </c>
      <c r="L2210" s="2" t="inlineStr">
        <is>
          <t>https://www.kino-teatr.ru/short/movie/sov/84291/annot/</t>
        </is>
      </c>
      <c r="M2210" s="2">
        <f>HYPERLINK("https://ru.wikipedia.org/w/index.php?search=%D0%9C%D0%BE%D1%8F%20%D1%82%D0%B5%D1%82%D1%8F%20%D0%94%D1%83%D0%B4%D1%83%201984%20%D1%84%D0%B8%D0%BB%D1%8C%D0%BC","искать")</f>
        <v/>
      </c>
      <c r="N2210" s="3" t="n"/>
      <c r="O2210" s="2" t="n"/>
    </row>
    <row r="2211">
      <c r="A2211" s="2" t="n">
        <v>2210</v>
      </c>
      <c r="B2211" s="2" t="inlineStr">
        <is>
          <t>короткая</t>
        </is>
      </c>
      <c r="C2211" s="2" t="n">
        <v>10279</v>
      </c>
      <c r="D2211" s="3" t="inlineStr">
        <is>
          <t>Чернобурая лиса</t>
        </is>
      </c>
      <c r="E2211" s="2" t="n">
        <v>1968</v>
      </c>
      <c r="F2211" s="2" t="inlineStr">
        <is>
          <t>фильм-спектакль</t>
        </is>
      </c>
      <c r="G2211" s="2" t="inlineStr">
        <is>
          <t>Центральное телевидение</t>
        </is>
      </c>
      <c r="H2211" s="2" t="n">
        <v>186</v>
      </c>
      <c r="I2211" s="2" t="inlineStr"/>
      <c r="J2211" s="2" t="inlineStr"/>
      <c r="K2211" s="3" t="inlineStr">
        <is>
          <t>По повести Юза Алешковского.
В спектакле рассказывается о ребятах, их школьных делах, дружбе, отношениях со взрослыми. Но самое главное здесь — проблема доверия к подрастающему человеку.</t>
        </is>
      </c>
      <c r="L2211" s="2" t="inlineStr">
        <is>
          <t>https://www.kino-teatr.ru/teatr/movie/136948/annot/</t>
        </is>
      </c>
      <c r="M2211" s="2">
        <f>HYPERLINK("https://ru.wikipedia.org/w/index.php?search=%D0%A7%D0%B5%D1%80%D0%BD%D0%BE%D0%B1%D1%83%D1%80%D0%B0%D1%8F%20%D0%BB%D0%B8%D1%81%D0%B0%201968%20%D1%84%D0%B8%D0%BB%D1%8C%D0%BC","искать")</f>
        <v/>
      </c>
      <c r="N2211" s="3" t="n"/>
      <c r="O2211" s="2" t="n"/>
    </row>
    <row r="2212">
      <c r="A2212" s="2" t="n">
        <v>2211</v>
      </c>
      <c r="B2212" s="2" t="inlineStr">
        <is>
          <t>короткая</t>
        </is>
      </c>
      <c r="C2212" s="2" t="n">
        <v>9894</v>
      </c>
      <c r="D2212" s="3" t="inlineStr">
        <is>
          <t>Очкарик</t>
        </is>
      </c>
      <c r="E2212" s="2" t="n">
        <v>1972</v>
      </c>
      <c r="F2212" s="2" t="inlineStr">
        <is>
          <t>телефильм</t>
        </is>
      </c>
      <c r="G2212" s="2" t="inlineStr">
        <is>
          <t>Киргизтелефильм</t>
        </is>
      </c>
      <c r="H2212" s="2" t="n">
        <v>187</v>
      </c>
      <c r="I2212" s="2" t="inlineStr"/>
      <c r="J2212" s="2" t="inlineStr"/>
      <c r="K2212" s="3" t="inlineStr">
        <is>
          <t>О неловком и рассеянном мальчике Куванычбеке, который лишь в мечтах видел себя смелым и сильным. Но, проведя лето у своего дяди на Иссык-Куле, он окреп, подрос и уже мог постоять за себя.</t>
        </is>
      </c>
      <c r="L2212" s="2" t="inlineStr">
        <is>
          <t>https://www.kino-teatr.ru/short/movie/sov/81824/annot/</t>
        </is>
      </c>
      <c r="M2212" s="2">
        <f>HYPERLINK("https://ru.wikipedia.org/w/index.php?search=%D0%9E%D1%87%D0%BA%D0%B0%D1%80%D0%B8%D0%BA%201972%20%D1%84%D0%B8%D0%BB%D1%8C%D0%BC","искать")</f>
        <v/>
      </c>
      <c r="N2212" s="3" t="n"/>
      <c r="O2212" s="2" t="n"/>
    </row>
    <row r="2213">
      <c r="A2213" s="2" t="n">
        <v>2212</v>
      </c>
      <c r="B2213" s="2" t="inlineStr">
        <is>
          <t>короткая</t>
        </is>
      </c>
      <c r="C2213" s="2" t="n">
        <v>10924</v>
      </c>
      <c r="D2213" s="3" t="inlineStr">
        <is>
          <t>Царь Фёдор Иоаннович</t>
        </is>
      </c>
      <c r="E2213" s="2" t="n">
        <v>1981</v>
      </c>
      <c r="F2213" s="2" t="inlineStr">
        <is>
          <t>фильм-спектакль</t>
        </is>
      </c>
      <c r="G2213" s="2" t="inlineStr">
        <is>
          <t>Гл. ред. лит-драм программ</t>
        </is>
      </c>
      <c r="H2213" s="2" t="n">
        <v>187</v>
      </c>
      <c r="I2213" s="2" t="inlineStr"/>
      <c r="J2213" s="2" t="inlineStr"/>
      <c r="K2213" s="3" t="inlineStr">
        <is>
          <t>Вторая часть трилогии А.К.Толстого о русских царях.
Пытаясь прекратить братоубийственное кровопролитие, начатое его отцом - Иоанном Грозным, царь Федор отдал власть и привел Русь к смуте.</t>
        </is>
      </c>
      <c r="L2213" s="2" t="inlineStr">
        <is>
          <t>https://www.kino-teatr.ru/teatr/movie/12921/annot/</t>
        </is>
      </c>
      <c r="M2213" s="2">
        <f>HYPERLINK("https://ru.wikipedia.org/w/index.php?search=%D0%A6%D0%B0%D1%80%D1%8C%20%D0%A4%D1%91%D0%B4%D0%BE%D1%80%20%D0%98%D0%BE%D0%B0%D0%BD%D0%BD%D0%BE%D0%B2%D0%B8%D1%87%201981%20%D1%84%D0%B8%D0%BB%D1%8C%D0%BC","искать")</f>
        <v/>
      </c>
      <c r="N2213" s="3" t="n"/>
      <c r="O2213" s="2" t="n"/>
    </row>
    <row r="2214">
      <c r="A2214" s="2" t="n">
        <v>2213</v>
      </c>
      <c r="B2214" s="2" t="inlineStr">
        <is>
          <t>короткая</t>
        </is>
      </c>
      <c r="C2214" s="2" t="n">
        <v>7943</v>
      </c>
      <c r="D2214" s="3" t="inlineStr">
        <is>
          <t>Назовите ураган "Марией"</t>
        </is>
      </c>
      <c r="E2214" s="2" t="n">
        <v>1970</v>
      </c>
      <c r="F2214" s="2" t="inlineStr">
        <is>
          <t>телефильм</t>
        </is>
      </c>
      <c r="G2214" s="2" t="n"/>
      <c r="H2214" s="2" t="n">
        <v>188</v>
      </c>
      <c r="I2214" s="2" t="inlineStr"/>
      <c r="J2214" s="2" t="inlineStr"/>
      <c r="K2214" s="3" t="inlineStr">
        <is>
          <t>Телефильм по мотивам одноименной повести Константина Кудиевского. Об организации доставки оружия рабочим отрядам Крыма для борьбы с Врангелем. Действие происходит в годы гражданской войны.</t>
        </is>
      </c>
      <c r="L2214" s="2" t="inlineStr">
        <is>
          <t>Кино_СССР сводный каталог.xlsx: список телефильмов</t>
        </is>
      </c>
      <c r="M2214" s="2">
        <f>HYPERLINK("https://ru.wikipedia.org/w/index.php?search=%D0%9D%D0%B0%D0%B7%D0%BE%D0%B2%D0%B8%D1%82%D0%B5%20%D1%83%D1%80%D0%B0%D0%B3%D0%B0%D0%BD%20%22%D0%9C%D0%B0%D1%80%D0%B8%D0%B5%D0%B9%22%201970%20%D1%84%D0%B8%D0%BB%D1%8C%D0%BC","искать")</f>
        <v/>
      </c>
      <c r="N2214" s="3" t="n"/>
      <c r="O2214" s="2" t="n"/>
    </row>
    <row r="2215">
      <c r="A2215" s="2" t="n">
        <v>2214</v>
      </c>
      <c r="B2215" s="2" t="inlineStr">
        <is>
          <t>короткая</t>
        </is>
      </c>
      <c r="C2215" s="2" t="n">
        <v>8266</v>
      </c>
      <c r="D2215" s="3" t="inlineStr">
        <is>
          <t>Рассмешите клоуна</t>
        </is>
      </c>
      <c r="E2215" s="2" t="n">
        <v>1984</v>
      </c>
      <c r="F2215" s="2" t="inlineStr">
        <is>
          <t>телефильм</t>
        </is>
      </c>
      <c r="G2215" s="2" t="n"/>
      <c r="H2215" s="2" t="n">
        <v>188</v>
      </c>
      <c r="I2215" s="2" t="inlineStr"/>
      <c r="J2215" s="2" t="inlineStr"/>
      <c r="K2215" s="3" t="inlineStr">
        <is>
          <t>Телефильм. История чудаковатого, но преданного своей профессии клоуна Вовчика и обыкновенной женщины Гали, которая, попав случайно в цирк, осталась работать там так называемой "подсадкой".</t>
        </is>
      </c>
      <c r="L2215" s="2" t="inlineStr">
        <is>
          <t>Кино_СССР сводный каталог.xlsx: список телефильмов</t>
        </is>
      </c>
      <c r="M2215" s="2">
        <f>HYPERLINK("https://ru.wikipedia.org/w/index.php?search=%D0%A0%D0%B0%D1%81%D1%81%D0%BC%D0%B5%D1%88%D0%B8%D1%82%D0%B5%20%D0%BA%D0%BB%D0%BE%D1%83%D0%BD%D0%B0%201984%20%D1%84%D0%B8%D0%BB%D1%8C%D0%BC","искать")</f>
        <v/>
      </c>
      <c r="N2215" s="3" t="n"/>
      <c r="O2215" s="2" t="n"/>
    </row>
    <row r="2216">
      <c r="A2216" s="2" t="n">
        <v>2215</v>
      </c>
      <c r="B2216" s="2" t="inlineStr">
        <is>
          <t>короткая</t>
        </is>
      </c>
      <c r="C2216" s="2" t="n">
        <v>8815</v>
      </c>
      <c r="D2216" s="3" t="inlineStr">
        <is>
          <t>Мальчики из Танги</t>
        </is>
      </c>
      <c r="E2216" s="2" t="n">
        <v>1990</v>
      </c>
      <c r="F2216" s="2" t="inlineStr">
        <is>
          <t>кинофильм</t>
        </is>
      </c>
      <c r="G2216" s="2" t="n"/>
      <c r="H2216" s="2" t="n">
        <v>188</v>
      </c>
      <c r="I2216" s="2" t="inlineStr"/>
      <c r="J2216" s="2" t="inlineStr"/>
      <c r="K2216" s="3" t="inlineStr">
        <is>
          <t>Музыкальный фильм с песнями и танцами о приключениях маленького мальчика Дастана, который хочет стать артистом, певцом и о его старших друзьях Нартае и Закире, которые ему в этом помогают.</t>
        </is>
      </c>
      <c r="L2216" s="2" t="inlineStr">
        <is>
          <t>Кино_СССР сводный каталог.xlsx: список фильмов (доп.)</t>
        </is>
      </c>
      <c r="M2216" s="2">
        <f>HYPERLINK("https://ru.wikipedia.org/w/index.php?search=%D0%9C%D0%B0%D0%BB%D1%8C%D1%87%D0%B8%D0%BA%D0%B8%20%D0%B8%D0%B7%20%D0%A2%D0%B0%D0%BD%D0%B3%D0%B8%201990%20%D1%84%D0%B8%D0%BB%D1%8C%D0%BC","искать")</f>
        <v/>
      </c>
      <c r="N2216" s="3" t="n"/>
      <c r="O2216" s="2" t="n"/>
    </row>
    <row r="2217">
      <c r="A2217" s="2" t="n">
        <v>2216</v>
      </c>
      <c r="B2217" s="2" t="inlineStr">
        <is>
          <t>короткая</t>
        </is>
      </c>
      <c r="C2217" s="2" t="n">
        <v>9200</v>
      </c>
      <c r="D2217" s="3" t="inlineStr">
        <is>
          <t>Агенты КГБ тоже влюбляются</t>
        </is>
      </c>
      <c r="E2217" s="2" t="n">
        <v>1991</v>
      </c>
      <c r="F2217" s="2" t="inlineStr">
        <is>
          <t>кинофильм</t>
        </is>
      </c>
      <c r="G2217" s="2" t="n"/>
      <c r="H2217" s="2" t="n">
        <v>188</v>
      </c>
      <c r="I2217" s="2" t="inlineStr"/>
      <c r="J2217" s="2" t="inlineStr"/>
      <c r="K2217" s="3" t="inlineStr">
        <is>
          <t>Агент КГБ заслан в Чили, где с ним происходит масса интересного - он успевает закрутить роман с массажисткой, столкнуться с ее женихом и, наконец, отправиться на спецзадание в Антарктиду..</t>
        </is>
      </c>
      <c r="L2217" s="2" t="inlineStr">
        <is>
          <t>Кино_СССР сводный каталог.xlsx: список фильмов (доп.)</t>
        </is>
      </c>
      <c r="M2217" s="2">
        <f>HYPERLINK("https://ru.wikipedia.org/w/index.php?search=%D0%90%D0%B3%D0%B5%D0%BD%D1%82%D1%8B%20%D0%9A%D0%93%D0%91%20%D1%82%D0%BE%D0%B6%D0%B5%20%D0%B2%D0%BB%D1%8E%D0%B1%D0%BB%D1%8F%D1%8E%D1%82%D1%81%D1%8F%201991%20%D1%84%D0%B8%D0%BB%D1%8C%D0%BC","искать")</f>
        <v/>
      </c>
      <c r="N2217" s="3" t="n"/>
      <c r="O2217" s="2" t="n"/>
    </row>
    <row r="2218">
      <c r="A2218" s="2" t="n">
        <v>2217</v>
      </c>
      <c r="B2218" s="2" t="inlineStr">
        <is>
          <t>короткая</t>
        </is>
      </c>
      <c r="C2218" s="2" t="n">
        <v>10910</v>
      </c>
      <c r="D2218" s="3" t="inlineStr">
        <is>
          <t>Самоубийство</t>
        </is>
      </c>
      <c r="E2218" s="2" t="n">
        <v>1981</v>
      </c>
      <c r="F2218" s="2" t="inlineStr">
        <is>
          <t>фильм-спектакль</t>
        </is>
      </c>
      <c r="G2218" s="2" t="inlineStr">
        <is>
          <t>Ленинградское ТВ</t>
        </is>
      </c>
      <c r="H2218" s="2" t="n">
        <v>188</v>
      </c>
      <c r="I2218" s="2" t="inlineStr"/>
      <c r="J2218" s="2" t="inlineStr"/>
      <c r="K2218" s="3" t="inlineStr">
        <is>
          <t>По книге Виктора Пронина "Каждый день самоубийство".
История расследования смерти студентки Селивановой, оказавшейся замешанной в валютные операции, что в то время было большим криминалом.</t>
        </is>
      </c>
      <c r="L2218" s="2" t="inlineStr">
        <is>
          <t>https://www.kino-teatr.ru/teatr/movie/6189/annot/</t>
        </is>
      </c>
      <c r="M2218" s="2">
        <f>HYPERLINK("https://ru.wikipedia.org/w/index.php?search=%D0%A1%D0%B0%D0%BC%D0%BE%D1%83%D0%B1%D0%B8%D0%B9%D1%81%D1%82%D0%B2%D0%BE%201981%20%D1%84%D0%B8%D0%BB%D1%8C%D0%BC","искать")</f>
        <v/>
      </c>
      <c r="N2218" s="3" t="n"/>
      <c r="O2218" s="2" t="n"/>
    </row>
    <row r="2219">
      <c r="A2219" s="2" t="n">
        <v>2218</v>
      </c>
      <c r="B2219" s="2" t="inlineStr">
        <is>
          <t>короткая</t>
        </is>
      </c>
      <c r="C2219" s="2" t="n">
        <v>7310</v>
      </c>
      <c r="D2219" s="3" t="inlineStr">
        <is>
          <t>Вас вызывает Таймыр</t>
        </is>
      </c>
      <c r="E2219" s="2" t="n">
        <v>1970</v>
      </c>
      <c r="F2219" s="2" t="inlineStr">
        <is>
          <t>телефильм</t>
        </is>
      </c>
      <c r="G2219" s="2" t="inlineStr">
        <is>
          <t>Мосфильм</t>
        </is>
      </c>
      <c r="H2219" s="2" t="n">
        <v>189</v>
      </c>
      <c r="I2219" s="2" t="inlineStr"/>
      <c r="J2219" s="2" t="inlineStr"/>
      <c r="K2219" s="3" t="inlineStr">
        <is>
          <t>Телевизионная комедия по пьесе Александра Галича и Константина Исаева. В 1947 году в московской гостинице встречаются четверо командированных, чье соседство приводит к череде недоразумений.</t>
        </is>
      </c>
      <c r="L2219" s="2" t="inlineStr">
        <is>
          <t>Кино_СССР сводный каталог.xlsx: список телефильмов</t>
        </is>
      </c>
      <c r="M2219" s="2">
        <f>HYPERLINK("https://ru.wikipedia.org/w/index.php?search=%D0%92%D0%B0%D1%81%20%D0%B2%D1%8B%D0%B7%D1%8B%D0%B2%D0%B0%D0%B5%D1%82%20%D0%A2%D0%B0%D0%B9%D0%BC%D1%8B%D1%80%201970%20%D1%84%D0%B8%D0%BB%D1%8C%D0%BC","искать")</f>
        <v/>
      </c>
      <c r="N2219" s="3" t="n"/>
      <c r="O2219" s="2" t="n"/>
    </row>
    <row r="2220">
      <c r="A2220" s="2" t="n">
        <v>2219</v>
      </c>
      <c r="B2220" s="2" t="inlineStr">
        <is>
          <t>короткая</t>
        </is>
      </c>
      <c r="C2220" s="2" t="n">
        <v>7683</v>
      </c>
      <c r="D2220" s="3" t="inlineStr">
        <is>
          <t>Инженер Прончатов</t>
        </is>
      </c>
      <c r="E2220" s="2" t="n">
        <v>1972</v>
      </c>
      <c r="F2220" s="2" t="inlineStr">
        <is>
          <t>телефильм</t>
        </is>
      </c>
      <c r="G2220" s="2" t="n"/>
      <c r="H2220" s="2" t="n">
        <v>189</v>
      </c>
      <c r="I2220" s="2" t="inlineStr"/>
      <c r="J2220" s="2" t="inlineStr"/>
      <c r="K2220" s="3" t="inlineStr">
        <is>
          <t>Телесериал по мотивам произведений Виля Липатова. Молодой инженер лесосплавной конторы Олег Прончатов отстаивает идею создания на одной из северных рек большого лесопромышленного комплекса.</t>
        </is>
      </c>
      <c r="L2220" s="2" t="inlineStr">
        <is>
          <t>Кино_СССР сводный каталог.xlsx: список телефильмов</t>
        </is>
      </c>
      <c r="M2220" s="2">
        <f>HYPERLINK("https://ru.wikipedia.org/w/index.php?search=%D0%98%D0%BD%D0%B6%D0%B5%D0%BD%D0%B5%D1%80%20%D0%9F%D1%80%D0%BE%D0%BD%D1%87%D0%B0%D1%82%D0%BE%D0%B2%201972%20%D1%84%D0%B8%D0%BB%D1%8C%D0%BC","искать")</f>
        <v/>
      </c>
      <c r="N2220" s="3" t="n"/>
      <c r="O2220" s="2" t="n"/>
    </row>
    <row r="2221">
      <c r="A2221" s="2" t="n">
        <v>2220</v>
      </c>
      <c r="B2221" s="2" t="inlineStr">
        <is>
          <t>короткая</t>
        </is>
      </c>
      <c r="C2221" s="2" t="n">
        <v>7961</v>
      </c>
      <c r="D2221" s="3" t="inlineStr">
        <is>
          <t>Не забудь оглянуться</t>
        </is>
      </c>
      <c r="E2221" s="2" t="n">
        <v>1988</v>
      </c>
      <c r="F2221" s="2" t="inlineStr">
        <is>
          <t>телефильм</t>
        </is>
      </c>
      <c r="G2221" s="2" t="n"/>
      <c r="H2221" s="2" t="n">
        <v>189</v>
      </c>
      <c r="I2221" s="2" t="inlineStr"/>
      <c r="J2221" s="2" t="inlineStr"/>
      <c r="K2221" s="3" t="inlineStr">
        <is>
          <t>Павел Набатников, воевавший в Афганистане, возвращается в свою деревню, решив поставить на родительском пепелище новый дом с тем, чтобы сделать первый шаг к возрождению заброшенной деревни.</t>
        </is>
      </c>
      <c r="L2221" s="2" t="inlineStr">
        <is>
          <t>Кино_СССР сводный каталог.xlsx: список телефильмов</t>
        </is>
      </c>
      <c r="M2221" s="2">
        <f>HYPERLINK("https://ru.wikipedia.org/w/index.php?search=%D0%9D%D0%B5%20%D0%B7%D0%B0%D0%B1%D1%83%D0%B4%D1%8C%20%D0%BE%D0%B3%D0%BB%D1%8F%D0%BD%D1%83%D1%82%D1%8C%D1%81%D1%8F%201988%20%D1%84%D0%B8%D0%BB%D1%8C%D0%BC","искать")</f>
        <v/>
      </c>
      <c r="N2221" s="3" t="n"/>
      <c r="O2221" s="2" t="n"/>
    </row>
    <row r="2222">
      <c r="A2222" s="2" t="n">
        <v>2221</v>
      </c>
      <c r="B2222" s="2" t="inlineStr">
        <is>
          <t>короткая</t>
        </is>
      </c>
      <c r="C2222" s="2" t="n">
        <v>8180</v>
      </c>
      <c r="D2222" s="3" t="inlineStr">
        <is>
          <t>Почти два месяца</t>
        </is>
      </c>
      <c r="E2222" s="2" t="n">
        <v>1980</v>
      </c>
      <c r="F2222" s="2" t="inlineStr">
        <is>
          <t>телефильм</t>
        </is>
      </c>
      <c r="G2222" s="2" t="n"/>
      <c r="H2222" s="2" t="n">
        <v>189</v>
      </c>
      <c r="I2222" s="2" t="inlineStr"/>
      <c r="J2222" s="2" t="inlineStr"/>
      <c r="K2222" s="3" t="inlineStr">
        <is>
          <t>Телефильм о работе стройотряда грузинских студентов в Смоленской области. О становлении характеров молодых ребят, впервые покинувших родной дом, чтобы начать взрослую самостоятельную жизнь.</t>
        </is>
      </c>
      <c r="L2222" s="2" t="inlineStr">
        <is>
          <t>Кино_СССР сводный каталог.xlsx: список телефильмов</t>
        </is>
      </c>
      <c r="M2222" s="2">
        <f>HYPERLINK("https://ru.wikipedia.org/w/index.php?search=%D0%9F%D0%BE%D1%87%D1%82%D0%B8%20%D0%B4%D0%B2%D0%B0%20%D0%BC%D0%B5%D1%81%D1%8F%D1%86%D0%B0%201980%20%D1%84%D0%B8%D0%BB%D1%8C%D0%BC","искать")</f>
        <v/>
      </c>
      <c r="N2222" s="3" t="n"/>
      <c r="O2222" s="2" t="n"/>
    </row>
    <row r="2223">
      <c r="A2223" s="2" t="n">
        <v>2222</v>
      </c>
      <c r="B2223" s="2" t="inlineStr">
        <is>
          <t>короткая</t>
        </is>
      </c>
      <c r="C2223" s="2" t="n">
        <v>9812</v>
      </c>
      <c r="D2223" s="3" t="inlineStr">
        <is>
          <t>Весенний дождь</t>
        </is>
      </c>
      <c r="E2223" s="2" t="n">
        <v>1958</v>
      </c>
      <c r="F2223" s="2" t="inlineStr">
        <is>
          <t>кинофильм</t>
        </is>
      </c>
      <c r="G2223" s="2" t="inlineStr">
        <is>
          <t>Учебная киностудия ВГИК</t>
        </is>
      </c>
      <c r="H2223" s="2" t="n">
        <v>189</v>
      </c>
      <c r="I2223" s="2" t="inlineStr"/>
      <c r="J2223" s="2" t="inlineStr"/>
      <c r="K2223" s="3" t="inlineStr">
        <is>
          <t>Курсовая работа студентов мастерской С.А.Герасимова - Киры Муратовой и Александра Муратова. История встречи и отношений между Катей и Костей, молодыми людьми, вступающими во взрослую жизнь.</t>
        </is>
      </c>
      <c r="L2223" s="2" t="inlineStr">
        <is>
          <t>https://www.kino-teatr.ru/short/movie/sov/98469/annot/</t>
        </is>
      </c>
      <c r="M2223" s="2">
        <f>HYPERLINK("https://ru.wikipedia.org/w/index.php?search=%D0%92%D0%B5%D1%81%D0%B5%D0%BD%D0%BD%D0%B8%D0%B9%20%D0%B4%D0%BE%D0%B6%D0%B4%D1%8C%201958%20%D1%84%D0%B8%D0%BB%D1%8C%D0%BC","искать")</f>
        <v/>
      </c>
      <c r="N2223" s="3" t="n"/>
      <c r="O2223" s="2" t="n"/>
    </row>
    <row r="2224">
      <c r="A2224" s="2" t="n">
        <v>2223</v>
      </c>
      <c r="B2224" s="2" t="inlineStr">
        <is>
          <t>короткая</t>
        </is>
      </c>
      <c r="C2224" s="2" t="n">
        <v>10032</v>
      </c>
      <c r="D2224" s="3" t="inlineStr">
        <is>
          <t>Окно</t>
        </is>
      </c>
      <c r="E2224" s="2" t="n">
        <v>1988</v>
      </c>
      <c r="F2224" s="2" t="inlineStr">
        <is>
          <t>телефильм</t>
        </is>
      </c>
      <c r="G2224" s="2" t="inlineStr">
        <is>
          <t>ТО "Экран"</t>
        </is>
      </c>
      <c r="H2224" s="2" t="n">
        <v>189</v>
      </c>
      <c r="I2224" s="2" t="inlineStr"/>
      <c r="J2224" s="2" t="inlineStr"/>
      <c r="K2224" s="3" t="inlineStr">
        <is>
          <t>Георгий - скромный, интеллигентный человек - из-за своей нерешительности постоянно попадает впросак. Наблюдая за решительными людьми, герой меняет манеру своего поведения... Фильм без слов.</t>
        </is>
      </c>
      <c r="L2224" s="2" t="inlineStr">
        <is>
          <t>https://www.kino-teatr.ru/short/movie/sov/12038/annot/</t>
        </is>
      </c>
      <c r="M2224" s="2">
        <f>HYPERLINK("https://ru.wikipedia.org/w/index.php?search=%D0%9E%D0%BA%D0%BD%D0%BE%201988%20%D1%84%D0%B8%D0%BB%D1%8C%D0%BC","искать")</f>
        <v/>
      </c>
      <c r="N2224" s="3" t="n"/>
      <c r="O2224" s="2" t="n"/>
    </row>
    <row r="2225">
      <c r="A2225" s="2" t="n">
        <v>2224</v>
      </c>
      <c r="B2225" s="2" t="inlineStr">
        <is>
          <t>короткая</t>
        </is>
      </c>
      <c r="C2225" s="2" t="n">
        <v>10969</v>
      </c>
      <c r="D2225" s="3" t="inlineStr">
        <is>
          <t>Солдат и змея</t>
        </is>
      </c>
      <c r="E2225" s="2" t="n">
        <v>1982</v>
      </c>
      <c r="F2225" s="2" t="inlineStr">
        <is>
          <t>фильм-спектакль</t>
        </is>
      </c>
      <c r="G2225" s="2" t="inlineStr">
        <is>
          <t>Главная редакция программ для детей и юношества ЦТ</t>
        </is>
      </c>
      <c r="H2225" s="2" t="n">
        <v>189</v>
      </c>
      <c r="I2225" s="2" t="inlineStr"/>
      <c r="J2225" s="2" t="inlineStr"/>
      <c r="K2225" s="3" t="inlineStr">
        <is>
          <t>По мотивам одноименной сказки Тамары Габбе.
О том, как любовь солдата Жана и рыбачки Жаннетты, помогла им преодолеть все невзгоды, победить злую колдунью и наказать неблагодарную принцессу.</t>
        </is>
      </c>
      <c r="L2225" s="2" t="inlineStr">
        <is>
          <t>https://www.kino-teatr.ru/teatr/movie/102334/annot/</t>
        </is>
      </c>
      <c r="M2225" s="2">
        <f>HYPERLINK("https://ru.wikipedia.org/w/index.php?search=%D0%A1%D0%BE%D0%BB%D0%B4%D0%B0%D1%82%20%D0%B8%20%D0%B7%D0%BC%D0%B5%D1%8F%201982%20%D1%84%D0%B8%D0%BB%D1%8C%D0%BC","искать")</f>
        <v/>
      </c>
      <c r="N2225" s="3" t="n"/>
      <c r="O2225" s="2" t="n"/>
    </row>
    <row r="2226">
      <c r="A2226" s="2" t="n">
        <v>2225</v>
      </c>
      <c r="B2226" s="2" t="inlineStr">
        <is>
          <t>короткая</t>
        </is>
      </c>
      <c r="C2226" s="2" t="n">
        <v>7616</v>
      </c>
      <c r="D2226" s="3" t="inlineStr">
        <is>
          <t>За час до рассвета</t>
        </is>
      </c>
      <c r="E2226" s="2" t="n">
        <v>1973</v>
      </c>
      <c r="F2226" s="2" t="inlineStr">
        <is>
          <t>телефильм</t>
        </is>
      </c>
      <c r="G2226" s="2" t="n"/>
      <c r="H2226" s="2" t="n">
        <v>190</v>
      </c>
      <c r="I2226" s="2" t="inlineStr"/>
      <c r="J2226" s="2" t="inlineStr"/>
      <c r="K2226" s="3" t="inlineStr">
        <is>
          <t>Телефильм по мотивам пьесы Иосифа Прута «Бронепоезд "Князь Мстислав Удалой"». Действие происходит в 1920 году в Поволжье во время гражданской войны. О героической борьбе экипажа бронепоезда.</t>
        </is>
      </c>
      <c r="L2226" s="2" t="inlineStr">
        <is>
          <t>Кино_СССР сводный каталог.xlsx: список телефильмов</t>
        </is>
      </c>
      <c r="M2226" s="2">
        <f>HYPERLINK("https://ru.wikipedia.org/w/index.php?search=%D0%97%D0%B0%20%D1%87%D0%B0%D1%81%20%D0%B4%D0%BE%20%D1%80%D0%B0%D1%81%D1%81%D0%B2%D0%B5%D1%82%D0%B0%201973%20%D1%84%D0%B8%D0%BB%D1%8C%D0%BC","искать")</f>
        <v/>
      </c>
      <c r="N2226" s="3" t="n"/>
      <c r="O2226" s="2" t="n"/>
    </row>
    <row r="2227">
      <c r="A2227" s="2" t="n">
        <v>2226</v>
      </c>
      <c r="B2227" s="2" t="inlineStr">
        <is>
          <t>короткая</t>
        </is>
      </c>
      <c r="C2227" s="2" t="n">
        <v>7837</v>
      </c>
      <c r="D2227" s="3" t="inlineStr">
        <is>
          <t>Лялька-Руслан и его друг Санька</t>
        </is>
      </c>
      <c r="E2227" s="2" t="n">
        <v>1980</v>
      </c>
      <c r="F2227" s="2" t="inlineStr">
        <is>
          <t>телефильм</t>
        </is>
      </c>
      <c r="G2227" s="2" t="n"/>
      <c r="H2227" s="2" t="n">
        <v>190</v>
      </c>
      <c r="I2227" s="2" t="inlineStr"/>
      <c r="J2227" s="2" t="inlineStr"/>
      <c r="K2227" s="3" t="inlineStr">
        <is>
          <t>Телефильм по мотивам повести В.Голявкина "Ты приходи к нам, приходи..." Полная забавных приключений история знакомства и дружбы двух младших школьников, произошедшая с ними во время каникул.</t>
        </is>
      </c>
      <c r="L2227" s="2" t="inlineStr">
        <is>
          <t>Кино_СССР сводный каталог.xlsx: список телефильмов</t>
        </is>
      </c>
      <c r="M2227" s="2">
        <f>HYPERLINK("https://ru.wikipedia.org/w/index.php?search=%D0%9B%D1%8F%D0%BB%D1%8C%D0%BA%D0%B0-%D0%A0%D1%83%D1%81%D0%BB%D0%B0%D0%BD%20%D0%B8%20%D0%B5%D0%B3%D0%BE%20%D0%B4%D1%80%D1%83%D0%B3%20%D0%A1%D0%B0%D0%BD%D1%8C%D0%BA%D0%B0%201980%20%D1%84%D0%B8%D0%BB%D1%8C%D0%BC","искать")</f>
        <v/>
      </c>
      <c r="N2227" s="3" t="n"/>
      <c r="O2227" s="2" t="n"/>
    </row>
    <row r="2228">
      <c r="A2228" s="2" t="n">
        <v>2227</v>
      </c>
      <c r="B2228" s="2" t="inlineStr">
        <is>
          <t>короткая</t>
        </is>
      </c>
      <c r="C2228" s="2" t="n">
        <v>10409</v>
      </c>
      <c r="D2228" s="3" t="inlineStr">
        <is>
          <t>Нет меня счастливее</t>
        </is>
      </c>
      <c r="E2228" s="2" t="n">
        <v>1971</v>
      </c>
      <c r="F2228" s="2" t="inlineStr">
        <is>
          <t>фильм-спектакль</t>
        </is>
      </c>
      <c r="G2228" s="2" t="inlineStr">
        <is>
          <t>ТО "Экран"</t>
        </is>
      </c>
      <c r="H2228" s="2" t="n">
        <v>190</v>
      </c>
      <c r="I2228" s="2" t="inlineStr"/>
      <c r="J2228" s="2" t="inlineStr"/>
      <c r="K2228" s="3" t="inlineStr">
        <is>
          <t>Музыкальный фильм с участием звезды московской оперетты Татьяны Шмыги. В фильме вы увидите фрагменты самых популярных оперетт и сам процесс достижения «легкости» на репетициях в танцклассах.</t>
        </is>
      </c>
      <c r="L2228" s="2" t="inlineStr">
        <is>
          <t>https://www.kino-teatr.ru/teatr/movie/138511/annot/</t>
        </is>
      </c>
      <c r="M2228" s="2">
        <f>HYPERLINK("https://ru.wikipedia.org/w/index.php?search=%D0%9D%D0%B5%D1%82%20%D0%BC%D0%B5%D0%BD%D1%8F%20%D1%81%D1%87%D0%B0%D1%81%D1%82%D0%BB%D0%B8%D0%B2%D0%B5%D0%B5%201971%20%D1%84%D0%B8%D0%BB%D1%8C%D0%BC","искать")</f>
        <v/>
      </c>
      <c r="N2228" s="3" t="n"/>
      <c r="O2228" s="2" t="n"/>
    </row>
    <row r="2229">
      <c r="A2229" s="2" t="n">
        <v>2228</v>
      </c>
      <c r="B2229" s="2" t="inlineStr">
        <is>
          <t>короткая</t>
        </is>
      </c>
      <c r="C2229" s="2" t="n">
        <v>8619</v>
      </c>
      <c r="D2229" s="3" t="inlineStr">
        <is>
          <t>86400 секунд работы дежурной части милиции</t>
        </is>
      </c>
      <c r="E2229" s="2" t="n">
        <v>1988</v>
      </c>
      <c r="F2229" s="2" t="inlineStr">
        <is>
          <t>кинофильм</t>
        </is>
      </c>
      <c r="G2229" s="2" t="n"/>
      <c r="H2229" s="2" t="n">
        <v>191</v>
      </c>
      <c r="I2229" s="2" t="inlineStr"/>
      <c r="J2229" s="2" t="inlineStr"/>
      <c r="K2229" s="3" t="inlineStr">
        <is>
          <t>Основан на реальных событиях 1974 года в Риге: ограбление инкассаторов и убийства водителя. В фильме принимал участие личный состав Горьковского, Одесского облисполкомов и УВД Латвийской ССР.</t>
        </is>
      </c>
      <c r="L2229" s="2" t="inlineStr">
        <is>
          <t>Кино_СССР сводный каталог.xlsx: список фильмов (доп.)</t>
        </is>
      </c>
      <c r="M2229" s="2">
        <f>HYPERLINK("https://ru.wikipedia.org/w/index.php?search=86400%20%D1%81%D0%B5%D0%BA%D1%83%D0%BD%D0%B4%20%D1%80%D0%B0%D0%B1%D0%BE%D1%82%D1%8B%20%D0%B4%D0%B5%D0%B6%D1%83%D1%80%D0%BD%D0%BE%D0%B9%20%D1%87%D0%B0%D1%81%D1%82%D0%B8%20%D0%BC%D0%B8%D0%BB%D0%B8%D1%86%D0%B8%D0%B8%201988%20%D1%84%D0%B8%D0%BB%D1%8C%D0%BC","искать")</f>
        <v/>
      </c>
      <c r="N2229" s="3" t="n"/>
      <c r="O2229" s="2" t="n"/>
    </row>
    <row r="2230">
      <c r="A2230" s="2" t="n">
        <v>2229</v>
      </c>
      <c r="B2230" s="2" t="inlineStr">
        <is>
          <t>короткая</t>
        </is>
      </c>
      <c r="C2230" s="2" t="n">
        <v>8681</v>
      </c>
      <c r="D2230" s="3" t="inlineStr">
        <is>
          <t>Голод - 33</t>
        </is>
      </c>
      <c r="E2230" s="2" t="n">
        <v>1991</v>
      </c>
      <c r="F2230" s="2" t="inlineStr">
        <is>
          <t>кинофильм</t>
        </is>
      </c>
      <c r="G2230" s="2" t="n"/>
      <c r="H2230" s="2" t="n">
        <v>191</v>
      </c>
      <c r="I2230" s="2" t="inlineStr"/>
      <c r="J2230" s="2" t="inlineStr"/>
      <c r="K2230" s="3" t="inlineStr">
        <is>
          <t>По мотивам повести Василия Барки «Жовтий Князь». В основе сюжета исторические события 1932-1933 годов, когда преступления сталинского режима привели к трагедии – тотальному голоду на Украине.</t>
        </is>
      </c>
      <c r="L2230" s="2" t="inlineStr">
        <is>
          <t>Кино_СССР сводный каталог.xlsx: список фильмов (доп.)</t>
        </is>
      </c>
      <c r="M2230" s="2">
        <f>HYPERLINK("https://ru.wikipedia.org/w/index.php?search=%D0%93%D0%BE%D0%BB%D0%BE%D0%B4%20-%2033%201991%20%D1%84%D0%B8%D0%BB%D1%8C%D0%BC","искать")</f>
        <v/>
      </c>
      <c r="N2230" s="3" t="n"/>
      <c r="O2230" s="2" t="n"/>
    </row>
    <row r="2231">
      <c r="A2231" s="2" t="n">
        <v>2230</v>
      </c>
      <c r="B2231" s="2" t="inlineStr">
        <is>
          <t>короткая</t>
        </is>
      </c>
      <c r="C2231" s="2" t="n">
        <v>9999</v>
      </c>
      <c r="D2231" s="3" t="inlineStr">
        <is>
          <t>Полуночная бабочка</t>
        </is>
      </c>
      <c r="E2231" s="2" t="n">
        <v>1984</v>
      </c>
      <c r="F2231" s="2" t="inlineStr">
        <is>
          <t>кинофильм</t>
        </is>
      </c>
      <c r="G2231" s="2" t="inlineStr">
        <is>
          <t>Грузия-фильм</t>
        </is>
      </c>
      <c r="H2231" s="2" t="n">
        <v>191</v>
      </c>
      <c r="I2231" s="2" t="inlineStr"/>
      <c r="J2231" s="2" t="inlineStr"/>
      <c r="K2231" s="3" t="inlineStr">
        <is>
          <t>Музыкальная кинокомедия. Саксофонист Евгений гуляет по ночному городу. Его преследует мелодия, назойливый мотив, как порхающая бабочка он то возникает, то вновь растворяется в ночном сумраке.</t>
        </is>
      </c>
      <c r="L2231" s="2" t="inlineStr">
        <is>
          <t>https://www.kino-teatr.ru/short/movie/sov/84605/annot/</t>
        </is>
      </c>
      <c r="M2231" s="2">
        <f>HYPERLINK("https://ru.wikipedia.org/w/index.php?search=%D0%9F%D0%BE%D0%BB%D1%83%D0%BD%D0%BE%D1%87%D0%BD%D0%B0%D1%8F%20%D0%B1%D0%B0%D0%B1%D0%BE%D1%87%D0%BA%D0%B0%201984%20%D1%84%D0%B8%D0%BB%D1%8C%D0%BC","искать")</f>
        <v/>
      </c>
      <c r="N2231" s="3" t="n"/>
      <c r="O2231" s="2" t="n"/>
    </row>
    <row r="2232">
      <c r="A2232" s="2" t="n">
        <v>2231</v>
      </c>
      <c r="B2232" s="2" t="inlineStr">
        <is>
          <t>короткая</t>
        </is>
      </c>
      <c r="C2232" s="2" t="n">
        <v>10529</v>
      </c>
      <c r="D2232" s="3" t="inlineStr">
        <is>
          <t>Транзит на север</t>
        </is>
      </c>
      <c r="E2232" s="2" t="n">
        <v>1973</v>
      </c>
      <c r="F2232" s="2" t="inlineStr">
        <is>
          <t>фильм-спектакль</t>
        </is>
      </c>
      <c r="G2232" s="2" t="inlineStr">
        <is>
          <t>Центральное телевидение</t>
        </is>
      </c>
      <c r="H2232" s="2" t="n">
        <v>191</v>
      </c>
      <c r="I2232" s="2" t="inlineStr"/>
      <c r="J2232" s="2" t="inlineStr"/>
      <c r="K2232" s="3" t="inlineStr">
        <is>
          <t>Главный герой - снабженец Огурцов - подлинный энтузиаст своего дела. Задержавшись из-за непогоды с необычным грузом - цветами, он делает все, чтобы доставить цветы в далекий северный городок.</t>
        </is>
      </c>
      <c r="L2232" s="2" t="inlineStr">
        <is>
          <t>https://www.kino-teatr.ru/teatr/movie/93060/annot/</t>
        </is>
      </c>
      <c r="M2232" s="2">
        <f>HYPERLINK("https://ru.wikipedia.org/w/index.php?search=%D0%A2%D1%80%D0%B0%D0%BD%D0%B7%D0%B8%D1%82%20%D0%BD%D0%B0%20%D1%81%D0%B5%D0%B2%D0%B5%D1%80%201973%20%D1%84%D0%B8%D0%BB%D1%8C%D0%BC","искать")</f>
        <v/>
      </c>
      <c r="N2232" s="3" t="n"/>
      <c r="O2232" s="2" t="n"/>
    </row>
    <row r="2233">
      <c r="A2233" s="2" t="n">
        <v>2232</v>
      </c>
      <c r="B2233" s="2" t="inlineStr">
        <is>
          <t>короткая</t>
        </is>
      </c>
      <c r="C2233" s="2" t="n">
        <v>7810</v>
      </c>
      <c r="D2233" s="3" t="inlineStr">
        <is>
          <t>Листопад в пору лета</t>
        </is>
      </c>
      <c r="E2233" s="2" t="n">
        <v>1986</v>
      </c>
      <c r="F2233" s="2" t="inlineStr">
        <is>
          <t>телефильм</t>
        </is>
      </c>
      <c r="G2233" s="2" t="n"/>
      <c r="H2233" s="2" t="n">
        <v>192</v>
      </c>
      <c r="I2233" s="2" t="inlineStr"/>
      <c r="J2233" s="2" t="inlineStr"/>
      <c r="K2233" s="3" t="inlineStr">
        <is>
          <t>Талантливый педагог Шамси приезжает в труднодоступное горное селение. Ему удается не только наладить нормальный учебный процесс в школе, но и оказать огромное нравственное влияние на учащихся.</t>
        </is>
      </c>
      <c r="L2233" s="2" t="inlineStr">
        <is>
          <t>Кино_СССР сводный каталог.xlsx: список телефильмов</t>
        </is>
      </c>
      <c r="M2233" s="2">
        <f>HYPERLINK("https://ru.wikipedia.org/w/index.php?search=%D0%9B%D0%B8%D1%81%D1%82%D0%BE%D0%BF%D0%B0%D0%B4%20%D0%B2%20%D0%BF%D0%BE%D1%80%D1%83%20%D0%BB%D0%B5%D1%82%D0%B0%201986%20%D1%84%D0%B8%D0%BB%D1%8C%D0%BC","искать")</f>
        <v/>
      </c>
      <c r="N2233" s="3" t="n"/>
      <c r="O2233" s="2" t="n"/>
    </row>
    <row r="2234">
      <c r="A2234" s="2" t="n">
        <v>2233</v>
      </c>
      <c r="B2234" s="2" t="inlineStr">
        <is>
          <t>короткая</t>
        </is>
      </c>
      <c r="C2234" s="2" t="n">
        <v>9088</v>
      </c>
      <c r="D2234" s="3" t="inlineStr">
        <is>
          <t>Тайный советник</t>
        </is>
      </c>
      <c r="E2234" s="2" t="n">
        <v>1988</v>
      </c>
      <c r="F2234" s="2" t="inlineStr">
        <is>
          <t>кинофильм</t>
        </is>
      </c>
      <c r="G2234" s="2" t="n"/>
      <c r="H2234" s="2" t="n">
        <v>192</v>
      </c>
      <c r="I2234" s="2" t="inlineStr"/>
      <c r="J2234" s="2" t="inlineStr"/>
      <c r="K2234" s="3" t="inlineStr">
        <is>
          <t>Գաղտնի խորհրդականը При рытье котлована Иван и Милитон обнаруживают гроб с останками тайного советника. Герои, желая с честью похоронить советника, обходят все инстанции и везде получают отказ.</t>
        </is>
      </c>
      <c r="L2234" s="2" t="inlineStr">
        <is>
          <t>Кино_СССР сводный каталог.xlsx: список фильмов (доп.)</t>
        </is>
      </c>
      <c r="M2234" s="2">
        <f>HYPERLINK("https://ru.wikipedia.org/w/index.php?search=%D0%A2%D0%B0%D0%B9%D0%BD%D1%8B%D0%B9%20%D1%81%D0%BE%D0%B2%D0%B5%D1%82%D0%BD%D0%B8%D0%BA%201988%20%D1%84%D0%B8%D0%BB%D1%8C%D0%BC","искать")</f>
        <v/>
      </c>
      <c r="N2234" s="3" t="n"/>
      <c r="O2234" s="2" t="n"/>
    </row>
    <row r="2235">
      <c r="A2235" s="2" t="n">
        <v>2234</v>
      </c>
      <c r="B2235" s="2" t="inlineStr">
        <is>
          <t>короткая</t>
        </is>
      </c>
      <c r="C2235" s="2" t="n">
        <v>7449</v>
      </c>
      <c r="D2235" s="3" t="inlineStr">
        <is>
          <t>Гончарный круг</t>
        </is>
      </c>
      <c r="E2235" s="2" t="n">
        <v>1973</v>
      </c>
      <c r="F2235" s="2" t="inlineStr">
        <is>
          <t>телефильм</t>
        </is>
      </c>
      <c r="G2235" s="2" t="n"/>
      <c r="H2235" s="2" t="n">
        <v>193</v>
      </c>
      <c r="I2235" s="2" t="inlineStr"/>
      <c r="J2235" s="2" t="inlineStr"/>
      <c r="K2235" s="3" t="inlineStr">
        <is>
          <t>Телевизионная киноповесть. О съемочной группе, приехавшей на три дня в одну из деревень Ярославской области на съемки документального фильма о старом мастере-гончаре Михаиле Лукиче Болотникове.</t>
        </is>
      </c>
      <c r="L2235" s="2" t="inlineStr">
        <is>
          <t>Кино_СССР сводный каталог.xlsx: список телефильмов</t>
        </is>
      </c>
      <c r="M2235" s="2">
        <f>HYPERLINK("https://ru.wikipedia.org/w/index.php?search=%D0%93%D0%BE%D0%BD%D1%87%D0%B0%D1%80%D0%BD%D1%8B%D0%B9%20%D0%BA%D1%80%D1%83%D0%B3%201973%20%D1%84%D0%B8%D0%BB%D1%8C%D0%BC","искать")</f>
        <v/>
      </c>
      <c r="N2235" s="3" t="n"/>
      <c r="O2235" s="2" t="n"/>
    </row>
    <row r="2236">
      <c r="A2236" s="2" t="n">
        <v>2235</v>
      </c>
      <c r="B2236" s="2" t="inlineStr">
        <is>
          <t>короткая</t>
        </is>
      </c>
      <c r="C2236" s="2" t="n">
        <v>7484</v>
      </c>
      <c r="D2236" s="3" t="inlineStr">
        <is>
          <t>Двое в песках</t>
        </is>
      </c>
      <c r="E2236" s="2" t="n">
        <v>1984</v>
      </c>
      <c r="F2236" s="2" t="inlineStr">
        <is>
          <t>телефильм</t>
        </is>
      </c>
      <c r="G2236" s="2" t="n"/>
      <c r="H2236" s="2" t="n">
        <v>193</v>
      </c>
      <c r="I2236" s="2" t="inlineStr"/>
      <c r="J2236" s="2" t="inlineStr"/>
      <c r="K2236" s="3" t="inlineStr">
        <is>
          <t>Телефильм по мотивам одноимённой повести Владимира Карпова. Двух молодых солдат во время учебного боя застигла песчаная буря. В этих экстремальных условиях раскрываются характеры героев фильма.</t>
        </is>
      </c>
      <c r="L2236" s="2" t="inlineStr">
        <is>
          <t>Кино_СССР сводный каталог.xlsx: список телефильмов</t>
        </is>
      </c>
      <c r="M2236" s="2">
        <f>HYPERLINK("https://ru.wikipedia.org/w/index.php?search=%D0%94%D0%B2%D0%BE%D0%B5%20%D0%B2%20%D0%BF%D0%B5%D1%81%D0%BA%D0%B0%D1%85%201984%20%D1%84%D0%B8%D0%BB%D1%8C%D0%BC","искать")</f>
        <v/>
      </c>
      <c r="N2236" s="3" t="n"/>
      <c r="O2236" s="2" t="n"/>
    </row>
    <row r="2237">
      <c r="A2237" s="2" t="n">
        <v>2236</v>
      </c>
      <c r="B2237" s="2" t="inlineStr">
        <is>
          <t>короткая</t>
        </is>
      </c>
      <c r="C2237" s="2" t="n">
        <v>8186</v>
      </c>
      <c r="D2237" s="3" t="inlineStr">
        <is>
          <t>Председатель ревкома</t>
        </is>
      </c>
      <c r="E2237" s="2" t="n">
        <v>1977</v>
      </c>
      <c r="F2237" s="2" t="inlineStr">
        <is>
          <t>телефильм</t>
        </is>
      </c>
      <c r="G2237" s="2" t="n"/>
      <c r="H2237" s="2" t="n">
        <v>193</v>
      </c>
      <c r="I2237" s="2" t="inlineStr"/>
      <c r="J2237" s="2" t="inlineStr"/>
      <c r="K2237" s="3" t="inlineStr">
        <is>
          <t>По мотивам одноименной повести С.Зорьяна. О первых годах Советской власти в Армении. Герой фильма – председатель ревкома в провинциальном городке, где пока еще не все смирились с новой властью.</t>
        </is>
      </c>
      <c r="L2237" s="2" t="inlineStr">
        <is>
          <t>Кино_СССР сводный каталог.xlsx: список телефильмов</t>
        </is>
      </c>
      <c r="M2237" s="2">
        <f>HYPERLINK("https://ru.wikipedia.org/w/index.php?search=%D0%9F%D1%80%D0%B5%D0%B4%D1%81%D0%B5%D0%B4%D0%B0%D1%82%D0%B5%D0%BB%D1%8C%20%D1%80%D0%B5%D0%B2%D0%BA%D0%BE%D0%BC%D0%B0%201977%20%D1%84%D0%B8%D0%BB%D1%8C%D0%BC","искать")</f>
        <v/>
      </c>
      <c r="N2237" s="3" t="n"/>
      <c r="O2237" s="2" t="n"/>
    </row>
    <row r="2238">
      <c r="A2238" s="2" t="n">
        <v>2237</v>
      </c>
      <c r="B2238" s="2" t="inlineStr">
        <is>
          <t>короткая</t>
        </is>
      </c>
      <c r="C2238" s="2" t="n">
        <v>9194</v>
      </c>
      <c r="D2238" s="3" t="inlineStr">
        <is>
          <t>1000 долларов в одну сторону</t>
        </is>
      </c>
      <c r="E2238" s="2" t="n">
        <v>1991</v>
      </c>
      <c r="F2238" s="2" t="inlineStr">
        <is>
          <t>кинофильм</t>
        </is>
      </c>
      <c r="G2238" s="2" t="n"/>
      <c r="H2238" s="2" t="n">
        <v>193</v>
      </c>
      <c r="I2238" s="2" t="inlineStr"/>
      <c r="J2238" s="2" t="inlineStr"/>
      <c r="K2238" s="3" t="inlineStr">
        <is>
          <t>Казалось бы, ничего не держит главную героиню в Ивановске, тем более, что ее родная сестренка Тамарка неплохо устроилась в Чикаго и давно зовет к себе. Но не едет она в Америку и даже не хочет.</t>
        </is>
      </c>
      <c r="L2238" s="2" t="inlineStr">
        <is>
          <t>Кино_СССР сводный каталог.xlsx: список фильмов (доп.)</t>
        </is>
      </c>
      <c r="M2238" s="2">
        <f>HYPERLINK("https://ru.wikipedia.org/w/index.php?search=1000%20%D0%B4%D0%BE%D0%BB%D0%BB%D0%B0%D1%80%D0%BE%D0%B2%20%D0%B2%20%D0%BE%D0%B4%D0%BD%D1%83%20%D1%81%D1%82%D0%BE%D1%80%D0%BE%D0%BD%D1%83%201991%20%D1%84%D0%B8%D0%BB%D1%8C%D0%BC","искать")</f>
        <v/>
      </c>
      <c r="N2238" s="3" t="n"/>
      <c r="O2238" s="2" t="n"/>
    </row>
    <row r="2239">
      <c r="A2239" s="2" t="n">
        <v>2238</v>
      </c>
      <c r="B2239" s="2" t="inlineStr">
        <is>
          <t>короткая</t>
        </is>
      </c>
      <c r="C2239" s="2" t="n">
        <v>9307</v>
      </c>
      <c r="D2239" s="3" t="inlineStr">
        <is>
          <t>Говорящая обезьяна</t>
        </is>
      </c>
      <c r="E2239" s="2" t="n">
        <v>1991</v>
      </c>
      <c r="F2239" s="2" t="inlineStr">
        <is>
          <t>кинофильм</t>
        </is>
      </c>
      <c r="G2239" s="2" t="inlineStr">
        <is>
          <t>Феникс-фильм</t>
        </is>
      </c>
      <c r="H2239" s="2" t="n">
        <v>193</v>
      </c>
      <c r="I2239" s="2" t="inlineStr"/>
      <c r="J2239" s="2" t="inlineStr"/>
      <c r="K2239" s="3" t="inlineStr">
        <is>
          <t>Симпатичная и смышленая обезьянка по кличке Ной попадает в руки мафиозной группировки, занимающейся зообизнесом... В фильме снялась шимпанзе Джуля под руководством дрессировщика Азиза Аскаряна.</t>
        </is>
      </c>
      <c r="L2239" s="2" t="inlineStr">
        <is>
          <t>Кино_СССР сводный каталог.xlsx: список фильмов (доп.)</t>
        </is>
      </c>
      <c r="M2239" s="2">
        <f>HYPERLINK("https://ru.wikipedia.org/w/index.php?search=%D0%93%D0%BE%D0%B2%D0%BE%D1%80%D1%8F%D1%89%D0%B0%D1%8F%20%D0%BE%D0%B1%D0%B5%D0%B7%D1%8C%D1%8F%D0%BD%D0%B0%201991%20%D1%84%D0%B8%D0%BB%D1%8C%D0%BC","искать")</f>
        <v/>
      </c>
      <c r="N2239" s="3" t="n"/>
      <c r="O2239" s="2" t="n"/>
    </row>
    <row r="2240">
      <c r="A2240" s="2" t="n">
        <v>2239</v>
      </c>
      <c r="B2240" s="2" t="inlineStr">
        <is>
          <t>короткая</t>
        </is>
      </c>
      <c r="C2240" s="2" t="n">
        <v>9441</v>
      </c>
      <c r="D2240" s="3" t="inlineStr">
        <is>
          <t>Кровь</t>
        </is>
      </c>
      <c r="E2240" s="2" t="n">
        <v>1990</v>
      </c>
      <c r="F2240" s="2" t="inlineStr">
        <is>
          <t>кинофильм</t>
        </is>
      </c>
      <c r="G2240" s="2" t="n"/>
      <c r="H2240" s="2" t="n">
        <v>193</v>
      </c>
      <c r="I2240" s="2" t="inlineStr"/>
      <c r="J2240" s="2" t="inlineStr"/>
      <c r="K2240" s="3" t="inlineStr">
        <is>
          <t>По повести В.Григоряна «Закрытая комната». В центре фильма - образ молодого героя, которому по драматическому стечению обстоятельств представляется возможность как бы заново прожить свою жизнь.</t>
        </is>
      </c>
      <c r="L2240" s="2" t="inlineStr">
        <is>
          <t>Кино_СССР сводный каталог.xlsx: список фильмов (доп.)</t>
        </is>
      </c>
      <c r="M2240" s="2">
        <f>HYPERLINK("https://ru.wikipedia.org/w/index.php?search=%D0%9A%D1%80%D0%BE%D0%B2%D1%8C%201990%20%D1%84%D0%B8%D0%BB%D1%8C%D0%BC","искать")</f>
        <v/>
      </c>
      <c r="N2240" s="3" t="n"/>
      <c r="O2240" s="2" t="n"/>
    </row>
    <row r="2241">
      <c r="A2241" s="2" t="n">
        <v>2240</v>
      </c>
      <c r="B2241" s="2" t="inlineStr">
        <is>
          <t>короткая</t>
        </is>
      </c>
      <c r="C2241" s="2" t="n">
        <v>7282</v>
      </c>
      <c r="D2241" s="3" t="inlineStr">
        <is>
          <t>Бушует "Маргарита"</t>
        </is>
      </c>
      <c r="E2241" s="2" t="n">
        <v>1970</v>
      </c>
      <c r="F2241" s="2" t="inlineStr">
        <is>
          <t>телефильм</t>
        </is>
      </c>
      <c r="G2241" s="2" t="inlineStr">
        <is>
          <t>ТО «Экран»</t>
        </is>
      </c>
      <c r="H2241" s="2" t="n">
        <v>194</v>
      </c>
      <c r="I2241" s="2" t="inlineStr"/>
      <c r="J2241" s="2" t="inlineStr"/>
      <c r="K2241" s="3" t="inlineStr">
        <is>
          <t>Бушует циклон "Маргарита" и пассажиры в аэропорту вынуждены в предновогодние часы ожидать изменений в погоде. Ожидания ярко раскрашены выступлениями популярных в 60-70-е годы эстрадных артистов.</t>
        </is>
      </c>
      <c r="L2241" s="2" t="inlineStr">
        <is>
          <t>Кино_СССР сводный каталог.xlsx: список телефильмов</t>
        </is>
      </c>
      <c r="M2241" s="2">
        <f>HYPERLINK("https://ru.wikipedia.org/w/index.php?search=%D0%91%D1%83%D1%88%D1%83%D0%B5%D1%82%20%22%D0%9C%D0%B0%D1%80%D0%B3%D0%B0%D1%80%D0%B8%D1%82%D0%B0%22%201970%20%D1%84%D0%B8%D0%BB%D1%8C%D0%BC","искать")</f>
        <v/>
      </c>
      <c r="N2241" s="3" t="n"/>
      <c r="O2241" s="2" t="n"/>
    </row>
    <row r="2242">
      <c r="A2242" s="2" t="n">
        <v>2241</v>
      </c>
      <c r="B2242" s="2" t="inlineStr">
        <is>
          <t>короткая</t>
        </is>
      </c>
      <c r="C2242" s="2" t="n">
        <v>7513</v>
      </c>
      <c r="D2242" s="3" t="inlineStr">
        <is>
          <t>Диалог</t>
        </is>
      </c>
      <c r="E2242" s="2" t="n">
        <v>1977</v>
      </c>
      <c r="F2242" s="2" t="inlineStr">
        <is>
          <t>телефильм</t>
        </is>
      </c>
      <c r="G2242" s="2" t="inlineStr">
        <is>
          <t>Мосфильм</t>
        </is>
      </c>
      <c r="H2242" s="2" t="n">
        <v>194</v>
      </c>
      <c r="I2242" s="2" t="inlineStr"/>
      <c r="J2242" s="2" t="inlineStr"/>
      <c r="K2242" s="3" t="inlineStr">
        <is>
          <t>Политический телефильм. О совместной работе советского журналиста Ершова (В. Тихонов) и западногерманского режиссера над документальным фильмом, посвященным разрядке международной напряженности.</t>
        </is>
      </c>
      <c r="L2242" s="2" t="inlineStr">
        <is>
          <t>Кино_СССР сводный каталог.xlsx: список телефильмов</t>
        </is>
      </c>
      <c r="M2242" s="2">
        <f>HYPERLINK("https://ru.wikipedia.org/w/index.php?search=%D0%94%D0%B8%D0%B0%D0%BB%D0%BE%D0%B3%201977%20%D1%84%D0%B8%D0%BB%D1%8C%D0%BC","искать")</f>
        <v/>
      </c>
      <c r="N2242" s="3" t="n"/>
      <c r="O2242" s="2" t="n"/>
    </row>
    <row r="2243">
      <c r="A2243" s="2" t="n">
        <v>2242</v>
      </c>
      <c r="B2243" s="2" t="inlineStr">
        <is>
          <t>короткая</t>
        </is>
      </c>
      <c r="C2243" s="2" t="n">
        <v>7674</v>
      </c>
      <c r="D2243" s="3" t="inlineStr">
        <is>
          <t>Игра без козырей</t>
        </is>
      </c>
      <c r="E2243" s="2" t="n">
        <v>1981</v>
      </c>
      <c r="F2243" s="2" t="inlineStr">
        <is>
          <t>телефильм</t>
        </is>
      </c>
      <c r="G2243" s="2" t="n"/>
      <c r="H2243" s="2" t="n">
        <v>194</v>
      </c>
      <c r="I2243" s="2" t="inlineStr"/>
      <c r="J2243" s="2" t="inlineStr"/>
      <c r="K2243" s="3" t="inlineStr">
        <is>
          <t>Телефильм. Капитану милиции Григонису поручают расследование убийства сторожа научно-исследовательского института. Рискуя жизнью, он разоблачает и обезвреживает шайку особо опасных преступников.</t>
        </is>
      </c>
      <c r="L2243" s="2" t="inlineStr">
        <is>
          <t>Кино_СССР сводный каталог.xlsx: список телефильмов</t>
        </is>
      </c>
      <c r="M2243" s="2">
        <f>HYPERLINK("https://ru.wikipedia.org/w/index.php?search=%D0%98%D0%B3%D1%80%D0%B0%20%D0%B1%D0%B5%D0%B7%20%D0%BA%D0%BE%D0%B7%D1%8B%D1%80%D0%B5%D0%B9%201981%20%D1%84%D0%B8%D0%BB%D1%8C%D0%BC","искать")</f>
        <v/>
      </c>
      <c r="N2243" s="3" t="n"/>
      <c r="O2243" s="2" t="n"/>
    </row>
    <row r="2244">
      <c r="A2244" s="2" t="n">
        <v>2243</v>
      </c>
      <c r="B2244" s="2" t="inlineStr">
        <is>
          <t>короткая</t>
        </is>
      </c>
      <c r="C2244" s="2" t="n">
        <v>8337</v>
      </c>
      <c r="D2244" s="3" t="inlineStr">
        <is>
          <t>Серебристый фургон</t>
        </is>
      </c>
      <c r="E2244" s="2" t="n">
        <v>1982</v>
      </c>
      <c r="F2244" s="2" t="inlineStr">
        <is>
          <t>телефильм</t>
        </is>
      </c>
      <c r="G2244" s="2" t="n"/>
      <c r="H2244" s="2" t="n">
        <v>194</v>
      </c>
      <c r="I2244" s="2" t="inlineStr"/>
      <c r="J2244" s="2" t="inlineStr"/>
      <c r="K2244" s="3" t="inlineStr">
        <is>
          <t>Телефильм по мотивам одноименной повести  Эльчина. В деревню на серебристом, цирковом фургоне приезжает дружелюбный, молодой человек, который дарит свою чистую любовь молодой, невезучей женщине.</t>
        </is>
      </c>
      <c r="L2244" s="2" t="inlineStr">
        <is>
          <t>Кино_СССР сводный каталог.xlsx: список телефильмов</t>
        </is>
      </c>
      <c r="M2244" s="2">
        <f>HYPERLINK("https://ru.wikipedia.org/w/index.php?search=%D0%A1%D0%B5%D1%80%D0%B5%D0%B1%D1%80%D0%B8%D1%81%D1%82%D1%8B%D0%B9%20%D1%84%D1%83%D1%80%D0%B3%D0%BE%D0%BD%201982%20%D1%84%D0%B8%D0%BB%D1%8C%D0%BC","искать")</f>
        <v/>
      </c>
      <c r="N2244" s="3" t="n"/>
      <c r="O2244" s="2" t="n"/>
    </row>
    <row r="2245">
      <c r="A2245" s="2" t="n">
        <v>2244</v>
      </c>
      <c r="B2245" s="2" t="inlineStr">
        <is>
          <t>короткая</t>
        </is>
      </c>
      <c r="C2245" s="2" t="n">
        <v>8920</v>
      </c>
      <c r="D2245" s="3" t="inlineStr">
        <is>
          <t>Пауки</t>
        </is>
      </c>
      <c r="E2245" s="2" t="n">
        <v>1987</v>
      </c>
      <c r="F2245" s="2" t="inlineStr">
        <is>
          <t>кинофильм</t>
        </is>
      </c>
      <c r="G2245" s="2" t="n"/>
      <c r="H2245" s="2" t="n">
        <v>194</v>
      </c>
      <c r="I2245" s="2" t="inlineStr"/>
      <c r="J2245" s="2" t="inlineStr"/>
      <c r="K2245" s="3" t="inlineStr">
        <is>
          <t>Фильм для служебного пользования в игровой форме показывает этапы расследования агентурного дела "Пауки", направленного на раскрытие преступной группы, осуществляющей хищения на швейной фабрике.</t>
        </is>
      </c>
      <c r="L2245" s="2" t="inlineStr">
        <is>
          <t>Кино_СССР сводный каталог.xlsx: список фильмов (доп.)</t>
        </is>
      </c>
      <c r="M2245" s="2">
        <f>HYPERLINK("https://ru.wikipedia.org/w/index.php?search=%D0%9F%D0%B0%D1%83%D0%BA%D0%B8%201987%20%D1%84%D0%B8%D0%BB%D1%8C%D0%BC","искать")</f>
        <v/>
      </c>
      <c r="N2245" s="3" t="n"/>
      <c r="O2245" s="2" t="n"/>
    </row>
    <row r="2246">
      <c r="A2246" s="2" t="n">
        <v>2245</v>
      </c>
      <c r="B2246" s="2" t="inlineStr">
        <is>
          <t>короткая</t>
        </is>
      </c>
      <c r="C2246" s="2" t="n">
        <v>9078</v>
      </c>
      <c r="D2246" s="3" t="inlineStr">
        <is>
          <t>Суржекей - ангел смерти</t>
        </is>
      </c>
      <c r="E2246" s="2" t="n">
        <v>1991</v>
      </c>
      <c r="F2246" s="2" t="inlineStr">
        <is>
          <t>кинофильм</t>
        </is>
      </c>
      <c r="G2246" s="2" t="n"/>
      <c r="H2246" s="2" t="n">
        <v>194</v>
      </c>
      <c r="I2246" s="2" t="inlineStr"/>
      <c r="J2246" s="2" t="inlineStr"/>
      <c r="K2246" s="3" t="inlineStr">
        <is>
          <t>1930-е годы, Казахстан. Неграмотный кочевник Суржекей становится «проводником» политики коллективизации. «Я для вас закон», кричит он и карает каждого, кто делает не так, как ему кажется верным.</t>
        </is>
      </c>
      <c r="L2246" s="2" t="inlineStr">
        <is>
          <t>Кино_СССР сводный каталог.xlsx: список фильмов (доп.)</t>
        </is>
      </c>
      <c r="M2246" s="2">
        <f>HYPERLINK("https://ru.wikipedia.org/w/index.php?search=%D0%A1%D1%83%D1%80%D0%B6%D0%B5%D0%BA%D0%B5%D0%B9%20-%20%D0%B0%D0%BD%D0%B3%D0%B5%D0%BB%20%D1%81%D0%BC%D0%B5%D1%80%D1%82%D0%B8%201991%20%D1%84%D0%B8%D0%BB%D1%8C%D0%BC","искать")</f>
        <v/>
      </c>
      <c r="N2246" s="3" t="n"/>
      <c r="O2246" s="2" t="n"/>
    </row>
    <row r="2247">
      <c r="A2247" s="2" t="n">
        <v>2246</v>
      </c>
      <c r="B2247" s="2" t="inlineStr">
        <is>
          <t>короткая</t>
        </is>
      </c>
      <c r="C2247" s="2" t="n">
        <v>9482</v>
      </c>
      <c r="D2247" s="3" t="inlineStr">
        <is>
          <t>Музыкальная смена</t>
        </is>
      </c>
      <c r="E2247" s="2" t="n">
        <v>1987</v>
      </c>
      <c r="F2247" s="2" t="inlineStr">
        <is>
          <t>кинофильм</t>
        </is>
      </c>
      <c r="G2247" s="2" t="inlineStr">
        <is>
          <t>Киностудия им. М. Горького</t>
        </is>
      </c>
      <c r="H2247" s="2" t="n">
        <v>194</v>
      </c>
      <c r="I2247" s="2" t="inlineStr"/>
      <c r="J2247" s="2" t="inlineStr"/>
      <c r="K2247" s="3" t="inlineStr">
        <is>
          <t>Художественно-публицистический музыкальный фильм для детей. О том, что детей из разных стран, говорящих на разных языках, может объединять язык музыки, понятный всем людям на Земле без перевода.</t>
        </is>
      </c>
      <c r="L2247" s="2" t="inlineStr">
        <is>
          <t>Кино_СССР сводный каталог.xlsx: список фильмов (доп.)</t>
        </is>
      </c>
      <c r="M2247" s="2">
        <f>HYPERLINK("https://ru.wikipedia.org/w/index.php?search=%D0%9C%D1%83%D0%B7%D1%8B%D0%BA%D0%B0%D0%BB%D1%8C%D0%BD%D0%B0%D1%8F%20%D1%81%D0%BC%D0%B5%D0%BD%D0%B0%201987%20%D1%84%D0%B8%D0%BB%D1%8C%D0%BC","искать")</f>
        <v/>
      </c>
      <c r="N2247" s="3" t="n"/>
      <c r="O2247" s="2" t="n"/>
    </row>
    <row r="2248">
      <c r="A2248" s="2" t="n">
        <v>2247</v>
      </c>
      <c r="B2248" s="2" t="inlineStr">
        <is>
          <t>короткая</t>
        </is>
      </c>
      <c r="C2248" s="2" t="n">
        <v>10311</v>
      </c>
      <c r="D2248" s="3" t="inlineStr">
        <is>
          <t>Комендант Лаутербурга</t>
        </is>
      </c>
      <c r="E2248" s="2" t="n">
        <v>1969</v>
      </c>
      <c r="F2248" s="2" t="inlineStr">
        <is>
          <t>фильм-спектакль</t>
        </is>
      </c>
      <c r="G2248" s="2" t="n"/>
      <c r="H2248" s="2" t="n">
        <v>194</v>
      </c>
      <c r="I2248" s="2" t="inlineStr"/>
      <c r="J2248" s="2" t="inlineStr"/>
      <c r="K2248" s="3" t="inlineStr">
        <is>
          <t>Телеспектакль по роману Э.Казакевича "Дом на площади".
О службе подполковника Лубенцова на посту коменданта немецкого города Лаутербурга в первые дни после окончания Великой Отечественной войны.</t>
        </is>
      </c>
      <c r="L2248" s="2" t="inlineStr">
        <is>
          <t>https://www.kino-teatr.ru/teatr/movie/86248/annot/</t>
        </is>
      </c>
      <c r="M2248" s="2">
        <f>HYPERLINK("https://ru.wikipedia.org/w/index.php?search=%D0%9A%D0%BE%D0%BC%D0%B5%D0%BD%D0%B4%D0%B0%D0%BD%D1%82%20%D0%9B%D0%B0%D1%83%D1%82%D0%B5%D1%80%D0%B1%D1%83%D1%80%D0%B3%D0%B0%201969%20%D1%84%D0%B8%D0%BB%D1%8C%D0%BC","искать")</f>
        <v/>
      </c>
      <c r="N2248" s="3" t="n"/>
      <c r="O2248" s="2" t="n"/>
    </row>
    <row r="2249">
      <c r="A2249" s="2" t="n">
        <v>2248</v>
      </c>
      <c r="B2249" s="2" t="inlineStr">
        <is>
          <t>короткая</t>
        </is>
      </c>
      <c r="C2249" s="2" t="n">
        <v>10446</v>
      </c>
      <c r="D2249" s="3" t="inlineStr">
        <is>
          <t>Красные курсанты</t>
        </is>
      </c>
      <c r="E2249" s="2" t="n">
        <v>1972</v>
      </c>
      <c r="F2249" s="2" t="inlineStr">
        <is>
          <t>фильм-спектакль</t>
        </is>
      </c>
      <c r="G2249" s="2" t="inlineStr">
        <is>
          <t>Центральное телевидение СССР</t>
        </is>
      </c>
      <c r="H2249" s="2" t="n">
        <v>194</v>
      </c>
      <c r="I2249" s="2" t="inlineStr"/>
      <c r="J2249" s="2" t="inlineStr"/>
      <c r="K2249" s="3" t="inlineStr">
        <is>
          <t>Фильм-спектакль по мотивам произведений Аркадия Гайдара о героической борьбе курсантов девятых командных курсов Красной Армии с петлюровцами.
1 серия "Синий пакет".
2 серия "На старой мельнице".</t>
        </is>
      </c>
      <c r="L2249" s="2" t="inlineStr">
        <is>
          <t>https://www.kino-teatr.ru/teatr/movie/135103/annot/</t>
        </is>
      </c>
      <c r="M2249" s="2">
        <f>HYPERLINK("https://ru.wikipedia.org/w/index.php?search=%D0%9A%D1%80%D0%B0%D1%81%D0%BD%D1%8B%D0%B5%20%D0%BA%D1%83%D1%80%D1%81%D0%B0%D0%BD%D1%82%D1%8B%201972%20%D1%84%D0%B8%D0%BB%D1%8C%D0%BC","искать")</f>
        <v/>
      </c>
      <c r="N2249" s="3" t="n"/>
      <c r="O2249" s="2" t="n"/>
    </row>
    <row r="2250">
      <c r="A2250" s="2" t="n">
        <v>2249</v>
      </c>
      <c r="B2250" s="2" t="inlineStr">
        <is>
          <t>короткая</t>
        </is>
      </c>
      <c r="C2250" s="2" t="n">
        <v>11317</v>
      </c>
      <c r="D2250" s="3" t="inlineStr">
        <is>
          <t>Пришел мужчина к женщине</t>
        </is>
      </c>
      <c r="E2250" s="2" t="n">
        <v>1990</v>
      </c>
      <c r="F2250" s="2" t="inlineStr">
        <is>
          <t>фильм-спектакль</t>
        </is>
      </c>
      <c r="G2250" s="2" t="n"/>
      <c r="H2250" s="2" t="n">
        <v>194</v>
      </c>
      <c r="I2250" s="2" t="inlineStr"/>
      <c r="J2250" s="2" t="inlineStr"/>
      <c r="K2250" s="3" t="inlineStr">
        <is>
          <t>Спектакль театра "Школа современной пьесы".
В квартире нового жилого дома скучает одинокая телефонистка Дина Федоровна. Друзья решают познакомить ее с Виктором Петровичем - одиноким фармацевтом.</t>
        </is>
      </c>
      <c r="L2250" s="2" t="inlineStr">
        <is>
          <t>https://www.kino-teatr.ru/teatr/movie/81606/annot/</t>
        </is>
      </c>
      <c r="M2250" s="2">
        <f>HYPERLINK("https://ru.wikipedia.org/w/index.php?search=%D0%9F%D1%80%D0%B8%D1%88%D0%B5%D0%BB%20%D0%BC%D1%83%D0%B6%D1%87%D0%B8%D0%BD%D0%B0%20%D0%BA%20%D0%B6%D0%B5%D0%BD%D1%89%D0%B8%D0%BD%D0%B5%201990%20%D1%84%D0%B8%D0%BB%D1%8C%D0%BC","искать")</f>
        <v/>
      </c>
      <c r="N2250" s="3" t="n"/>
      <c r="O2250" s="2" t="n"/>
    </row>
    <row r="2251">
      <c r="A2251" s="2" t="n">
        <v>2250</v>
      </c>
      <c r="B2251" s="2" t="inlineStr">
        <is>
          <t>короткая</t>
        </is>
      </c>
      <c r="C2251" s="2" t="n">
        <v>11322</v>
      </c>
      <c r="D2251" s="3" t="inlineStr">
        <is>
          <t>Сказка о потерянном времени</t>
        </is>
      </c>
      <c r="E2251" s="2" t="n">
        <v>1990</v>
      </c>
      <c r="F2251" s="2" t="inlineStr">
        <is>
          <t>фильм-спектакль</t>
        </is>
      </c>
      <c r="G2251" s="2" t="inlineStr">
        <is>
          <t>Панорама (Петербург)</t>
        </is>
      </c>
      <c r="H2251" s="2" t="n">
        <v>194</v>
      </c>
      <c r="I2251" s="2" t="inlineStr"/>
      <c r="J2251" s="2" t="inlineStr"/>
      <c r="K2251" s="3" t="inlineStr">
        <is>
          <t>По одноименной пьесе Е.Шварца в постановке Ленинградского Большого театра кукол. О невероятных приключениях третьеклассника Пети Зубова, который напрасно терял время... Постановка В.Сударушкина.</t>
        </is>
      </c>
      <c r="L2251" s="2" t="inlineStr">
        <is>
          <t>https://www.kino-teatr.ru/teatr/movie/9758/annot/</t>
        </is>
      </c>
      <c r="M2251" s="2">
        <f>HYPERLINK("https://ru.wikipedia.org/w/index.php?search=%D0%A1%D0%BA%D0%B0%D0%B7%D0%BA%D0%B0%20%D0%BE%20%D0%BF%D0%BE%D1%82%D0%B5%D1%80%D1%8F%D0%BD%D0%BD%D0%BE%D0%BC%20%D0%B2%D1%80%D0%B5%D0%BC%D0%B5%D0%BD%D0%B8%201990%20%D1%84%D0%B8%D0%BB%D1%8C%D0%BC","искать")</f>
        <v/>
      </c>
      <c r="N2251" s="3" t="n"/>
      <c r="O2251" s="2" t="n"/>
    </row>
    <row r="2252">
      <c r="A2252" s="2" t="n">
        <v>2251</v>
      </c>
      <c r="B2252" s="2" t="inlineStr">
        <is>
          <t>короткая</t>
        </is>
      </c>
      <c r="C2252" s="2" t="n">
        <v>7718</v>
      </c>
      <c r="D2252" s="3" t="inlineStr">
        <is>
          <t>Кармелюк</t>
        </is>
      </c>
      <c r="E2252" s="2" t="n">
        <v>1985</v>
      </c>
      <c r="F2252" s="2" t="inlineStr">
        <is>
          <t>телефильм</t>
        </is>
      </c>
      <c r="G2252" s="2" t="inlineStr">
        <is>
          <t>к/с им. Довженко</t>
        </is>
      </c>
      <c r="H2252" s="2" t="n">
        <v>195</v>
      </c>
      <c r="I2252" s="2" t="inlineStr"/>
      <c r="J2252" s="2" t="inlineStr"/>
      <c r="K2252" s="3" t="inlineStr">
        <is>
          <t>Четырехсерийный телефильм про легендарного предводителя украинских борцов за свободу Устима Кармелюка, поднявшего крестьянское восстание против помещиков и польской шляхты в 30-е годы 19-го века.</t>
        </is>
      </c>
      <c r="L2252" s="2" t="inlineStr">
        <is>
          <t>Кино_СССР сводный каталог.xlsx: список телефильмов</t>
        </is>
      </c>
      <c r="M2252" s="2">
        <f>HYPERLINK("https://ru.wikipedia.org/w/index.php?search=%D0%9A%D0%B0%D1%80%D0%BC%D0%B5%D0%BB%D1%8E%D0%BA%201985%20%D1%84%D0%B8%D0%BB%D1%8C%D0%BC","искать")</f>
        <v/>
      </c>
      <c r="N2252" s="3" t="n"/>
      <c r="O2252" s="2" t="n"/>
    </row>
    <row r="2253">
      <c r="A2253" s="2" t="n">
        <v>2252</v>
      </c>
      <c r="B2253" s="2" t="inlineStr">
        <is>
          <t>короткая</t>
        </is>
      </c>
      <c r="C2253" s="2" t="n">
        <v>8345</v>
      </c>
      <c r="D2253" s="3" t="inlineStr">
        <is>
          <t>Синдикат-2</t>
        </is>
      </c>
      <c r="E2253" s="2" t="n">
        <v>1980</v>
      </c>
      <c r="F2253" s="2" t="inlineStr">
        <is>
          <t>телефильм</t>
        </is>
      </c>
      <c r="G2253" s="2" t="n"/>
      <c r="H2253" s="2" t="n">
        <v>196</v>
      </c>
      <c r="I2253" s="2" t="inlineStr"/>
      <c r="J2253" s="2" t="inlineStr"/>
      <c r="K2253" s="3" t="inlineStr">
        <is>
          <t>По роману В. Ардаматского «Возмездие». О разгроме чекистами подпольной организации, возглавляемой Борисом Савинковым. Фильм был отмечен Государственной премией РСФСР им. братьев Васильевых (1983).</t>
        </is>
      </c>
      <c r="L2253" s="2" t="inlineStr">
        <is>
          <t>Кино_СССР сводный каталог.xlsx: список телефильмов</t>
        </is>
      </c>
      <c r="M2253" s="2">
        <f>HYPERLINK("https://ru.wikipedia.org/w/index.php?search=%D0%A1%D0%B8%D0%BD%D0%B4%D0%B8%D0%BA%D0%B0%D1%82-2%201980%20%D1%84%D0%B8%D0%BB%D1%8C%D0%BC","искать")</f>
        <v/>
      </c>
      <c r="N2253" s="3" t="n"/>
      <c r="O2253" s="2" t="n"/>
    </row>
    <row r="2254">
      <c r="A2254" s="2" t="n">
        <v>2253</v>
      </c>
      <c r="B2254" s="2" t="inlineStr">
        <is>
          <t>короткая</t>
        </is>
      </c>
      <c r="C2254" s="2" t="n">
        <v>8928</v>
      </c>
      <c r="D2254" s="3" t="inlineStr">
        <is>
          <t>Песня о Довбуше</t>
        </is>
      </c>
      <c r="E2254" s="2" t="n">
        <v>1941</v>
      </c>
      <c r="F2254" s="2" t="inlineStr">
        <is>
          <t>кинофильм</t>
        </is>
      </c>
      <c r="G2254" s="2" t="n"/>
      <c r="H2254" s="2" t="n">
        <v>196</v>
      </c>
      <c r="I2254" s="2" t="inlineStr"/>
      <c r="J2254" s="2" t="inlineStr"/>
      <c r="K2254" s="3" t="inlineStr">
        <is>
          <t>Об одном из самых известных украинских борцов за свободу - Олексе Довбуше. Он и его повстанцы долго наводили страх и сеяли панику среди помещиков на территории Карпат. Съемки фильма были прерваны.</t>
        </is>
      </c>
      <c r="L2254" s="2" t="inlineStr">
        <is>
          <t>Кино_СССР сводный каталог.xlsx: список фильмов (доп.)</t>
        </is>
      </c>
      <c r="M2254" s="2">
        <f>HYPERLINK("https://ru.wikipedia.org/w/index.php?search=%D0%9F%D0%B5%D1%81%D0%BD%D1%8F%20%D0%BE%20%D0%94%D0%BE%D0%B2%D0%B1%D1%83%D1%88%D0%B5%201941%20%D1%84%D0%B8%D0%BB%D1%8C%D0%BC","искать")</f>
        <v/>
      </c>
      <c r="N2254" s="3" t="n"/>
      <c r="O2254" s="2" t="n"/>
    </row>
    <row r="2255">
      <c r="A2255" s="2" t="n">
        <v>2254</v>
      </c>
      <c r="B2255" s="2" t="inlineStr">
        <is>
          <t>короткая</t>
        </is>
      </c>
      <c r="C2255" s="2" t="n">
        <v>9054</v>
      </c>
      <c r="D2255" s="3" t="inlineStr">
        <is>
          <t>Собачье счастье</t>
        </is>
      </c>
      <c r="E2255" s="2" t="n">
        <v>1991</v>
      </c>
      <c r="F2255" s="2" t="inlineStr">
        <is>
          <t>кинофильм</t>
        </is>
      </c>
      <c r="G2255" s="2" t="n"/>
      <c r="H2255" s="2" t="n">
        <v>196</v>
      </c>
      <c r="I2255" s="2" t="inlineStr"/>
      <c r="J2255" s="2" t="inlineStr"/>
      <c r="K2255" s="3" t="inlineStr">
        <is>
          <t>Пудель по кличке Малыш увязался за своим маленьким хозяином в школу, но там был выдворен на школьный двор и потерялся. Андрей и его родители искали Малыша по всему городу, но тот как в воду канул.</t>
        </is>
      </c>
      <c r="L2255" s="2" t="inlineStr">
        <is>
          <t>Кино_СССР сводный каталог.xlsx: список фильмов (доп.)</t>
        </is>
      </c>
      <c r="M2255" s="2">
        <f>HYPERLINK("https://ru.wikipedia.org/w/index.php?search=%D0%A1%D0%BE%D0%B1%D0%B0%D1%87%D1%8C%D0%B5%20%D1%81%D1%87%D0%B0%D1%81%D1%82%D1%8C%D0%B5%201991%20%D1%84%D0%B8%D0%BB%D1%8C%D0%BC","искать")</f>
        <v/>
      </c>
      <c r="N2255" s="3" t="n"/>
      <c r="O2255" s="2" t="n"/>
    </row>
    <row r="2256">
      <c r="A2256" s="2" t="n">
        <v>2255</v>
      </c>
      <c r="B2256" s="2" t="inlineStr">
        <is>
          <t>короткая</t>
        </is>
      </c>
      <c r="C2256" s="2" t="n">
        <v>9074</v>
      </c>
      <c r="D2256" s="3" t="inlineStr">
        <is>
          <t>Судный день</t>
        </is>
      </c>
      <c r="E2256" s="2" t="n">
        <v>1991</v>
      </c>
      <c r="F2256" s="2" t="inlineStr">
        <is>
          <t>кинофильм</t>
        </is>
      </c>
      <c r="G2256" s="2" t="n"/>
      <c r="H2256" s="2" t="n">
        <v>196</v>
      </c>
      <c r="I2256" s="2" t="inlineStr"/>
      <c r="J2256" s="2" t="inlineStr"/>
      <c r="K2256" s="3" t="inlineStr">
        <is>
          <t>Дружбу двух мужчин разрушает предательство: один отправляет другого в тюрьму по ложному обвинению и женится на его возлюбленной. Выйдя на свободу, пострадавший узнаёт правду и стремится отомстить.</t>
        </is>
      </c>
      <c r="L2256" s="2" t="inlineStr">
        <is>
          <t>Кино_СССР сводный каталог.xlsx: список фильмов (доп.)</t>
        </is>
      </c>
      <c r="M2256" s="2">
        <f>HYPERLINK("https://ru.wikipedia.org/w/index.php?search=%D0%A1%D1%83%D0%B4%D0%BD%D1%8B%D0%B9%20%D0%B4%D0%B5%D0%BD%D1%8C%201991%20%D1%84%D0%B8%D0%BB%D1%8C%D0%BC","искать")</f>
        <v/>
      </c>
      <c r="N2256" s="3" t="n"/>
      <c r="O2256" s="2" t="n"/>
    </row>
    <row r="2257">
      <c r="A2257" s="2" t="n">
        <v>2256</v>
      </c>
      <c r="B2257" s="2" t="inlineStr">
        <is>
          <t>короткая</t>
        </is>
      </c>
      <c r="C2257" s="2" t="n">
        <v>9383</v>
      </c>
      <c r="D2257" s="3" t="inlineStr">
        <is>
          <t>И возвращается ветер...</t>
        </is>
      </c>
      <c r="E2257" s="2" t="n">
        <v>1991</v>
      </c>
      <c r="F2257" s="2" t="inlineStr">
        <is>
          <t>кинофильм</t>
        </is>
      </c>
      <c r="G2257" s="2" t="n"/>
      <c r="H2257" s="2" t="n">
        <v>196</v>
      </c>
      <c r="I2257" s="2" t="inlineStr"/>
      <c r="J2257" s="2" t="inlineStr"/>
      <c r="K2257" s="3" t="inlineStr">
        <is>
          <t>Автобиографическая драма о жизни режиссера Михаила Калика. Хроникально-документальные кадры переплетаются с отрывками из прежних картин режиссера, а также дополнены вновь снятыми игровыми сценами.</t>
        </is>
      </c>
      <c r="L2257" s="2" t="inlineStr">
        <is>
          <t>Кино_СССР сводный каталог.xlsx: список фильмов (доп.)</t>
        </is>
      </c>
      <c r="M2257" s="2">
        <f>HYPERLINK("https://ru.wikipedia.org/w/index.php?search=%D0%98%20%D0%B2%D0%BE%D0%B7%D0%B2%D1%80%D0%B0%D1%89%D0%B0%D0%B5%D1%82%D1%81%D1%8F%20%D0%B2%D0%B5%D1%82%D0%B5%D1%80...%201991%20%D1%84%D0%B8%D0%BB%D1%8C%D0%BC","искать")</f>
        <v/>
      </c>
      <c r="N2257" s="3" t="n"/>
      <c r="O2257" s="2" t="n"/>
    </row>
    <row r="2258">
      <c r="A2258" s="2" t="n">
        <v>2257</v>
      </c>
      <c r="B2258" s="2" t="inlineStr">
        <is>
          <t>короткая</t>
        </is>
      </c>
      <c r="C2258" s="2" t="n">
        <v>7291</v>
      </c>
      <c r="D2258" s="3" t="inlineStr">
        <is>
          <t>В город пришла беда</t>
        </is>
      </c>
      <c r="E2258" s="2" t="n">
        <v>1966</v>
      </c>
      <c r="F2258" s="2" t="inlineStr">
        <is>
          <t>телефильм</t>
        </is>
      </c>
      <c r="G2258" s="2" t="n"/>
      <c r="H2258" s="2" t="n">
        <v>197</v>
      </c>
      <c r="I2258" s="2" t="inlineStr"/>
      <c r="J2258" s="2" t="inlineStr"/>
      <c r="K2258" s="3" t="inlineStr">
        <is>
          <t>Телефильм по одноименной повести А.Мильчакова; о событиях в Москве, происходивших в 1960 году, когда врачи и люди других профессий активно боролись с пурпурной оспой, завезенной в страну с Востока.</t>
        </is>
      </c>
      <c r="L2258" s="2" t="inlineStr">
        <is>
          <t>Кино_СССР сводный каталог.xlsx: список телефильмов</t>
        </is>
      </c>
      <c r="M2258" s="2">
        <f>HYPERLINK("https://ru.wikipedia.org/w/index.php?search=%D0%92%20%D0%B3%D0%BE%D1%80%D0%BE%D0%B4%20%D0%BF%D1%80%D0%B8%D1%88%D0%BB%D0%B0%20%D0%B1%D0%B5%D0%B4%D0%B0%201966%20%D1%84%D0%B8%D0%BB%D1%8C%D0%BC","искать")</f>
        <v/>
      </c>
      <c r="N2258" s="3" t="n"/>
      <c r="O2258" s="2" t="n"/>
    </row>
    <row r="2259">
      <c r="A2259" s="2" t="n">
        <v>2258</v>
      </c>
      <c r="B2259" s="2" t="inlineStr">
        <is>
          <t>короткая</t>
        </is>
      </c>
      <c r="C2259" s="2" t="n">
        <v>8756</v>
      </c>
      <c r="D2259" s="3" t="inlineStr">
        <is>
          <t>Каменный плен</t>
        </is>
      </c>
      <c r="E2259" s="2" t="n">
        <v>1990</v>
      </c>
      <c r="F2259" s="2" t="inlineStr">
        <is>
          <t>кинофильм</t>
        </is>
      </c>
      <c r="G2259" s="2" t="n"/>
      <c r="H2259" s="2" t="n">
        <v>197</v>
      </c>
      <c r="I2259" s="2" t="inlineStr"/>
      <c r="J2259" s="2" t="inlineStr"/>
      <c r="K2259" s="3" t="inlineStr">
        <is>
          <t>О строительстве железной дороги через горные ущелья к озеру Иссык-Куль. К этим работам были привлечены немецкие военнопленные, репрессированные и местные жители. Многие из них погибли в этих краях.</t>
        </is>
      </c>
      <c r="L2259" s="2" t="inlineStr">
        <is>
          <t>Кино_СССР сводный каталог.xlsx: список фильмов (доп.)</t>
        </is>
      </c>
      <c r="M2259" s="2">
        <f>HYPERLINK("https://ru.wikipedia.org/w/index.php?search=%D0%9A%D0%B0%D0%BC%D0%B5%D0%BD%D0%BD%D1%8B%D0%B9%20%D0%BF%D0%BB%D0%B5%D0%BD%201990%20%D1%84%D0%B8%D0%BB%D1%8C%D0%BC","искать")</f>
        <v/>
      </c>
      <c r="N2259" s="3" t="n"/>
      <c r="O2259" s="2" t="n"/>
    </row>
    <row r="2260">
      <c r="A2260" s="2" t="n">
        <v>2259</v>
      </c>
      <c r="B2260" s="2" t="inlineStr">
        <is>
          <t>короткая</t>
        </is>
      </c>
      <c r="C2260" s="2" t="n">
        <v>8321</v>
      </c>
      <c r="D2260" s="3" t="inlineStr">
        <is>
          <t>Седьмой джинн</t>
        </is>
      </c>
      <c r="E2260" s="2" t="n">
        <v>1976</v>
      </c>
      <c r="F2260" s="2" t="inlineStr">
        <is>
          <t>телефильм</t>
        </is>
      </c>
      <c r="G2260" s="2" t="n"/>
      <c r="H2260" s="2" t="n">
        <v>198</v>
      </c>
      <c r="I2260" s="2" t="inlineStr"/>
      <c r="J2260" s="2" t="inlineStr"/>
      <c r="K2260" s="3" t="inlineStr">
        <is>
          <t>Телефильм. В некоем ханстве обитали семь джиннов. Шесть - злых, а один - добрый. Добрый Джинн, несмотря на козни злых, помог гончару Наби обмануть хана, чтобы дать воду для орошения земель бедняков.</t>
        </is>
      </c>
      <c r="L2260" s="2" t="inlineStr">
        <is>
          <t>Кино_СССР сводный каталог.xlsx: список телефильмов</t>
        </is>
      </c>
      <c r="M2260" s="2">
        <f>HYPERLINK("https://ru.wikipedia.org/w/index.php?search=%D0%A1%D0%B5%D0%B4%D1%8C%D0%BC%D0%BE%D0%B9%20%D0%B4%D0%B6%D0%B8%D0%BD%D0%BD%201976%20%D1%84%D0%B8%D0%BB%D1%8C%D0%BC","искать")</f>
        <v/>
      </c>
      <c r="N2260" s="3" t="n"/>
      <c r="O2260" s="2" t="n"/>
    </row>
    <row r="2261">
      <c r="A2261" s="2" t="n">
        <v>2260</v>
      </c>
      <c r="B2261" s="2" t="inlineStr">
        <is>
          <t>короткая</t>
        </is>
      </c>
      <c r="C2261" s="2" t="n">
        <v>8854</v>
      </c>
      <c r="D2261" s="3" t="inlineStr">
        <is>
          <t>Мутанты</t>
        </is>
      </c>
      <c r="E2261" s="2" t="n">
        <v>1988</v>
      </c>
      <c r="F2261" s="2" t="inlineStr">
        <is>
          <t>кинофильм</t>
        </is>
      </c>
      <c r="G2261" s="2" t="n"/>
      <c r="H2261" s="2" t="n">
        <v>198</v>
      </c>
      <c r="I2261" s="2" t="inlineStr"/>
      <c r="J2261" s="2" t="inlineStr"/>
      <c r="K2261" s="3" t="inlineStr">
        <is>
          <t>Фильм о жизни подростков в современном городе. Их объединяет любовь к рок-музыке. Чтобы приобрести дорогой синтезатор, они готовы на все: играть на похоронах, и даже украсть лобовое стекло с машины.</t>
        </is>
      </c>
      <c r="L2261" s="2" t="inlineStr">
        <is>
          <t>Кино_СССР сводный каталог.xlsx: список фильмов (доп.)</t>
        </is>
      </c>
      <c r="M2261" s="2">
        <f>HYPERLINK("https://ru.wikipedia.org/w/index.php?search=%D0%9C%D1%83%D1%82%D0%B0%D0%BD%D1%82%D1%8B%201988%20%D1%84%D0%B8%D0%BB%D1%8C%D0%BC","искать")</f>
        <v/>
      </c>
      <c r="N2261" s="3" t="n"/>
      <c r="O2261" s="2" t="n"/>
    </row>
    <row r="2262">
      <c r="A2262" s="2" t="n">
        <v>2261</v>
      </c>
      <c r="B2262" s="2" t="inlineStr">
        <is>
          <t>короткая</t>
        </is>
      </c>
      <c r="C2262" s="2" t="n">
        <v>8874</v>
      </c>
      <c r="D2262" s="3" t="inlineStr">
        <is>
          <t>Непридуманная история</t>
        </is>
      </c>
      <c r="E2262" s="2" t="n">
        <v>1986</v>
      </c>
      <c r="F2262" s="2" t="inlineStr">
        <is>
          <t>кинофильм</t>
        </is>
      </c>
      <c r="G2262" s="2" t="n"/>
      <c r="H2262" s="2" t="n">
        <v>198</v>
      </c>
      <c r="I2262" s="2" t="inlineStr"/>
      <c r="J2262" s="2" t="inlineStr"/>
      <c r="K2262" s="3" t="inlineStr">
        <is>
          <t>Писатель придумывает истории, каждая из которых заканчивается травмой героя. Жена писателя советует ему напомнить читателям, что договор страхования от несчастных случаев обеспечит помощь Госстраха.</t>
        </is>
      </c>
      <c r="L2262" s="2" t="inlineStr">
        <is>
          <t>Кино_СССР сводный каталог.xlsx: список фильмов (доп.)</t>
        </is>
      </c>
      <c r="M2262" s="2">
        <f>HYPERLINK("https://ru.wikipedia.org/w/index.php?search=%D0%9D%D0%B5%D0%BF%D1%80%D0%B8%D0%B4%D1%83%D0%BC%D0%B0%D0%BD%D0%BD%D0%B0%D1%8F%20%D0%B8%D1%81%D1%82%D0%BE%D1%80%D0%B8%D1%8F%201986%20%D1%84%D0%B8%D0%BB%D1%8C%D0%BC","искать")</f>
        <v/>
      </c>
      <c r="N2262" s="3" t="n"/>
      <c r="O2262" s="2" t="n"/>
    </row>
    <row r="2263">
      <c r="A2263" s="2" t="n">
        <v>2262</v>
      </c>
      <c r="B2263" s="2" t="inlineStr">
        <is>
          <t>короткая</t>
        </is>
      </c>
      <c r="C2263" s="2" t="n">
        <v>10856</v>
      </c>
      <c r="D2263" s="3" t="inlineStr">
        <is>
          <t>Осенних дней очарованье</t>
        </is>
      </c>
      <c r="E2263" s="2" t="n">
        <v>1980</v>
      </c>
      <c r="F2263" s="2" t="inlineStr">
        <is>
          <t>фильм-спектакль</t>
        </is>
      </c>
      <c r="G2263" s="2" t="inlineStr">
        <is>
          <t>Центральное телевидение</t>
        </is>
      </c>
      <c r="H2263" s="2" t="n">
        <v>198</v>
      </c>
      <c r="I2263" s="2" t="inlineStr"/>
      <c r="J2263" s="2" t="inlineStr"/>
      <c r="K2263" s="3" t="inlineStr">
        <is>
          <t>Из цикла "Наши соседи".
Ксения Николаевна, одинокая пожилая женщина, бессребреница, добрейшей души человек, собирает гостей, чтобы подарить кому-то из них редкую пластинку Федора Ивановича Шаляпина.</t>
        </is>
      </c>
      <c r="L2263" s="2" t="inlineStr">
        <is>
          <t>https://www.kino-teatr.ru/teatr/movie/87118/annot/</t>
        </is>
      </c>
      <c r="M2263" s="2">
        <f>HYPERLINK("https://ru.wikipedia.org/w/index.php?search=%D0%9E%D1%81%D0%B5%D0%BD%D0%BD%D0%B8%D1%85%20%D0%B4%D0%BD%D0%B5%D0%B9%20%D0%BE%D1%87%D0%B0%D1%80%D0%BE%D0%B2%D0%B0%D0%BD%D1%8C%D0%B5%201980%20%D1%84%D0%B8%D0%BB%D1%8C%D0%BC","искать")</f>
        <v/>
      </c>
      <c r="N2263" s="3" t="n"/>
      <c r="O2263" s="2" t="n"/>
    </row>
    <row r="2264">
      <c r="A2264" s="2" t="n">
        <v>2263</v>
      </c>
      <c r="B2264" s="2" t="inlineStr">
        <is>
          <t>короткая</t>
        </is>
      </c>
      <c r="C2264" s="2" t="n">
        <v>8564</v>
      </c>
      <c r="D2264" s="3" t="inlineStr">
        <is>
          <t>Что бы ты выбрал?</t>
        </is>
      </c>
      <c r="E2264" s="2" t="n">
        <v>1981</v>
      </c>
      <c r="F2264" s="2" t="inlineStr">
        <is>
          <t>телефильм</t>
        </is>
      </c>
      <c r="G2264" s="2" t="inlineStr">
        <is>
          <t>Ленфильм</t>
        </is>
      </c>
      <c r="H2264" s="2" t="n">
        <v>199</v>
      </c>
      <c r="I2264" s="2" t="inlineStr"/>
      <c r="J2264" s="2" t="inlineStr"/>
      <c r="K2264" s="3" t="inlineStr">
        <is>
          <t>Проблемный телефильм о детях и родителях. Четверо друзей-третьеклассников проживают в старом ленинградском доме, учатся в одном классе. И именно они, дети, пытаются понять своих родителей и учителей.</t>
        </is>
      </c>
      <c r="L2264" s="2" t="inlineStr">
        <is>
          <t>Кино_СССР сводный каталог.xlsx: список телефильмов</t>
        </is>
      </c>
      <c r="M2264" s="2">
        <f>HYPERLINK("https://ru.wikipedia.org/w/index.php?search=%D0%A7%D1%82%D0%BE%20%D0%B1%D1%8B%20%D1%82%D1%8B%20%D0%B2%D1%8B%D0%B1%D1%80%D0%B0%D0%BB%3F%201981%20%D1%84%D0%B8%D0%BB%D1%8C%D0%BC","искать")</f>
        <v/>
      </c>
      <c r="N2264" s="3" t="n"/>
      <c r="O2264" s="2" t="n"/>
    </row>
    <row r="2265">
      <c r="A2265" s="2" t="n">
        <v>2264</v>
      </c>
      <c r="B2265" s="2" t="inlineStr">
        <is>
          <t>короткая</t>
        </is>
      </c>
      <c r="C2265" s="2" t="n">
        <v>8868</v>
      </c>
      <c r="D2265" s="3" t="inlineStr">
        <is>
          <t>Небылицы про Ивана</t>
        </is>
      </c>
      <c r="E2265" s="2" t="n">
        <v>1989</v>
      </c>
      <c r="F2265" s="2" t="inlineStr">
        <is>
          <t>кинофильм</t>
        </is>
      </c>
      <c r="G2265" s="2" t="n"/>
      <c r="H2265" s="2" t="n">
        <v>199</v>
      </c>
      <c r="I2265" s="2" t="inlineStr"/>
      <c r="J2265" s="2" t="inlineStr"/>
      <c r="K2265" s="3" t="inlineStr">
        <is>
          <t>Герой картины — Иван Калита — вечный и неунывающий боец за справедливость. Его оружие — Великий Смех, который таит в себе мудрую лукавинку, язвительную остроту, скабрезную шутку и философскую притчу.</t>
        </is>
      </c>
      <c r="L2265" s="2" t="inlineStr">
        <is>
          <t>Кино_СССР сводный каталог.xlsx: список фильмов (доп.)</t>
        </is>
      </c>
      <c r="M2265" s="2">
        <f>HYPERLINK("https://ru.wikipedia.org/w/index.php?search=%D0%9D%D0%B5%D0%B1%D1%8B%D0%BB%D0%B8%D1%86%D1%8B%20%D0%BF%D1%80%D0%BE%20%D0%98%D0%B2%D0%B0%D0%BD%D0%B0%201989%20%D1%84%D0%B8%D0%BB%D1%8C%D0%BC","искать")</f>
        <v/>
      </c>
      <c r="N2265" s="3" t="n"/>
      <c r="O2265" s="2" t="n"/>
    </row>
    <row r="2266">
      <c r="A2266" s="2" t="n">
        <v>2265</v>
      </c>
      <c r="B2266" s="2" t="inlineStr">
        <is>
          <t>короткая</t>
        </is>
      </c>
      <c r="C2266" s="2" t="n">
        <v>9742</v>
      </c>
      <c r="D2266" s="3" t="inlineStr">
        <is>
          <t>Цена быстрых секунд</t>
        </is>
      </c>
      <c r="E2266" s="2" t="n">
        <v>1971</v>
      </c>
      <c r="F2266" s="2" t="inlineStr">
        <is>
          <t>кинофильм</t>
        </is>
      </c>
      <c r="G2266" s="2" t="n"/>
      <c r="H2266" s="2" t="n">
        <v>199</v>
      </c>
      <c r="I2266" s="2" t="inlineStr"/>
      <c r="J2266" s="2" t="inlineStr"/>
      <c r="K2266" s="3" t="inlineStr">
        <is>
          <t>Герои широкоформатного фильма - конькобежцы. В сценах соревнований - чемпионы и призеры первенств СССР, мира, Европы и Олимпийских игр: Антс Антсон, Ирина Егорова, Виктор Косичкин, Валентина Стенина.</t>
        </is>
      </c>
      <c r="L2266" s="2" t="inlineStr">
        <is>
          <t>Кино_СССР сводный каталог.xlsx: список фильмов (доп.)</t>
        </is>
      </c>
      <c r="M2266" s="2">
        <f>HYPERLINK("https://ru.wikipedia.org/w/index.php?search=%D0%A6%D0%B5%D0%BD%D0%B0%20%D0%B1%D1%8B%D1%81%D1%82%D1%80%D1%8B%D1%85%20%D1%81%D0%B5%D0%BA%D1%83%D0%BD%D0%B4%201971%20%D1%84%D0%B8%D0%BB%D1%8C%D0%BC","искать")</f>
        <v/>
      </c>
      <c r="N2266" s="3" t="n"/>
      <c r="O2266" s="2" t="n"/>
    </row>
    <row r="2267">
      <c r="A2267" s="2" t="n">
        <v>2266</v>
      </c>
      <c r="B2267" s="2" t="inlineStr">
        <is>
          <t>короткая</t>
        </is>
      </c>
      <c r="C2267" s="2" t="n">
        <v>9910</v>
      </c>
      <c r="D2267" s="3" t="inlineStr">
        <is>
          <t>Вратарь</t>
        </is>
      </c>
      <c r="E2267" s="2" t="n">
        <v>1974</v>
      </c>
      <c r="F2267" s="2" t="inlineStr">
        <is>
          <t>телефильм</t>
        </is>
      </c>
      <c r="G2267" s="2" t="inlineStr">
        <is>
          <t>Пермская студия телевидения</t>
        </is>
      </c>
      <c r="H2267" s="2" t="n">
        <v>199</v>
      </c>
      <c r="I2267" s="2" t="inlineStr"/>
      <c r="J2267" s="2" t="inlineStr"/>
      <c r="K2267" s="3" t="inlineStr">
        <is>
          <t>Вратарь детской хоккейной команды Саня сломал ногу. Он очень хочет, чтобы его команда выиграла предстоящий матч. Он начинает тренировать своего друга Леню. И Леня с честью занял место Сани в воротах.</t>
        </is>
      </c>
      <c r="L2267" s="2" t="inlineStr">
        <is>
          <t>https://www.kino-teatr.ru/short/movie/sov/92598/annot/</t>
        </is>
      </c>
      <c r="M2267" s="2">
        <f>HYPERLINK("https://ru.wikipedia.org/w/index.php?search=%D0%92%D1%80%D0%B0%D1%82%D0%B0%D1%80%D1%8C%201974%20%D1%84%D0%B8%D0%BB%D1%8C%D0%BC","искать")</f>
        <v/>
      </c>
      <c r="N2267" s="3" t="n"/>
      <c r="O2267" s="2" t="n"/>
    </row>
    <row r="2268">
      <c r="A2268" s="2" t="n">
        <v>2267</v>
      </c>
      <c r="B2268" s="2" t="inlineStr">
        <is>
          <t>короткая</t>
        </is>
      </c>
      <c r="C2268" s="2" t="n">
        <v>7499</v>
      </c>
      <c r="D2268" s="3" t="inlineStr">
        <is>
          <t>День бумажного змея</t>
        </is>
      </c>
      <c r="E2268" s="2" t="n">
        <v>1986</v>
      </c>
      <c r="F2268" s="2" t="inlineStr">
        <is>
          <t>телефильм</t>
        </is>
      </c>
      <c r="G2268" s="2" t="n"/>
      <c r="H2268" s="2" t="n">
        <v>200</v>
      </c>
      <c r="I2268" s="2" t="inlineStr"/>
      <c r="J2268" s="2" t="inlineStr"/>
      <c r="K2268" s="3" t="inlineStr">
        <is>
          <t>Օդապարուկի օրը По мотивам рассказов Эльды Грин. Маленькая Ани живет с мамой. Папа ушел к другой женщине, после смерти бабушки дедушка тоже стал жить отдельно. Тяжело переживает девочка разлад в семье.</t>
        </is>
      </c>
      <c r="L2268" s="2" t="inlineStr">
        <is>
          <t>Кино_СССР сводный каталог.xlsx: список телефильмов</t>
        </is>
      </c>
      <c r="M2268" s="2">
        <f>HYPERLINK("https://ru.wikipedia.org/w/index.php?search=%D0%94%D0%B5%D0%BD%D1%8C%20%D0%B1%D1%83%D0%BC%D0%B0%D0%B6%D0%BD%D0%BE%D0%B3%D0%BE%20%D0%B7%D0%BC%D0%B5%D1%8F%201986%20%D1%84%D0%B8%D0%BB%D1%8C%D0%BC","искать")</f>
        <v/>
      </c>
      <c r="N2268" s="3" t="n"/>
      <c r="O2268" s="2" t="n"/>
    </row>
    <row r="2269">
      <c r="A2269" s="2" t="n">
        <v>2268</v>
      </c>
      <c r="B2269" s="2" t="inlineStr">
        <is>
          <t>короткая</t>
        </is>
      </c>
      <c r="C2269" s="2" t="n">
        <v>8185</v>
      </c>
      <c r="D2269" s="3" t="inlineStr">
        <is>
          <t>Предел возможного</t>
        </is>
      </c>
      <c r="E2269" s="2" t="n">
        <v>1984</v>
      </c>
      <c r="F2269" s="2" t="inlineStr">
        <is>
          <t>телефильм</t>
        </is>
      </c>
      <c r="G2269" s="2" t="n"/>
      <c r="H2269" s="2" t="n">
        <v>200</v>
      </c>
      <c r="I2269" s="2" t="inlineStr"/>
      <c r="J2269" s="2" t="inlineStr"/>
      <c r="K2269" s="3" t="inlineStr">
        <is>
          <t>По роману И.Герасимова. Герой фильма - Игнат Матвеевич Ремез - прошел путь от молодого специалиста в годы Великой Отечественной войны до руководителя крупного промышленного предприятия в мирное время.</t>
        </is>
      </c>
      <c r="L2269" s="2" t="inlineStr">
        <is>
          <t>Кино_СССР сводный каталог.xlsx: список телефильмов</t>
        </is>
      </c>
      <c r="M2269" s="2">
        <f>HYPERLINK("https://ru.wikipedia.org/w/index.php?search=%D0%9F%D1%80%D0%B5%D0%B4%D0%B5%D0%BB%20%D0%B2%D0%BE%D0%B7%D0%BC%D0%BE%D0%B6%D0%BD%D0%BE%D0%B3%D0%BE%201984%20%D1%84%D0%B8%D0%BB%D1%8C%D0%BC","искать")</f>
        <v/>
      </c>
      <c r="N2269" s="3" t="n"/>
      <c r="O2269" s="2" t="n"/>
    </row>
    <row r="2270">
      <c r="A2270" s="2" t="n">
        <v>2269</v>
      </c>
      <c r="B2270" s="2" t="inlineStr">
        <is>
          <t>короткая</t>
        </is>
      </c>
      <c r="C2270" s="2" t="n">
        <v>8344</v>
      </c>
      <c r="D2270" s="3" t="inlineStr">
        <is>
          <t>Сильная личность из 2 "А"</t>
        </is>
      </c>
      <c r="E2270" s="2" t="n">
        <v>1984</v>
      </c>
      <c r="F2270" s="2" t="inlineStr">
        <is>
          <t>телефильм</t>
        </is>
      </c>
      <c r="G2270" s="2" t="inlineStr">
        <is>
          <t>ТО «Экран»</t>
        </is>
      </c>
      <c r="H2270" s="2" t="n">
        <v>200</v>
      </c>
      <c r="I2270" s="2" t="inlineStr"/>
      <c r="J2270" s="2" t="inlineStr"/>
      <c r="K2270" s="3" t="inlineStr">
        <is>
          <t>Телефильм. Однажды второклассник Дима Кругликов узнал, что все великие люди достигли успехов благодаря жесткому режиму дня. И Дима решил не тратить время на всякие пустяки и жить строго по расписанию.</t>
        </is>
      </c>
      <c r="L2270" s="2" t="inlineStr">
        <is>
          <t>Кино_СССР сводный каталог.xlsx: список телефильмов</t>
        </is>
      </c>
      <c r="M2270" s="2">
        <f>HYPERLINK("https://ru.wikipedia.org/w/index.php?search=%D0%A1%D0%B8%D0%BB%D1%8C%D0%BD%D0%B0%D1%8F%20%D0%BB%D0%B8%D1%87%D0%BD%D0%BE%D1%81%D1%82%D1%8C%20%D0%B8%D0%B7%202%20%22%D0%90%22%201984%20%D1%84%D0%B8%D0%BB%D1%8C%D0%BC","искать")</f>
        <v/>
      </c>
      <c r="N2270" s="3" t="n"/>
      <c r="O2270" s="2" t="n"/>
    </row>
    <row r="2271">
      <c r="A2271" s="2" t="n">
        <v>2270</v>
      </c>
      <c r="B2271" s="2" t="inlineStr">
        <is>
          <t>короткая</t>
        </is>
      </c>
      <c r="C2271" s="2" t="n">
        <v>8839</v>
      </c>
      <c r="D2271" s="3" t="inlineStr">
        <is>
          <t>Миф о Леониде</t>
        </is>
      </c>
      <c r="E2271" s="2" t="n">
        <v>1991</v>
      </c>
      <c r="F2271" s="2" t="inlineStr">
        <is>
          <t>кинофильм</t>
        </is>
      </c>
      <c r="G2271" s="2" t="n"/>
      <c r="H2271" s="2" t="n">
        <v>200</v>
      </c>
      <c r="I2271" s="2" t="inlineStr"/>
      <c r="J2271" s="2" t="inlineStr"/>
      <c r="K2271" s="3" t="inlineStr">
        <is>
          <t>Ретро-публицистическая драма, в основе которой - одна из версий убийства Кирова, предложенная бывшим генералом НКВД Орловым, которому удалось спастись от гибели во время "чистки" по "кировскому" делу.</t>
        </is>
      </c>
      <c r="L2271" s="2" t="inlineStr">
        <is>
          <t>Кино_СССР сводный каталог.xlsx: список фильмов (доп.)</t>
        </is>
      </c>
      <c r="M2271" s="2">
        <f>HYPERLINK("https://ru.wikipedia.org/w/index.php?search=%D0%9C%D0%B8%D1%84%20%D0%BE%20%D0%9B%D0%B5%D0%BE%D0%BD%D0%B8%D0%B4%D0%B5%201991%20%D1%84%D0%B8%D0%BB%D1%8C%D0%BC","искать")</f>
        <v/>
      </c>
      <c r="N2271" s="3" t="n"/>
      <c r="O2271" s="2" t="n"/>
    </row>
    <row r="2272">
      <c r="A2272" s="2" t="n">
        <v>2271</v>
      </c>
      <c r="B2272" s="2" t="inlineStr">
        <is>
          <t>короткая</t>
        </is>
      </c>
      <c r="C2272" s="2" t="n">
        <v>8916</v>
      </c>
      <c r="D2272" s="3" t="inlineStr">
        <is>
          <t>Память</t>
        </is>
      </c>
      <c r="E2272" s="2" t="n">
        <v>1989</v>
      </c>
      <c r="F2272" s="2" t="inlineStr">
        <is>
          <t>кинофильм</t>
        </is>
      </c>
      <c r="G2272" s="2" t="n"/>
      <c r="H2272" s="2" t="n">
        <v>200</v>
      </c>
      <c r="I2272" s="2" t="inlineStr"/>
      <c r="J2272" s="2" t="inlineStr"/>
      <c r="K2272" s="3" t="inlineStr">
        <is>
          <t>Молодой журналист возвращается в село, где провел свое детство. Село почти опустело, и кто остался, тоже собираются уезжать. Гиви начинает борьбу в селе за то, чтобы люди больше не покидали свои дома.</t>
        </is>
      </c>
      <c r="L2272" s="2" t="inlineStr">
        <is>
          <t>Кино_СССР сводный каталог.xlsx: список фильмов (доп.)</t>
        </is>
      </c>
      <c r="M2272" s="2">
        <f>HYPERLINK("https://ru.wikipedia.org/w/index.php?search=%D0%9F%D0%B0%D0%BC%D1%8F%D1%82%D1%8C%201989%20%D1%84%D0%B8%D0%BB%D1%8C%D0%BC","искать")</f>
        <v/>
      </c>
      <c r="N2272" s="3" t="n"/>
      <c r="O2272" s="2" t="n"/>
    </row>
    <row r="2273">
      <c r="A2273" s="2" t="n">
        <v>2272</v>
      </c>
      <c r="B2273" s="2" t="inlineStr">
        <is>
          <t>короткая</t>
        </is>
      </c>
      <c r="C2273" s="2" t="n">
        <v>8944</v>
      </c>
      <c r="D2273" s="3" t="inlineStr">
        <is>
          <t>Подъем</t>
        </is>
      </c>
      <c r="E2273" s="2" t="n">
        <v>1989</v>
      </c>
      <c r="F2273" s="2" t="inlineStr">
        <is>
          <t>кинофильм</t>
        </is>
      </c>
      <c r="G2273" s="2" t="n"/>
      <c r="H2273" s="2" t="n">
        <v>200</v>
      </c>
      <c r="I2273" s="2" t="inlineStr"/>
      <c r="J2273" s="2" t="inlineStr"/>
      <c r="K2273" s="3" t="inlineStr">
        <is>
          <t>Действие фильма, в котором исследуется социально-психологический механизм насилия, начинается с марта 1949 года, когда после очередной операции НКВД в Сибирь были депортированы десятки тысяч эстонцев.</t>
        </is>
      </c>
      <c r="L2273" s="2" t="inlineStr">
        <is>
          <t>Кино_СССР сводный каталог.xlsx: список фильмов (доп.)</t>
        </is>
      </c>
      <c r="M2273" s="2">
        <f>HYPERLINK("https://ru.wikipedia.org/w/index.php?search=%D0%9F%D0%BE%D0%B4%D1%8A%D0%B5%D0%BC%201989%20%D1%84%D0%B8%D0%BB%D1%8C%D0%BC","искать")</f>
        <v/>
      </c>
      <c r="N2273" s="3" t="n"/>
      <c r="O2273" s="2" t="n"/>
    </row>
    <row r="2274">
      <c r="A2274" s="2" t="n">
        <v>2273</v>
      </c>
      <c r="B2274" s="2" t="inlineStr">
        <is>
          <t>короткая</t>
        </is>
      </c>
      <c r="C2274" s="2" t="n">
        <v>9473</v>
      </c>
      <c r="D2274" s="3" t="inlineStr">
        <is>
          <t>Мигранты</t>
        </is>
      </c>
      <c r="E2274" s="2" t="n">
        <v>1991</v>
      </c>
      <c r="F2274" s="2" t="inlineStr">
        <is>
          <t>кинофильм</t>
        </is>
      </c>
      <c r="G2274" s="2" t="inlineStr">
        <is>
          <t>Мосфильм при участии НЦП «ТАЛКА»</t>
        </is>
      </c>
      <c r="H2274" s="2" t="n">
        <v>200</v>
      </c>
      <c r="I2274" s="2" t="inlineStr"/>
      <c r="J2274" s="2" t="inlineStr"/>
      <c r="K2274" s="3" t="inlineStr">
        <is>
          <t>В одном из московских ресторанов знакомятся мигранты из России — Полина и Павел. Она принимает Павла за москвича, он — за проститутку. Они попадают в милицию в качестве бомжей, а потом они сближаются.</t>
        </is>
      </c>
      <c r="L2274" s="2" t="inlineStr">
        <is>
          <t>Кино_СССР сводный каталог.xlsx: список фильмов (доп.)</t>
        </is>
      </c>
      <c r="M2274" s="2">
        <f>HYPERLINK("https://ru.wikipedia.org/w/index.php?search=%D0%9C%D0%B8%D0%B3%D1%80%D0%B0%D0%BD%D1%82%D1%8B%201991%20%D1%84%D0%B8%D0%BB%D1%8C%D0%BC","искать")</f>
        <v/>
      </c>
      <c r="N2274" s="3" t="n"/>
      <c r="O2274" s="2" t="n"/>
    </row>
    <row r="2275">
      <c r="A2275" s="2" t="n">
        <v>2274</v>
      </c>
      <c r="B2275" s="2" t="inlineStr">
        <is>
          <t>короткая</t>
        </is>
      </c>
      <c r="C2275" s="2" t="n">
        <v>10695</v>
      </c>
      <c r="D2275" s="3" t="inlineStr">
        <is>
          <t>Любовь Яровая</t>
        </is>
      </c>
      <c r="E2275" s="2" t="n">
        <v>1977</v>
      </c>
      <c r="F2275" s="2" t="inlineStr">
        <is>
          <t>фильм-спектакль</t>
        </is>
      </c>
      <c r="G2275" s="2" t="inlineStr">
        <is>
          <t>Центральное телевидение</t>
        </is>
      </c>
      <c r="H2275" s="2" t="n">
        <v>200</v>
      </c>
      <c r="I2275" s="2" t="inlineStr"/>
      <c r="J2275" s="2" t="inlineStr"/>
      <c r="K2275" s="3" t="inlineStr">
        <is>
          <t>Телеспектакль по одноименной пьесе К. Тренёва.
Революция разрушает не только основы общественного устройства, но и семью, и человеческие души. Муж и жена Яровые оказываются по разные стороны баррикад.</t>
        </is>
      </c>
      <c r="L2275" s="2" t="inlineStr">
        <is>
          <t>https://www.kino-teatr.ru/teatr/movie/3619/annot/</t>
        </is>
      </c>
      <c r="M2275" s="2">
        <f>HYPERLINK("https://ru.wikipedia.org/w/index.php?search=%D0%9B%D1%8E%D0%B1%D0%BE%D0%B2%D1%8C%20%D0%AF%D1%80%D0%BE%D0%B2%D0%B0%D1%8F%201977%20%D1%84%D0%B8%D0%BB%D1%8C%D0%BC","искать")</f>
        <v/>
      </c>
      <c r="N2275" s="3" t="n"/>
      <c r="O2275" s="2" t="n"/>
    </row>
    <row r="2276">
      <c r="A2276" s="2" t="n">
        <v>2275</v>
      </c>
      <c r="B2276" s="2" t="inlineStr">
        <is>
          <t>короткая</t>
        </is>
      </c>
      <c r="C2276" s="2" t="n">
        <v>7736</v>
      </c>
      <c r="D2276" s="3" t="inlineStr">
        <is>
          <t>Когда тебе двенадцать лет</t>
        </is>
      </c>
      <c r="E2276" s="2" t="n">
        <v>1979</v>
      </c>
      <c r="F2276" s="2" t="inlineStr">
        <is>
          <t>телефильм</t>
        </is>
      </c>
      <c r="G2276" s="2" t="inlineStr">
        <is>
          <t>Казахфильм</t>
        </is>
      </c>
      <c r="H2276" s="2" t="n">
        <v>201</v>
      </c>
      <c r="I2276" s="2" t="inlineStr"/>
      <c r="J2276" s="2" t="inlineStr"/>
      <c r="K2276" s="3" t="inlineStr">
        <is>
          <t>Телефильм снят по мотивам повести Марата Кабанбаева "Солнце в одуванчиках". О детской дружбе, и любви к родному краю, о том, как дети подражали героям книг Марка Твена - Тому Сойеру и Гекльберри Финну.</t>
        </is>
      </c>
      <c r="L2276" s="2" t="inlineStr">
        <is>
          <t>Кино_СССР сводный каталог.xlsx: список телефильмов</t>
        </is>
      </c>
      <c r="M2276" s="2">
        <f>HYPERLINK("https://ru.wikipedia.org/w/index.php?search=%D0%9A%D0%BE%D0%B3%D0%B4%D0%B0%20%D1%82%D0%B5%D0%B1%D0%B5%20%D0%B4%D0%B2%D0%B5%D0%BD%D0%B0%D0%B4%D1%86%D0%B0%D1%82%D1%8C%20%D0%BB%D0%B5%D1%82%201979%20%D1%84%D0%B8%D0%BB%D1%8C%D0%BC","искать")</f>
        <v/>
      </c>
      <c r="N2276" s="3" t="n"/>
      <c r="O2276" s="2" t="n"/>
    </row>
    <row r="2277">
      <c r="A2277" s="2" t="n">
        <v>2276</v>
      </c>
      <c r="B2277" s="2" t="inlineStr">
        <is>
          <t>короткая</t>
        </is>
      </c>
      <c r="C2277" s="2" t="n">
        <v>8007</v>
      </c>
      <c r="D2277" s="3" t="inlineStr">
        <is>
          <t>Новые приключения муравья и блохи</t>
        </is>
      </c>
      <c r="E2277" s="2" t="n">
        <v>1980</v>
      </c>
      <c r="F2277" s="2" t="inlineStr">
        <is>
          <t>телефильм</t>
        </is>
      </c>
      <c r="G2277" s="2" t="n"/>
      <c r="H2277" s="2" t="n">
        <v>201</v>
      </c>
      <c r="I2277" s="2" t="inlineStr"/>
      <c r="J2277" s="2" t="inlineStr"/>
      <c r="K2277" s="3" t="inlineStr">
        <is>
          <t>ზღაპარი Современный вариант грузинской народной сказки. О том как блоха выручила из беды муравья. В фильме снимался вокально-инструментальный ансамбль "Мзиури" Тбилисского дворца пионеров и школьников.</t>
        </is>
      </c>
      <c r="L2277" s="2" t="inlineStr">
        <is>
          <t>Кино_СССР сводный каталог.xlsx: список телефильмов</t>
        </is>
      </c>
      <c r="M2277" s="2">
        <f>HYPERLINK("https://ru.wikipedia.org/w/index.php?search=%D0%9D%D0%BE%D0%B2%D1%8B%D0%B5%20%D0%BF%D1%80%D0%B8%D0%BA%D0%BB%D1%8E%D1%87%D0%B5%D0%BD%D0%B8%D1%8F%20%D0%BC%D1%83%D1%80%D0%B0%D0%B2%D1%8C%D1%8F%20%D0%B8%20%D0%B1%D0%BB%D0%BE%D1%85%D0%B8%201980%20%D1%84%D0%B8%D0%BB%D1%8C%D0%BC","искать")</f>
        <v/>
      </c>
      <c r="N2277" s="3" t="n"/>
      <c r="O2277" s="2" t="n"/>
    </row>
    <row r="2278">
      <c r="A2278" s="2" t="n">
        <v>2277</v>
      </c>
      <c r="B2278" s="2" t="inlineStr">
        <is>
          <t>короткая</t>
        </is>
      </c>
      <c r="C2278" s="2" t="n">
        <v>8324</v>
      </c>
      <c r="D2278" s="3" t="inlineStr">
        <is>
          <t>Семейное дело</t>
        </is>
      </c>
      <c r="E2278" s="2" t="n">
        <v>1982</v>
      </c>
      <c r="F2278" s="2" t="inlineStr">
        <is>
          <t>телефильм</t>
        </is>
      </c>
      <c r="G2278" s="2" t="n"/>
      <c r="H2278" s="2" t="n">
        <v>201</v>
      </c>
      <c r="I2278" s="2" t="inlineStr"/>
      <c r="J2278" s="2" t="inlineStr"/>
      <c r="K2278" s="3" t="inlineStr">
        <is>
          <t>Директор завода газовых турбин Силин ради выполнения плана совершает опрометчивый поступок. Дальнейшие события - разрыв с близкими людьми, раскаяние и признание своей ошибки - не заставляют себя ждать.</t>
        </is>
      </c>
      <c r="L2278" s="2" t="inlineStr">
        <is>
          <t>Кино_СССР сводный каталог.xlsx: список телефильмов</t>
        </is>
      </c>
      <c r="M2278" s="2">
        <f>HYPERLINK("https://ru.wikipedia.org/w/index.php?search=%D0%A1%D0%B5%D0%BC%D0%B5%D0%B9%D0%BD%D0%BE%D0%B5%20%D0%B4%D0%B5%D0%BB%D0%BE%201982%20%D1%84%D0%B8%D0%BB%D1%8C%D0%BC","искать")</f>
        <v/>
      </c>
      <c r="N2278" s="3" t="n"/>
      <c r="O2278" s="2" t="n"/>
    </row>
    <row r="2279">
      <c r="A2279" s="2" t="n">
        <v>2278</v>
      </c>
      <c r="B2279" s="2" t="inlineStr">
        <is>
          <t>короткая</t>
        </is>
      </c>
      <c r="C2279" s="2" t="n">
        <v>8479</v>
      </c>
      <c r="D2279" s="3" t="inlineStr">
        <is>
          <t>Три ненастных дня</t>
        </is>
      </c>
      <c r="E2279" s="2" t="n">
        <v>1978</v>
      </c>
      <c r="F2279" s="2" t="inlineStr">
        <is>
          <t>телефильм</t>
        </is>
      </c>
      <c r="G2279" s="2" t="inlineStr">
        <is>
          <t>Лентелефильм</t>
        </is>
      </c>
      <c r="H2279" s="2" t="n">
        <v>201</v>
      </c>
      <c r="I2279" s="2" t="inlineStr"/>
      <c r="J2279" s="2" t="inlineStr"/>
      <c r="K2279" s="3" t="inlineStr">
        <is>
          <t>По одноименной повести Сергея Высоцкого. Совершено нападение на бухгалтера НИИ и похищена большая сумма денег. Полковник уголовного розыска не только раскрывает преступление, но и исследует его мотивы.</t>
        </is>
      </c>
      <c r="L2279" s="2" t="inlineStr">
        <is>
          <t>Кино_СССР сводный каталог.xlsx: список телефильмов</t>
        </is>
      </c>
      <c r="M2279" s="2">
        <f>HYPERLINK("https://ru.wikipedia.org/w/index.php?search=%D0%A2%D1%80%D0%B8%20%D0%BD%D0%B5%D0%BD%D0%B0%D1%81%D1%82%D0%BD%D1%8B%D1%85%20%D0%B4%D0%BD%D1%8F%201978%20%D1%84%D0%B8%D0%BB%D1%8C%D0%BC","искать")</f>
        <v/>
      </c>
      <c r="N2279" s="3" t="n"/>
      <c r="O2279" s="2" t="n"/>
    </row>
    <row r="2280">
      <c r="A2280" s="2" t="n">
        <v>2279</v>
      </c>
      <c r="B2280" s="2" t="inlineStr">
        <is>
          <t>короткая</t>
        </is>
      </c>
      <c r="C2280" s="2" t="n">
        <v>9157</v>
      </c>
      <c r="D2280" s="3" t="inlineStr">
        <is>
          <t>Через две весны</t>
        </is>
      </c>
      <c r="E2280" s="2" t="n">
        <v>1985</v>
      </c>
      <c r="F2280" s="2" t="inlineStr">
        <is>
          <t>кинофильм</t>
        </is>
      </c>
      <c r="G2280" s="2" t="n"/>
      <c r="H2280" s="2" t="n">
        <v>201</v>
      </c>
      <c r="I2280" s="2" t="inlineStr"/>
      <c r="J2280" s="2" t="inlineStr"/>
      <c r="K2280" s="3" t="inlineStr">
        <is>
          <t>Герой фильма - честный сельский парень Турсун - стремится к самостоятельной жизни. Всеми своими поступками герой доказывает свою принципиальность, достаточную зрелость, чтобы самому решать свою судьбу.</t>
        </is>
      </c>
      <c r="L2280" s="2" t="inlineStr">
        <is>
          <t>Кино_СССР сводный каталог.xlsx: список фильмов (доп.)</t>
        </is>
      </c>
      <c r="M2280" s="2">
        <f>HYPERLINK("https://ru.wikipedia.org/w/index.php?search=%D0%A7%D0%B5%D1%80%D0%B5%D0%B7%20%D0%B4%D0%B2%D0%B5%20%D0%B2%D0%B5%D1%81%D0%BD%D1%8B%201985%20%D1%84%D0%B8%D0%BB%D1%8C%D0%BC","искать")</f>
        <v/>
      </c>
      <c r="N2280" s="3" t="n"/>
      <c r="O2280" s="2" t="n"/>
    </row>
    <row r="2281">
      <c r="A2281" s="2" t="n">
        <v>2280</v>
      </c>
      <c r="B2281" s="2" t="inlineStr">
        <is>
          <t>короткая</t>
        </is>
      </c>
      <c r="C2281" s="2" t="n">
        <v>9176</v>
      </c>
      <c r="D2281" s="3" t="inlineStr">
        <is>
          <t>Шоу-бой</t>
        </is>
      </c>
      <c r="E2281" s="2" t="n">
        <v>1991</v>
      </c>
      <c r="F2281" s="2" t="inlineStr">
        <is>
          <t>кинофильм</t>
        </is>
      </c>
      <c r="G2281" s="2" t="n"/>
      <c r="H2281" s="2" t="n">
        <v>201</v>
      </c>
      <c r="I2281" s="2" t="inlineStr"/>
      <c r="J2281" s="2" t="inlineStr"/>
      <c r="K2281" s="3" t="inlineStr">
        <is>
          <t>Душераздирающая история о трагической любви молоденького солиста популярной тинэйджеровской поп-группы "Каникулы" Андрея Дымова и столь же юной, но вполне опытной и профессиональной "жрицы любви" Маши.</t>
        </is>
      </c>
      <c r="L2281" s="2" t="inlineStr">
        <is>
          <t>Кино_СССР сводный каталог.xlsx: список фильмов (доп.)</t>
        </is>
      </c>
      <c r="M2281" s="2">
        <f>HYPERLINK("https://ru.wikipedia.org/w/index.php?search=%D0%A8%D0%BE%D1%83-%D0%B1%D0%BE%D0%B9%201991%20%D1%84%D0%B8%D0%BB%D1%8C%D0%BC","искать")</f>
        <v/>
      </c>
      <c r="N2281" s="3" t="n"/>
      <c r="O2281" s="2" t="n"/>
    </row>
    <row r="2282">
      <c r="A2282" s="2" t="n">
        <v>2281</v>
      </c>
      <c r="B2282" s="2" t="inlineStr">
        <is>
          <t>короткая</t>
        </is>
      </c>
      <c r="C2282" s="2" t="n">
        <v>10029</v>
      </c>
      <c r="D2282" s="3" t="inlineStr">
        <is>
          <t>Искатель приключений</t>
        </is>
      </c>
      <c r="E2282" s="2" t="n">
        <v>1988</v>
      </c>
      <c r="F2282" s="2" t="inlineStr">
        <is>
          <t>кинофильм</t>
        </is>
      </c>
      <c r="G2282" s="2" t="inlineStr">
        <is>
          <t>Киностудия им.Горького</t>
        </is>
      </c>
      <c r="H2282" s="2" t="n">
        <v>201</v>
      </c>
      <c r="I2282" s="2" t="inlineStr"/>
      <c r="J2282" s="2" t="inlineStr"/>
      <c r="K2282" s="3" t="inlineStr">
        <is>
          <t>По мотивам повести А. Грина «Синий каскад Теллури».
Герой картины едет в смертельно зараженный город, чтобы заработать денег. Но там он понимает, что любовь выше и дороже всяких материальных ценностей.</t>
        </is>
      </c>
      <c r="L2282" s="2" t="inlineStr">
        <is>
          <t>https://www.kino-teatr.ru/short/movie/sov/37682/annot/</t>
        </is>
      </c>
      <c r="M2282" s="2">
        <f>HYPERLINK("https://ru.wikipedia.org/w/index.php?search=%D0%98%D1%81%D0%BA%D0%B0%D1%82%D0%B5%D0%BB%D1%8C%20%D0%BF%D1%80%D0%B8%D0%BA%D0%BB%D1%8E%D1%87%D0%B5%D0%BD%D0%B8%D0%B9%201988%20%D1%84%D0%B8%D0%BB%D1%8C%D0%BC","искать")</f>
        <v/>
      </c>
      <c r="N2282" s="3" t="n"/>
      <c r="O2282" s="2" t="n"/>
    </row>
    <row r="2283">
      <c r="A2283" s="2" t="n">
        <v>2282</v>
      </c>
      <c r="B2283" s="2" t="inlineStr">
        <is>
          <t>короткая</t>
        </is>
      </c>
      <c r="C2283" s="2" t="n">
        <v>11289</v>
      </c>
      <c r="D2283" s="3" t="inlineStr">
        <is>
          <t>Чудаки</t>
        </is>
      </c>
      <c r="E2283" s="2" t="n">
        <v>1989</v>
      </c>
      <c r="F2283" s="2" t="inlineStr">
        <is>
          <t>фильм-спектакль</t>
        </is>
      </c>
      <c r="G2283" s="2" t="n"/>
      <c r="H2283" s="2" t="n">
        <v>201</v>
      </c>
      <c r="I2283" s="2" t="inlineStr"/>
      <c r="J2283" s="2" t="inlineStr"/>
      <c r="K2283" s="3" t="inlineStr">
        <is>
          <t>Ранняя пьеса Горького поднимает темы метания русской интеллигенции, поиски смысла жизни. Герои много спорят, ссорятся, дразнят друг друга, пытаясь изменить если не свою жизнь, то хотя бы взгляд на нее.</t>
        </is>
      </c>
      <c r="L2283" s="2" t="inlineStr">
        <is>
          <t>https://www.kino-teatr.ru/teatr/movie/16012/annot/</t>
        </is>
      </c>
      <c r="M2283" s="2">
        <f>HYPERLINK("https://ru.wikipedia.org/w/index.php?search=%D0%A7%D1%83%D0%B4%D0%B0%D0%BA%D0%B8%201989%20%D1%84%D0%B8%D0%BB%D1%8C%D0%BC","искать")</f>
        <v/>
      </c>
      <c r="N2283" s="3" t="n"/>
      <c r="O2283" s="2" t="n"/>
    </row>
    <row r="2284">
      <c r="A2284" s="2" t="n">
        <v>2283</v>
      </c>
      <c r="B2284" s="2" t="inlineStr">
        <is>
          <t>короткая</t>
        </is>
      </c>
      <c r="C2284" s="2" t="n">
        <v>7221</v>
      </c>
      <c r="D2284" s="3" t="inlineStr">
        <is>
          <t>Артём</t>
        </is>
      </c>
      <c r="E2284" s="2" t="n">
        <v>1978</v>
      </c>
      <c r="F2284" s="2" t="inlineStr">
        <is>
          <t>телефильм</t>
        </is>
      </c>
      <c r="G2284" s="2" t="inlineStr">
        <is>
          <t>Одесская киностудия</t>
        </is>
      </c>
      <c r="H2284" s="2" t="n">
        <v>202</v>
      </c>
      <c r="I2284" s="2" t="inlineStr"/>
      <c r="J2284" s="2" t="inlineStr"/>
      <c r="K2284" s="3" t="inlineStr">
        <is>
          <t>Телефильм о жизни и деятельности профессионального революционера-большевика Ф.А.Сергеева (1883-1921), известного под псевдонимом Артем. Действие фильма происходит в период с 1905 по 1921 год в Харькове.</t>
        </is>
      </c>
      <c r="L2284" s="2" t="inlineStr">
        <is>
          <t>Кино_СССР сводный каталог.xlsx: список телефильмов</t>
        </is>
      </c>
      <c r="M2284" s="2">
        <f>HYPERLINK("https://ru.wikipedia.org/w/index.php?search=%D0%90%D1%80%D1%82%D1%91%D0%BC%201978%20%D1%84%D0%B8%D0%BB%D1%8C%D0%BC","искать")</f>
        <v/>
      </c>
      <c r="N2284" s="3" t="n"/>
      <c r="O2284" s="2" t="n"/>
    </row>
    <row r="2285">
      <c r="A2285" s="2" t="n">
        <v>2284</v>
      </c>
      <c r="B2285" s="2" t="inlineStr">
        <is>
          <t>короткая</t>
        </is>
      </c>
      <c r="C2285" s="2" t="n">
        <v>7242</v>
      </c>
      <c r="D2285" s="3" t="inlineStr">
        <is>
          <t>Безумный день инженера Баркасова</t>
        </is>
      </c>
      <c r="E2285" s="2" t="n">
        <v>1982</v>
      </c>
      <c r="F2285" s="2" t="inlineStr">
        <is>
          <t>телефильм</t>
        </is>
      </c>
      <c r="G2285" s="2" t="inlineStr">
        <is>
          <t>к/с им. Горького</t>
        </is>
      </c>
      <c r="H2285" s="2" t="n">
        <v>202</v>
      </c>
      <c r="I2285" s="2" t="inlineStr"/>
      <c r="J2285" s="2" t="inlineStr"/>
      <c r="K2285" s="3" t="inlineStr">
        <is>
          <t>Телефильм. Водевиль по произведениям Михаила Зощенко. Инженер Баркасов, переживший ряд нелепых приключений и анекдотических ситуаций, в конце концов подвергает сомнению свои жизненные принципы и идеалы.</t>
        </is>
      </c>
      <c r="L2285" s="2" t="inlineStr">
        <is>
          <t>Кино_СССР сводный каталог.xlsx: список телефильмов</t>
        </is>
      </c>
      <c r="M2285" s="2">
        <f>HYPERLINK("https://ru.wikipedia.org/w/index.php?search=%D0%91%D0%B5%D0%B7%D1%83%D0%BC%D0%BD%D1%8B%D0%B9%20%D0%B4%D0%B5%D0%BD%D1%8C%20%D0%B8%D0%BD%D0%B6%D0%B5%D0%BD%D0%B5%D1%80%D0%B0%20%D0%91%D0%B0%D1%80%D0%BA%D0%B0%D1%81%D0%BE%D0%B2%D0%B0%201982%20%D1%84%D0%B8%D0%BB%D1%8C%D0%BC","искать")</f>
        <v/>
      </c>
      <c r="N2285" s="3" t="n"/>
      <c r="O2285" s="2" t="n"/>
    </row>
    <row r="2286">
      <c r="A2286" s="2" t="n">
        <v>2285</v>
      </c>
      <c r="B2286" s="2" t="inlineStr">
        <is>
          <t>короткая</t>
        </is>
      </c>
      <c r="C2286" s="2" t="n">
        <v>7613</v>
      </c>
      <c r="D2286" s="3" t="inlineStr">
        <is>
          <t>За ночью день идёт</t>
        </is>
      </c>
      <c r="E2286" s="2" t="n">
        <v>1984</v>
      </c>
      <c r="F2286" s="2" t="inlineStr">
        <is>
          <t>телефильм</t>
        </is>
      </c>
      <c r="G2286" s="2" t="n"/>
      <c r="H2286" s="2" t="n">
        <v>202</v>
      </c>
      <c r="I2286" s="2" t="inlineStr"/>
      <c r="J2286" s="2" t="inlineStr"/>
      <c r="K2286" s="3" t="inlineStr">
        <is>
          <t>Рассказ о действиях украинского подпольного движения во время Великой Отечественной войны. В центре сюжета - героическая борьба нежинских подпольщиков под руководством героя СССР незрячего Якова Батюка.</t>
        </is>
      </c>
      <c r="L2286" s="2" t="inlineStr">
        <is>
          <t>Кино_СССР сводный каталог.xlsx: список телефильмов</t>
        </is>
      </c>
      <c r="M2286" s="2">
        <f>HYPERLINK("https://ru.wikipedia.org/w/index.php?search=%D0%97%D0%B0%20%D0%BD%D0%BE%D1%87%D1%8C%D1%8E%20%D0%B4%D0%B5%D0%BD%D1%8C%20%D0%B8%D0%B4%D1%91%D1%82%201984%20%D1%84%D0%B8%D0%BB%D1%8C%D0%BC","искать")</f>
        <v/>
      </c>
      <c r="N2286" s="3" t="n"/>
      <c r="O2286" s="2" t="n"/>
    </row>
    <row r="2287">
      <c r="A2287" s="2" t="n">
        <v>2286</v>
      </c>
      <c r="B2287" s="2" t="inlineStr">
        <is>
          <t>короткая</t>
        </is>
      </c>
      <c r="C2287" s="2" t="n">
        <v>8607</v>
      </c>
      <c r="D2287" s="3" t="inlineStr">
        <is>
          <t>Я - 11-17</t>
        </is>
      </c>
      <c r="E2287" s="2" t="n">
        <v>1970</v>
      </c>
      <c r="F2287" s="2" t="inlineStr">
        <is>
          <t>телефильм</t>
        </is>
      </c>
      <c r="G2287" s="2" t="n"/>
      <c r="H2287" s="2" t="n">
        <v>202</v>
      </c>
      <c r="I2287" s="2" t="inlineStr"/>
      <c r="J2287" s="2" t="inlineStr"/>
      <c r="K2287" s="3" t="inlineStr">
        <is>
          <t>По одноименной повести Василия Ардаматского. Рассказ о сложной операции, проведенной советской разведкой на завершающем этапе Великой Отечественной войны. Действие происходит в Прибалтике в конце войны.</t>
        </is>
      </c>
      <c r="L2287" s="2" t="inlineStr">
        <is>
          <t>Кино_СССР сводный каталог.xlsx: список телефильмов</t>
        </is>
      </c>
      <c r="M2287" s="2">
        <f>HYPERLINK("https://ru.wikipedia.org/w/index.php?search=%D0%AF%20-%2011-17%201970%20%D1%84%D0%B8%D0%BB%D1%8C%D0%BC","искать")</f>
        <v/>
      </c>
      <c r="N2287" s="3" t="n"/>
      <c r="O2287" s="2" t="n"/>
    </row>
    <row r="2288">
      <c r="A2288" s="2" t="n">
        <v>2287</v>
      </c>
      <c r="B2288" s="2" t="inlineStr">
        <is>
          <t>короткая</t>
        </is>
      </c>
      <c r="C2288" s="2" t="n">
        <v>8629</v>
      </c>
      <c r="D2288" s="3" t="inlineStr">
        <is>
          <t>Бегущая мишень</t>
        </is>
      </c>
      <c r="E2288" s="2" t="n">
        <v>1991</v>
      </c>
      <c r="F2288" s="2" t="inlineStr">
        <is>
          <t>кинофильм</t>
        </is>
      </c>
      <c r="G2288" s="2" t="inlineStr">
        <is>
          <t>Казахфильм им. Ш. Айманова; ТПО «Алем»</t>
        </is>
      </c>
      <c r="H2288" s="2" t="n">
        <v>202</v>
      </c>
      <c r="I2288" s="2" t="inlineStr"/>
      <c r="J2288" s="2" t="inlineStr"/>
      <c r="K2288" s="3" t="inlineStr">
        <is>
          <t>История о том, как встретились два одиноких человека - студент Санжар, скрывающийся от представителей власти после студенческих волнений, и баба Зина, которая его приютила в доме, где живет с 1937 года.</t>
        </is>
      </c>
      <c r="L2288" s="2" t="inlineStr">
        <is>
          <t>Кино_СССР сводный каталог.xlsx: список фильмов (доп.)</t>
        </is>
      </c>
      <c r="M2288" s="2">
        <f>HYPERLINK("https://ru.wikipedia.org/w/index.php?search=%D0%91%D0%B5%D0%B3%D1%83%D1%89%D0%B0%D1%8F%20%D0%BC%D0%B8%D1%88%D0%B5%D0%BD%D1%8C%201991%20%D1%84%D0%B8%D0%BB%D1%8C%D0%BC","искать")</f>
        <v/>
      </c>
      <c r="N2288" s="3" t="n"/>
      <c r="O2288" s="2" t="n"/>
    </row>
    <row r="2289">
      <c r="A2289" s="2" t="n">
        <v>2288</v>
      </c>
      <c r="B2289" s="2" t="inlineStr">
        <is>
          <t>короткая</t>
        </is>
      </c>
      <c r="C2289" s="2" t="n">
        <v>8908</v>
      </c>
      <c r="D2289" s="3" t="inlineStr">
        <is>
          <t>Отец, сын и ветерок</t>
        </is>
      </c>
      <c r="E2289" s="2" t="n">
        <v>1988</v>
      </c>
      <c r="F2289" s="2" t="inlineStr">
        <is>
          <t>кинофильм</t>
        </is>
      </c>
      <c r="G2289" s="2" t="n"/>
      <c r="H2289" s="2" t="n">
        <v>202</v>
      </c>
      <c r="I2289" s="2" t="inlineStr"/>
      <c r="J2289" s="2" t="inlineStr"/>
      <c r="K2289" s="3" t="inlineStr">
        <is>
          <t>მამა, შვილი და ნიავი Шалва, демобилизованный офицер, возвращается в горную деревушку, где его ждут больная мать, жена и сын. Бывший солдат начинает восстанавливать небогатое хозяйство, ему помогает сын.</t>
        </is>
      </c>
      <c r="L2289" s="2" t="inlineStr">
        <is>
          <t>Кино_СССР сводный каталог.xlsx: список фильмов (доп.)</t>
        </is>
      </c>
      <c r="M2289" s="2">
        <f>HYPERLINK("https://ru.wikipedia.org/w/index.php?search=%D0%9E%D1%82%D0%B5%D1%86%2C%20%D1%81%D1%8B%D0%BD%20%D0%B8%20%D0%B2%D0%B5%D1%82%D0%B5%D1%80%D0%BE%D0%BA%201988%20%D1%84%D0%B8%D0%BB%D1%8C%D0%BC","искать")</f>
        <v/>
      </c>
      <c r="N2289" s="3" t="n"/>
      <c r="O2289" s="2" t="n"/>
    </row>
    <row r="2290">
      <c r="A2290" s="2" t="n">
        <v>2289</v>
      </c>
      <c r="B2290" s="2" t="inlineStr">
        <is>
          <t>короткая</t>
        </is>
      </c>
      <c r="C2290" s="2" t="n">
        <v>9315</v>
      </c>
      <c r="D2290" s="3" t="inlineStr">
        <is>
          <t>Гость</t>
        </is>
      </c>
      <c r="E2290" s="2" t="n">
        <v>1939</v>
      </c>
      <c r="F2290" s="2" t="inlineStr">
        <is>
          <t>кинофильм</t>
        </is>
      </c>
      <c r="G2290" s="2" t="n"/>
      <c r="H2290" s="2" t="n">
        <v>202</v>
      </c>
      <c r="I2290" s="2" t="inlineStr"/>
      <c r="J2290" s="2" t="inlineStr"/>
      <c r="K2290" s="3" t="inlineStr">
        <is>
          <t>Молодой ненец-охотник разоблачает проникшего на территорию СССР диверсанта, который поначалу выдает себя за сбившегося с пути врача, а затем делает охотника своим заложником. Фильм на экраны не выпущен.</t>
        </is>
      </c>
      <c r="L2290" s="2" t="inlineStr">
        <is>
          <t>Кино_СССР сводный каталог.xlsx: список фильмов (доп.)</t>
        </is>
      </c>
      <c r="M2290" s="2">
        <f>HYPERLINK("https://ru.wikipedia.org/w/index.php?search=%D0%93%D0%BE%D1%81%D1%82%D1%8C%201939%20%D1%84%D0%B8%D0%BB%D1%8C%D0%BC","искать")</f>
        <v/>
      </c>
      <c r="N2290" s="3" t="n"/>
      <c r="O2290" s="2" t="n"/>
    </row>
    <row r="2291">
      <c r="A2291" s="2" t="n">
        <v>2290</v>
      </c>
      <c r="B2291" s="2" t="inlineStr">
        <is>
          <t>короткая</t>
        </is>
      </c>
      <c r="C2291" s="2" t="n">
        <v>9399</v>
      </c>
      <c r="D2291" s="3" t="inlineStr">
        <is>
          <t>Исповедь. Хроника отчуждения</t>
        </is>
      </c>
      <c r="E2291" s="2" t="n">
        <v>1988</v>
      </c>
      <c r="F2291" s="2" t="inlineStr">
        <is>
          <t>не игровое</t>
        </is>
      </c>
      <c r="G2291" s="2" t="n"/>
      <c r="H2291" s="2" t="n">
        <v>202</v>
      </c>
      <c r="I2291" s="2" t="inlineStr"/>
      <c r="J2291" s="2" t="inlineStr"/>
      <c r="K2291" s="3" t="inlineStr">
        <is>
          <t>Алексей Шубников рассказывает о своей жизни и наркотической зависимости. Беседы с ним, его близкими и врачом помогают авторам проследить обстоятельства, приведшие героя к отчуждению от семьи и общества.</t>
        </is>
      </c>
      <c r="L2291" s="2" t="inlineStr">
        <is>
          <t>Кино_СССР сводный каталог.xlsx: список фильмов (доп.)</t>
        </is>
      </c>
      <c r="M2291" s="2">
        <f>HYPERLINK("https://ru.wikipedia.org/w/index.php?search=%D0%98%D1%81%D0%BF%D0%BE%D0%B2%D0%B5%D0%B4%D1%8C.%20%D0%A5%D1%80%D0%BE%D0%BD%D0%B8%D0%BA%D0%B0%20%D0%BE%D1%82%D1%87%D1%83%D0%B6%D0%B4%D0%B5%D0%BD%D0%B8%D1%8F%201988%20%D1%84%D0%B8%D0%BB%D1%8C%D0%BC","искать")</f>
        <v/>
      </c>
      <c r="N2291" s="3" t="n"/>
      <c r="O2291" s="2" t="n"/>
    </row>
    <row r="2292">
      <c r="A2292" s="2" t="n">
        <v>2291</v>
      </c>
      <c r="B2292" s="2" t="inlineStr">
        <is>
          <t>короткая</t>
        </is>
      </c>
      <c r="C2292" s="2" t="n">
        <v>9706</v>
      </c>
      <c r="D2292" s="3" t="inlineStr">
        <is>
          <t>Убить дракона</t>
        </is>
      </c>
      <c r="E2292" s="2" t="n">
        <v>1988</v>
      </c>
      <c r="F2292" s="2" t="inlineStr">
        <is>
          <t>кинофильм</t>
        </is>
      </c>
      <c r="G2292" s="2" t="n"/>
      <c r="H2292" s="2" t="n">
        <v>202</v>
      </c>
      <c r="I2292" s="2" t="inlineStr"/>
      <c r="J2292" s="2" t="inlineStr"/>
      <c r="K2292" s="3" t="inlineStr">
        <is>
          <t>Фильм создан на основе известной пьесы-сказки Евгения Шварца "Дракон". О странствующем рыцаре Ланцелоте, бросившем вызов Дракону, о противостоянии человеческого достоинства деспотизму, тирании, реакции.</t>
        </is>
      </c>
      <c r="L2292" s="2" t="inlineStr">
        <is>
          <t>Кино_СССР сводный каталог.xlsx: список фильмов (доп.)</t>
        </is>
      </c>
      <c r="M2292" s="2">
        <f>HYPERLINK("https://ru.wikipedia.org/w/index.php?search=%D0%A3%D0%B1%D0%B8%D1%82%D1%8C%20%D0%B4%D1%80%D0%B0%D0%BA%D0%BE%D0%BD%D0%B0%201988%20%D1%84%D0%B8%D0%BB%D1%8C%D0%BC","искать")</f>
        <v/>
      </c>
      <c r="N2292" s="3" t="n"/>
      <c r="O2292" s="2" t="n"/>
    </row>
    <row r="2293">
      <c r="A2293" s="2" t="n">
        <v>2292</v>
      </c>
      <c r="B2293" s="2" t="inlineStr">
        <is>
          <t>короткая</t>
        </is>
      </c>
      <c r="C2293" s="2" t="n">
        <v>9858</v>
      </c>
      <c r="D2293" s="3" t="inlineStr">
        <is>
          <t>В деревне "Загадкино"</t>
        </is>
      </c>
      <c r="E2293" s="2" t="n">
        <v>1969</v>
      </c>
      <c r="F2293" s="2" t="inlineStr">
        <is>
          <t>телефильм</t>
        </is>
      </c>
      <c r="G2293" s="2" t="inlineStr">
        <is>
          <t>ТО “Экран”</t>
        </is>
      </c>
      <c r="H2293" s="2" t="n">
        <v>202</v>
      </c>
      <c r="I2293" s="2" t="inlineStr"/>
      <c r="J2293" s="2" t="inlineStr"/>
      <c r="K2293" s="3" t="inlineStr">
        <is>
          <t>Телефильм.
Городской школьник Андрейка впервые попадает в деревню с таинственным названием "Загадкино". Все здесь для него ново и необычно. Многое увидев и узнав, Андрейка горячо полюбил родную природу.</t>
        </is>
      </c>
      <c r="L2293" s="2" t="inlineStr">
        <is>
          <t>https://www.kino-teatr.ru/short/movie/sov/722/annot/</t>
        </is>
      </c>
      <c r="M2293" s="2">
        <f>HYPERLINK("https://ru.wikipedia.org/w/index.php?search=%D0%92%20%D0%B4%D0%B5%D1%80%D0%B5%D0%B2%D0%BD%D0%B5%20%22%D0%97%D0%B0%D0%B3%D0%B0%D0%B4%D0%BA%D0%B8%D0%BD%D0%BE%22%201969%20%D1%84%D0%B8%D0%BB%D1%8C%D0%BC","искать")</f>
        <v/>
      </c>
      <c r="N2293" s="3" t="n"/>
      <c r="O2293" s="2" t="n"/>
    </row>
    <row r="2294">
      <c r="A2294" s="2" t="n">
        <v>2293</v>
      </c>
      <c r="B2294" s="2" t="inlineStr">
        <is>
          <t>короткая</t>
        </is>
      </c>
      <c r="C2294" s="2" t="n">
        <v>10818</v>
      </c>
      <c r="D2294" s="3" t="inlineStr">
        <is>
          <t>Сказки Пушкина</t>
        </is>
      </c>
      <c r="E2294" s="2" t="n">
        <v>1979</v>
      </c>
      <c r="F2294" s="2" t="inlineStr">
        <is>
          <t>фильм-спектакль</t>
        </is>
      </c>
      <c r="G2294" s="2" t="inlineStr">
        <is>
          <t>Творческое объединение "Экран", Подборки фильмов, экранизации Пушкина</t>
        </is>
      </c>
      <c r="H2294" s="2" t="n">
        <v>203</v>
      </c>
      <c r="I2294" s="2" t="inlineStr"/>
      <c r="J2294" s="2" t="inlineStr"/>
      <c r="K2294" s="3" t="inlineStr">
        <is>
          <t>Народный артист СССР Олег Борисов читает сказки А.С.Пушкина: "Сказка о попе и о работнике его Балде", "Сказка о рыбаке и рыбке", "Сказка о мертвой царевне и о семи богатырях", "Сказка о золотом петушке".</t>
        </is>
      </c>
      <c r="L2294" s="2" t="inlineStr">
        <is>
          <t>https://www.kino-teatr.ru/teatr/movie/113787/annot/</t>
        </is>
      </c>
      <c r="M2294" s="2">
        <f>HYPERLINK("https://ru.wikipedia.org/w/index.php?search=%D0%A1%D0%BA%D0%B0%D0%B7%D0%BA%D0%B8%20%D0%9F%D1%83%D1%88%D0%BA%D0%B8%D0%BD%D0%B0%201979%20%D1%84%D0%B8%D0%BB%D1%8C%D0%BC","искать")</f>
        <v/>
      </c>
      <c r="N2294" s="3" t="n"/>
      <c r="O2294" s="2" t="n"/>
    </row>
    <row r="2295">
      <c r="A2295" s="2" t="n">
        <v>2294</v>
      </c>
      <c r="B2295" s="2" t="inlineStr">
        <is>
          <t>короткая</t>
        </is>
      </c>
      <c r="C2295" s="2" t="n">
        <v>8608</v>
      </c>
      <c r="D2295" s="3" t="inlineStr">
        <is>
          <t>Я - ваш родственник</t>
        </is>
      </c>
      <c r="E2295" s="2" t="n">
        <v>1982</v>
      </c>
      <c r="F2295" s="2" t="inlineStr">
        <is>
          <t>телефильм</t>
        </is>
      </c>
      <c r="G2295" s="2" t="n"/>
      <c r="H2295" s="2" t="n">
        <v>204</v>
      </c>
      <c r="I2295" s="2" t="inlineStr"/>
      <c r="J2295" s="2" t="inlineStr"/>
      <c r="K2295" s="3" t="inlineStr">
        <is>
          <t>Телефильм. Из аула к родственникам в город для учебы в математической школе приезжает шестиклассник Толеген. Перепутав адрес, он попадает в семью Рахметовых, принявших его за своего дальнего родственника.</t>
        </is>
      </c>
      <c r="L2295" s="2" t="inlineStr">
        <is>
          <t>Кино_СССР сводный каталог.xlsx: список телефильмов</t>
        </is>
      </c>
      <c r="M2295" s="2">
        <f>HYPERLINK("https://ru.wikipedia.org/w/index.php?search=%D0%AF%20-%20%D0%B2%D0%B0%D1%88%20%D1%80%D0%BE%D0%B4%D1%81%D1%82%D0%B2%D0%B5%D0%BD%D0%BD%D0%B8%D0%BA%201982%20%D1%84%D0%B8%D0%BB%D1%8C%D0%BC","искать")</f>
        <v/>
      </c>
      <c r="N2295" s="3" t="n"/>
      <c r="O2295" s="2" t="n"/>
    </row>
    <row r="2296">
      <c r="A2296" s="2" t="n">
        <v>2295</v>
      </c>
      <c r="B2296" s="2" t="inlineStr">
        <is>
          <t>короткая</t>
        </is>
      </c>
      <c r="C2296" s="2" t="n">
        <v>10126</v>
      </c>
      <c r="D2296" s="3" t="inlineStr">
        <is>
          <t>Повесть о молодых супругах</t>
        </is>
      </c>
      <c r="E2296" s="2" t="n">
        <v>1964</v>
      </c>
      <c r="F2296" s="2" t="inlineStr">
        <is>
          <t>фильм-спектакль</t>
        </is>
      </c>
      <c r="G2296" s="2" t="inlineStr">
        <is>
          <t>Главная редакция литературно-драматических программ ЦТ</t>
        </is>
      </c>
      <c r="H2296" s="2" t="n">
        <v>204</v>
      </c>
      <c r="I2296" s="2" t="inlineStr"/>
      <c r="J2296" s="2" t="inlineStr"/>
      <c r="K2296" s="3" t="inlineStr">
        <is>
          <t>По одноименной пьесе Евгения Шварца.
Рассказ о двух молодых людях, которые начинают строить совместную жизнь, и пройдя через многие трудности и разочарования, осознают, что по-настоящему нужны друг другу.</t>
        </is>
      </c>
      <c r="L2296" s="2" t="inlineStr">
        <is>
          <t>https://www.kino-teatr.ru/teatr/movie/82406/annot/</t>
        </is>
      </c>
      <c r="M2296" s="2">
        <f>HYPERLINK("https://ru.wikipedia.org/w/index.php?search=%D0%9F%D0%BE%D0%B2%D0%B5%D1%81%D1%82%D1%8C%20%D0%BE%20%D0%BC%D0%BE%D0%BB%D0%BE%D0%B4%D1%8B%D1%85%20%D1%81%D1%83%D0%BF%D1%80%D1%83%D0%B3%D0%B0%D1%85%201964%20%D1%84%D0%B8%D0%BB%D1%8C%D0%BC","искать")</f>
        <v/>
      </c>
      <c r="N2296" s="3" t="n"/>
      <c r="O2296" s="2" t="n"/>
    </row>
    <row r="2297">
      <c r="A2297" s="2" t="n">
        <v>2296</v>
      </c>
      <c r="B2297" s="2" t="inlineStr">
        <is>
          <t>короткая</t>
        </is>
      </c>
      <c r="C2297" s="2" t="n">
        <v>8395</v>
      </c>
      <c r="D2297" s="3" t="inlineStr">
        <is>
          <t>Старик и девочка</t>
        </is>
      </c>
      <c r="E2297" s="2" t="n">
        <v>1981</v>
      </c>
      <c r="F2297" s="2" t="inlineStr">
        <is>
          <t>телефильм</t>
        </is>
      </c>
      <c r="G2297" s="2" t="n"/>
      <c r="H2297" s="2" t="n">
        <v>205</v>
      </c>
      <c r="I2297" s="2" t="inlineStr"/>
      <c r="J2297" s="2" t="inlineStr"/>
      <c r="K2297" s="3" t="inlineStr">
        <is>
          <t>Телефильм по повести А.Хаидова "Мой дом-пустыня". Старый чабан переехал в город к сыну и невестке. Ему очень трудно привыкнуть к городской жизни. Обрести душевный покой ему помогает любовь и забота внучки.</t>
        </is>
      </c>
      <c r="L2297" s="2" t="inlineStr">
        <is>
          <t>Кино_СССР сводный каталог.xlsx: список телефильмов</t>
        </is>
      </c>
      <c r="M2297" s="2">
        <f>HYPERLINK("https://ru.wikipedia.org/w/index.php?search=%D0%A1%D1%82%D0%B0%D1%80%D0%B8%D0%BA%20%D0%B8%20%D0%B4%D0%B5%D0%B2%D0%BE%D1%87%D0%BA%D0%B0%201981%20%D1%84%D0%B8%D0%BB%D1%8C%D0%BC","искать")</f>
        <v/>
      </c>
      <c r="N2297" s="3" t="n"/>
      <c r="O2297" s="2" t="n"/>
    </row>
    <row r="2298">
      <c r="A2298" s="2" t="n">
        <v>2297</v>
      </c>
      <c r="B2298" s="2" t="inlineStr">
        <is>
          <t>короткая</t>
        </is>
      </c>
      <c r="C2298" s="2" t="n">
        <v>8454</v>
      </c>
      <c r="D2298" s="3" t="inlineStr">
        <is>
          <t>Тихие троечники</t>
        </is>
      </c>
      <c r="E2298" s="2" t="n">
        <v>1980</v>
      </c>
      <c r="F2298" s="2" t="inlineStr">
        <is>
          <t>телефильм</t>
        </is>
      </c>
      <c r="G2298" s="2" t="n"/>
      <c r="H2298" s="2" t="n">
        <v>205</v>
      </c>
      <c r="I2298" s="2" t="inlineStr"/>
      <c r="J2298" s="2" t="inlineStr"/>
      <c r="K2298" s="3" t="inlineStr">
        <is>
          <t>Телефильм рассказывает о веселых приключениях двух мальчишек-троечников, Вовки и Валерки, которые, увлекшись поисками подземной речки, пришли к выводу, что без знаний их усилия не могут увенчаться успехом.</t>
        </is>
      </c>
      <c r="L2298" s="2" t="inlineStr">
        <is>
          <t>Кино_СССР сводный каталог.xlsx: список телефильмов</t>
        </is>
      </c>
      <c r="M2298" s="2">
        <f>HYPERLINK("https://ru.wikipedia.org/w/index.php?search=%D0%A2%D0%B8%D1%85%D0%B8%D0%B5%20%D1%82%D1%80%D0%BE%D0%B5%D1%87%D0%BD%D0%B8%D0%BA%D0%B8%201980%20%D1%84%D0%B8%D0%BB%D1%8C%D0%BC","искать")</f>
        <v/>
      </c>
      <c r="N2298" s="3" t="n"/>
      <c r="O2298" s="2" t="n"/>
    </row>
    <row r="2299">
      <c r="A2299" s="2" t="n">
        <v>2298</v>
      </c>
      <c r="B2299" s="2" t="inlineStr">
        <is>
          <t>короткая</t>
        </is>
      </c>
      <c r="C2299" s="2" t="n">
        <v>9095</v>
      </c>
      <c r="D2299" s="3" t="inlineStr">
        <is>
          <t>Твербуль</t>
        </is>
      </c>
      <c r="E2299" s="2" t="n">
        <v>1990</v>
      </c>
      <c r="F2299" s="2" t="inlineStr">
        <is>
          <t>кинофильм</t>
        </is>
      </c>
      <c r="G2299" s="2" t="n"/>
      <c r="H2299" s="2" t="n">
        <v>205</v>
      </c>
      <c r="I2299" s="2" t="inlineStr"/>
      <c r="J2299" s="2" t="inlineStr"/>
      <c r="K2299" s="3" t="inlineStr">
        <is>
          <t>Устоявшийся мирок московской коммунальной квартиры нарушает новый жилец. И теперь несчастья следуют одно за другим. Кровавая история, не претендующая на какую-либо психологическую достоверность персонажей.</t>
        </is>
      </c>
      <c r="L2299" s="2" t="inlineStr">
        <is>
          <t>Кино_СССР сводный каталог.xlsx: список фильмов (доп.)</t>
        </is>
      </c>
      <c r="M2299" s="2">
        <f>HYPERLINK("https://ru.wikipedia.org/w/index.php?search=%D0%A2%D0%B2%D0%B5%D1%80%D0%B1%D1%83%D0%BB%D1%8C%201990%20%D1%84%D0%B8%D0%BB%D1%8C%D0%BC","искать")</f>
        <v/>
      </c>
      <c r="N2299" s="3" t="n"/>
      <c r="O2299" s="2" t="n"/>
    </row>
    <row r="2300">
      <c r="A2300" s="2" t="n">
        <v>2299</v>
      </c>
      <c r="B2300" s="2" t="inlineStr">
        <is>
          <t>короткая</t>
        </is>
      </c>
      <c r="C2300" s="2" t="n">
        <v>9164</v>
      </c>
      <c r="D2300" s="3" t="inlineStr">
        <is>
          <t>Чудо в краю забвения</t>
        </is>
      </c>
      <c r="E2300" s="2" t="n">
        <v>1991</v>
      </c>
      <c r="F2300" s="2" t="inlineStr">
        <is>
          <t>кинофильм</t>
        </is>
      </c>
      <c r="G2300" s="2" t="n"/>
      <c r="H2300" s="2" t="n">
        <v>205</v>
      </c>
      <c r="I2300" s="2" t="inlineStr"/>
      <c r="J2300" s="2" t="inlineStr"/>
      <c r="K2300" s="3" t="inlineStr">
        <is>
          <t>По повести Валерия Шевчука "Петр беглый". История убийства двух братьев-близнецов, которых жители села считают одним человеком. От страха, что пришел Мессия и творит Страшный суд, люди совершают злодеяние.</t>
        </is>
      </c>
      <c r="L2300" s="2" t="inlineStr">
        <is>
          <t>Кино_СССР сводный каталог.xlsx: список фильмов (доп.)</t>
        </is>
      </c>
      <c r="M2300" s="2">
        <f>HYPERLINK("https://ru.wikipedia.org/w/index.php?search=%D0%A7%D1%83%D0%B4%D0%BE%20%D0%B2%20%D0%BA%D1%80%D0%B0%D1%8E%20%D0%B7%D0%B0%D0%B1%D0%B2%D0%B5%D0%BD%D0%B8%D1%8F%201991%20%D1%84%D0%B8%D0%BB%D1%8C%D0%BC","искать")</f>
        <v/>
      </c>
      <c r="N2300" s="3" t="n"/>
      <c r="O2300" s="2" t="n"/>
    </row>
    <row r="2301">
      <c r="A2301" s="2" t="n">
        <v>2300</v>
      </c>
      <c r="B2301" s="2" t="inlineStr">
        <is>
          <t>короткая</t>
        </is>
      </c>
      <c r="C2301" s="2" t="n">
        <v>9269</v>
      </c>
      <c r="D2301" s="3" t="inlineStr">
        <is>
          <t>Ветер забвения</t>
        </is>
      </c>
      <c r="E2301" s="2" t="n">
        <v>1989</v>
      </c>
      <c r="F2301" s="2" t="inlineStr">
        <is>
          <t>кинофильм</t>
        </is>
      </c>
      <c r="G2301" s="2" t="n"/>
      <c r="H2301" s="2" t="n">
        <v>205</v>
      </c>
      <c r="I2301" s="2" t="inlineStr"/>
      <c r="J2301" s="2" t="inlineStr"/>
      <c r="K2301" s="3" t="inlineStr">
        <is>
          <t>Герои фильма покидают Армению и отправляются в поездку по стране. Цель путешествия Рубена и Олега — найти друзей, которые когда-то покинули родину, и узнать, что заставило их искать счастье в чужих краях?.</t>
        </is>
      </c>
      <c r="L2301" s="2" t="inlineStr">
        <is>
          <t>Кино_СССР сводный каталог.xlsx: список фильмов (доп.)</t>
        </is>
      </c>
      <c r="M2301" s="2">
        <f>HYPERLINK("https://ru.wikipedia.org/w/index.php?search=%D0%92%D0%B5%D1%82%D0%B5%D1%80%20%D0%B7%D0%B0%D0%B1%D0%B2%D0%B5%D0%BD%D0%B8%D1%8F%201989%20%D1%84%D0%B8%D0%BB%D1%8C%D0%BC","искать")</f>
        <v/>
      </c>
      <c r="N2301" s="3" t="n"/>
      <c r="O2301" s="2" t="n"/>
    </row>
    <row r="2302">
      <c r="A2302" s="2" t="n">
        <v>2301</v>
      </c>
      <c r="B2302" s="2" t="inlineStr">
        <is>
          <t>короткая</t>
        </is>
      </c>
      <c r="C2302" s="2" t="n">
        <v>9947</v>
      </c>
      <c r="D2302" s="3" t="inlineStr">
        <is>
          <t>Ретивый поросенок</t>
        </is>
      </c>
      <c r="E2302" s="2" t="n">
        <v>1979</v>
      </c>
      <c r="F2302" s="2" t="inlineStr">
        <is>
          <t>телефильм</t>
        </is>
      </c>
      <c r="G2302" s="2" t="inlineStr">
        <is>
          <t>Грузия-фильм по заказу Гостелерадио СССР</t>
        </is>
      </c>
      <c r="H2302" s="2" t="n">
        <v>205</v>
      </c>
      <c r="I2302" s="2" t="inlineStr"/>
      <c r="J2302" s="2" t="inlineStr"/>
      <c r="K2302" s="3" t="inlineStr">
        <is>
          <t>Кинокомедия об озорном поросенке и его добрых, веселых хозяевах. Своими проделками поросенок прославился на всё село. Намаявшись с ним хозяева, Марта и её сын Кукури, повезли проказника в Тбилиси на базар.</t>
        </is>
      </c>
      <c r="L2302" s="2" t="inlineStr">
        <is>
          <t>https://www.kino-teatr.ru/short/movie/sov/83570/annot/</t>
        </is>
      </c>
      <c r="M2302" s="2">
        <f>HYPERLINK("https://ru.wikipedia.org/w/index.php?search=%D0%A0%D0%B5%D1%82%D0%B8%D0%B2%D1%8B%D0%B9%20%D0%BF%D0%BE%D1%80%D0%BE%D1%81%D0%B5%D0%BD%D0%BE%D0%BA%201979%20%D1%84%D0%B8%D0%BB%D1%8C%D0%BC","искать")</f>
        <v/>
      </c>
      <c r="N2302" s="3" t="n"/>
      <c r="O2302" s="2" t="n"/>
    </row>
    <row r="2303">
      <c r="A2303" s="2" t="n">
        <v>2302</v>
      </c>
      <c r="B2303" s="2" t="inlineStr">
        <is>
          <t>короткая</t>
        </is>
      </c>
      <c r="C2303" s="2" t="n">
        <v>9994</v>
      </c>
      <c r="D2303" s="3" t="inlineStr">
        <is>
          <t>Полустанок</t>
        </is>
      </c>
      <c r="E2303" s="2" t="n">
        <v>1983</v>
      </c>
      <c r="F2303" s="2" t="inlineStr">
        <is>
          <t>телефильм</t>
        </is>
      </c>
      <c r="G2303" s="2" t="inlineStr">
        <is>
          <t>студия т/ф “Ереван”</t>
        </is>
      </c>
      <c r="H2303" s="2" t="n">
        <v>205</v>
      </c>
      <c r="I2303" s="2" t="inlineStr"/>
      <c r="J2303" s="2" t="inlineStr"/>
      <c r="K2303" s="3" t="inlineStr">
        <is>
          <t>Одинокие родители в заброшенном селе справляют день рождение главы семьи и ждут сына, но сын не приезжает. Боль и обиду за сына смягчают его друзья, которые приезжают поздравить с днем рождения отца друга.</t>
        </is>
      </c>
      <c r="L2303" s="2" t="inlineStr">
        <is>
          <t>https://www.kino-teatr.ru/short/movie/sov/11070/annot/</t>
        </is>
      </c>
      <c r="M2303" s="2">
        <f>HYPERLINK("https://ru.wikipedia.org/w/index.php?search=%D0%9F%D0%BE%D0%BB%D1%83%D1%81%D1%82%D0%B0%D0%BD%D0%BE%D0%BA%201983%20%D1%84%D0%B8%D0%BB%D1%8C%D0%BC","искать")</f>
        <v/>
      </c>
      <c r="N2303" s="3" t="n"/>
      <c r="O2303" s="2" t="n"/>
    </row>
    <row r="2304">
      <c r="A2304" s="2" t="n">
        <v>2303</v>
      </c>
      <c r="B2304" s="2" t="inlineStr">
        <is>
          <t>короткая</t>
        </is>
      </c>
      <c r="C2304" s="2" t="n">
        <v>7366</v>
      </c>
      <c r="D2304" s="3" t="inlineStr">
        <is>
          <t>Волшебная папаха</t>
        </is>
      </c>
      <c r="E2304" s="2" t="n">
        <v>1990</v>
      </c>
      <c r="F2304" s="2" t="inlineStr">
        <is>
          <t>телефильм</t>
        </is>
      </c>
      <c r="G2304" s="2" t="n"/>
      <c r="H2304" s="2" t="n">
        <v>206</v>
      </c>
      <c r="I2304" s="2" t="inlineStr"/>
      <c r="J2304" s="2" t="inlineStr"/>
      <c r="K2304" s="3" t="inlineStr">
        <is>
          <t>Фильм, снятый по мотивам осетинских народных сказок, в комедийной форме рассказывает о приключениях горца-бедняка Уари, осмелившегося выступить против трех разбойников-абреков, наводящих ужас на всю округу.</t>
        </is>
      </c>
      <c r="L2304" s="2" t="inlineStr">
        <is>
          <t>Кино_СССР сводный каталог.xlsx: список телефильмов</t>
        </is>
      </c>
      <c r="M2304" s="2">
        <f>HYPERLINK("https://ru.wikipedia.org/w/index.php?search=%D0%92%D0%BE%D0%BB%D1%88%D0%B5%D0%B1%D0%BD%D0%B0%D1%8F%20%D0%BF%D0%B0%D0%BF%D0%B0%D1%85%D0%B0%201990%20%D1%84%D0%B8%D0%BB%D1%8C%D0%BC","искать")</f>
        <v/>
      </c>
      <c r="N2304" s="3" t="n"/>
      <c r="O2304" s="2" t="n"/>
    </row>
    <row r="2305">
      <c r="A2305" s="2" t="n">
        <v>2304</v>
      </c>
      <c r="B2305" s="2" t="inlineStr">
        <is>
          <t>короткая</t>
        </is>
      </c>
      <c r="C2305" s="2" t="n">
        <v>7412</v>
      </c>
      <c r="D2305" s="3" t="inlineStr">
        <is>
          <t>Вся королевская рать</t>
        </is>
      </c>
      <c r="E2305" s="2" t="n">
        <v>1971</v>
      </c>
      <c r="F2305" s="2" t="inlineStr">
        <is>
          <t>телефильм</t>
        </is>
      </c>
      <c r="G2305" s="2" t="n"/>
      <c r="H2305" s="2" t="n">
        <v>206</v>
      </c>
      <c r="I2305" s="2" t="inlineStr"/>
      <c r="J2305" s="2" t="inlineStr"/>
      <c r="K2305" s="3" t="inlineStr">
        <is>
          <t>Телесериал по мотивам романа Роберта П. Уоррена. Он проиграл на выборах в губернаторы, но не смирился с поражением. Жажда власти стала его единственной страстью. Этому кумиру он готов принести любые жертвы.</t>
        </is>
      </c>
      <c r="L2305" s="2" t="inlineStr">
        <is>
          <t>Кино_СССР сводный каталог.xlsx: список телефильмов</t>
        </is>
      </c>
      <c r="M2305" s="2">
        <f>HYPERLINK("https://ru.wikipedia.org/w/index.php?search=%D0%92%D1%81%D1%8F%20%D0%BA%D0%BE%D1%80%D0%BE%D0%BB%D0%B5%D0%B2%D1%81%D0%BA%D0%B0%D1%8F%20%D1%80%D0%B0%D1%82%D1%8C%201971%20%D1%84%D0%B8%D0%BB%D1%8C%D0%BC","искать")</f>
        <v/>
      </c>
      <c r="N2305" s="3" t="n"/>
      <c r="O2305" s="2" t="n"/>
    </row>
    <row r="2306">
      <c r="A2306" s="2" t="n">
        <v>2305</v>
      </c>
      <c r="B2306" s="2" t="inlineStr">
        <is>
          <t>короткая</t>
        </is>
      </c>
      <c r="C2306" s="2" t="n">
        <v>7875</v>
      </c>
      <c r="D2306" s="3" t="inlineStr">
        <is>
          <t>Мина Мазайло</t>
        </is>
      </c>
      <c r="E2306" s="2" t="n">
        <v>1991</v>
      </c>
      <c r="F2306" s="2" t="inlineStr">
        <is>
          <t>фильм-спектакль</t>
        </is>
      </c>
      <c r="G2306" s="2" t="inlineStr">
        <is>
          <t>Укртелефильм</t>
        </is>
      </c>
      <c r="H2306" s="2" t="n">
        <v>206</v>
      </c>
      <c r="I2306" s="2" t="inlineStr"/>
      <c r="J2306" s="2" t="inlineStr"/>
      <c r="K2306" s="3" t="inlineStr">
        <is>
          <t>Фильм-спектакль по пьесе Николая Кулиша про украинца Мазайло, который решил поменять свою украинскую фамилию на русскую и что из этого вышло. Действие происходит во времена украинизации, в конце 20-х годов.</t>
        </is>
      </c>
      <c r="L2306" s="2" t="inlineStr">
        <is>
          <t>Кино_СССР сводный каталог.xlsx: список телефильмов</t>
        </is>
      </c>
      <c r="M2306" s="2">
        <f>HYPERLINK("https://ru.wikipedia.org/w/index.php?search=%D0%9C%D0%B8%D0%BD%D0%B0%20%D0%9C%D0%B0%D0%B7%D0%B0%D0%B9%D0%BB%D0%BE%201991%20%D1%84%D0%B8%D0%BB%D1%8C%D0%BC","искать")</f>
        <v/>
      </c>
      <c r="N2306" s="3" t="n"/>
      <c r="O2306" s="2" t="n"/>
    </row>
    <row r="2307">
      <c r="A2307" s="2" t="n">
        <v>2306</v>
      </c>
      <c r="B2307" s="2" t="inlineStr">
        <is>
          <t>короткая</t>
        </is>
      </c>
      <c r="C2307" s="2" t="n">
        <v>8031</v>
      </c>
      <c r="D2307" s="3" t="inlineStr">
        <is>
          <t>Оглянись, найдёшь друзей</t>
        </is>
      </c>
      <c r="E2307" s="2" t="n">
        <v>1975</v>
      </c>
      <c r="F2307" s="2" t="inlineStr">
        <is>
          <t>телефильм</t>
        </is>
      </c>
      <c r="G2307" s="2" t="n"/>
      <c r="H2307" s="2" t="n">
        <v>206</v>
      </c>
      <c r="I2307" s="2" t="inlineStr"/>
      <c r="J2307" s="2" t="inlineStr"/>
      <c r="K2307" s="3" t="inlineStr">
        <is>
          <t>Председатель колхоза  вынужден лечь на операцию – беспокоит засевший в теле осколок военных лет. Его замещает молодой ученый, преподаватель вуза Амран, желающий проверить в живом деле свои научные открытия.</t>
        </is>
      </c>
      <c r="L2307" s="2" t="inlineStr">
        <is>
          <t>Кино_СССР сводный каталог.xlsx: список телефильмов</t>
        </is>
      </c>
      <c r="M2307" s="2">
        <f>HYPERLINK("https://ru.wikipedia.org/w/index.php?search=%D0%9E%D0%B3%D0%BB%D1%8F%D0%BD%D0%B8%D1%81%D1%8C%2C%20%D0%BD%D0%B0%D0%B9%D0%B4%D1%91%D1%88%D1%8C%20%D0%B4%D1%80%D1%83%D0%B7%D0%B5%D0%B9%201975%20%D1%84%D0%B8%D0%BB%D1%8C%D0%BC","искать")</f>
        <v/>
      </c>
      <c r="N2307" s="3" t="n"/>
      <c r="O2307" s="2" t="n"/>
    </row>
    <row r="2308">
      <c r="A2308" s="2" t="n">
        <v>2307</v>
      </c>
      <c r="B2308" s="2" t="inlineStr">
        <is>
          <t>короткая</t>
        </is>
      </c>
      <c r="C2308" s="2" t="n">
        <v>10357</v>
      </c>
      <c r="D2308" s="3" t="inlineStr">
        <is>
          <t>Заноза</t>
        </is>
      </c>
      <c r="E2308" s="2" t="n">
        <v>1970</v>
      </c>
      <c r="F2308" s="2" t="inlineStr">
        <is>
          <t>фильм-спектакль</t>
        </is>
      </c>
      <c r="G2308" s="2" t="inlineStr">
        <is>
          <t>Гл. ред. лит.-драм. программ</t>
        </is>
      </c>
      <c r="H2308" s="2" t="n">
        <v>206</v>
      </c>
      <c r="I2308" s="2" t="inlineStr"/>
      <c r="J2308" s="2" t="inlineStr"/>
      <c r="K2308" s="3" t="inlineStr">
        <is>
          <t>По произведению Франсуазы Саган.
Актриса попадает в автомобильную катастрофу и вынуждена жить прикованной к постели в богатом пансионе. Она всеми покинута. Но любовь к сцене помогает ей преодолеть невзгоды.</t>
        </is>
      </c>
      <c r="L2308" s="2" t="inlineStr">
        <is>
          <t>https://www.kino-teatr.ru/teatr/movie/93055/annot/</t>
        </is>
      </c>
      <c r="M2308" s="2">
        <f>HYPERLINK("https://ru.wikipedia.org/w/index.php?search=%D0%97%D0%B0%D0%BD%D0%BE%D0%B7%D0%B0%201970%20%D1%84%D0%B8%D0%BB%D1%8C%D0%BC","искать")</f>
        <v/>
      </c>
      <c r="N2308" s="3" t="n"/>
      <c r="O2308" s="2" t="n"/>
    </row>
    <row r="2309">
      <c r="A2309" s="2" t="n">
        <v>2308</v>
      </c>
      <c r="B2309" s="2" t="inlineStr">
        <is>
          <t>короткая</t>
        </is>
      </c>
      <c r="C2309" s="2" t="n">
        <v>7845</v>
      </c>
      <c r="D2309" s="3" t="inlineStr">
        <is>
          <t>Мальчишки</t>
        </is>
      </c>
      <c r="E2309" s="2" t="n">
        <v>1978</v>
      </c>
      <c r="F2309" s="2" t="inlineStr">
        <is>
          <t>телефильм</t>
        </is>
      </c>
      <c r="G2309" s="2" t="inlineStr">
        <is>
          <t>ТО «Экран»</t>
        </is>
      </c>
      <c r="H2309" s="2" t="n">
        <v>207</v>
      </c>
      <c r="I2309" s="2" t="inlineStr"/>
      <c r="J2309" s="2" t="inlineStr"/>
      <c r="K2309" s="3" t="inlineStr">
        <is>
          <t>По мотивам повести Льва Кассиля «Дорогие мои мальчишки». Герои телефильма — подростки, заменившие отцов и старших братьев, ушедших на войну, и разделившие со взрослыми все тяготы Великой Отечественной войны.</t>
        </is>
      </c>
      <c r="L2309" s="2" t="inlineStr">
        <is>
          <t>Кино_СССР сводный каталог.xlsx: список телефильмов</t>
        </is>
      </c>
      <c r="M2309" s="2">
        <f>HYPERLINK("https://ru.wikipedia.org/w/index.php?search=%D0%9C%D0%B0%D0%BB%D1%8C%D1%87%D0%B8%D1%88%D0%BA%D0%B8%201978%20%D1%84%D0%B8%D0%BB%D1%8C%D0%BC","искать")</f>
        <v/>
      </c>
      <c r="N2309" s="3" t="n"/>
      <c r="O2309" s="2" t="n"/>
    </row>
    <row r="2310">
      <c r="A2310" s="2" t="n">
        <v>2309</v>
      </c>
      <c r="B2310" s="2" t="inlineStr">
        <is>
          <t>короткая</t>
        </is>
      </c>
      <c r="C2310" s="2" t="n">
        <v>8809</v>
      </c>
      <c r="D2310" s="3" t="inlineStr">
        <is>
          <t>Люди нашего города (киноальманах)</t>
        </is>
      </c>
      <c r="E2310" s="2" t="n">
        <v>1966</v>
      </c>
      <c r="F2310" s="2" t="inlineStr">
        <is>
          <t>кинофильм</t>
        </is>
      </c>
      <c r="G2310" s="2" t="n"/>
      <c r="H2310" s="2" t="n">
        <v>207</v>
      </c>
      <c r="I2310" s="2" t="inlineStr"/>
      <c r="J2310" s="2" t="inlineStr"/>
      <c r="K2310" s="3" t="inlineStr">
        <is>
          <t>Фильм делится на 3 эпизода: "Автомобиль Авдо", "Гарни", "Марш" О первом автомобилисте и его войне с извозчиками в первые советские годы в старом Ереване. О сложных психологических отношениях влюбленной пары.</t>
        </is>
      </c>
      <c r="L2310" s="2" t="inlineStr">
        <is>
          <t>Кино_СССР сводный каталог.xlsx: список фильмов (доп.)</t>
        </is>
      </c>
      <c r="M2310" s="2">
        <f>HYPERLINK("https://ru.wikipedia.org/w/index.php?search=%D0%9B%D1%8E%D0%B4%D0%B8%20%D0%BD%D0%B0%D1%88%D0%B5%D0%B3%D0%BE%20%D0%B3%D0%BE%D1%80%D0%BE%D0%B4%D0%B0%20%28%D0%BA%D0%B8%D0%BD%D0%BE%D0%B0%D0%BB%D1%8C%D0%BC%D0%B0%D0%BD%D0%B0%D1%85%29%201966%20%D1%84%D0%B8%D0%BB%D1%8C%D0%BC","искать")</f>
        <v/>
      </c>
      <c r="N2310" s="3" t="n"/>
      <c r="O2310" s="2" t="n"/>
    </row>
    <row r="2311">
      <c r="A2311" s="2" t="n">
        <v>2310</v>
      </c>
      <c r="B2311" s="2" t="inlineStr">
        <is>
          <t>короткая</t>
        </is>
      </c>
      <c r="C2311" s="2" t="n">
        <v>9035</v>
      </c>
      <c r="D2311" s="3" t="inlineStr">
        <is>
          <t>Сегодня и навсегда</t>
        </is>
      </c>
      <c r="E2311" s="2" t="n">
        <v>1984</v>
      </c>
      <c r="F2311" s="2" t="inlineStr">
        <is>
          <t>кинофильм</t>
        </is>
      </c>
      <c r="G2311" s="2" t="n"/>
      <c r="H2311" s="2" t="n">
        <v>207</v>
      </c>
      <c r="I2311" s="2" t="inlineStr"/>
      <c r="J2311" s="2" t="inlineStr"/>
      <c r="K2311" s="3" t="inlineStr">
        <is>
          <t>В  музыкальном фильме показаны литовские обычаи, сельский труд в разные времена года. Звучат литовские песни, инструментальная музыка, стихи, раскрываются предпосылки формирования национального самосознания.</t>
        </is>
      </c>
      <c r="L2311" s="2" t="inlineStr">
        <is>
          <t>Кино_СССР сводный каталог.xlsx: список фильмов (доп.)</t>
        </is>
      </c>
      <c r="M2311" s="2">
        <f>HYPERLINK("https://ru.wikipedia.org/w/index.php?search=%D0%A1%D0%B5%D0%B3%D0%BE%D0%B4%D0%BD%D1%8F%20%D0%B8%20%D0%BD%D0%B0%D0%B2%D1%81%D0%B5%D0%B3%D0%B4%D0%B0%201984%20%D1%84%D0%B8%D0%BB%D1%8C%D0%BC","искать")</f>
        <v/>
      </c>
      <c r="N2311" s="3" t="n"/>
      <c r="O2311" s="2" t="n"/>
    </row>
    <row r="2312">
      <c r="A2312" s="2" t="n">
        <v>2311</v>
      </c>
      <c r="B2312" s="2" t="inlineStr">
        <is>
          <t>короткая</t>
        </is>
      </c>
      <c r="C2312" s="2" t="n">
        <v>10163</v>
      </c>
      <c r="D2312" s="3" t="inlineStr">
        <is>
          <t>Гравюра на дереве</t>
        </is>
      </c>
      <c r="E2312" s="2" t="n">
        <v>1966</v>
      </c>
      <c r="F2312" s="2" t="inlineStr">
        <is>
          <t>фильм-спектакль</t>
        </is>
      </c>
      <c r="G2312" s="2" t="inlineStr">
        <is>
          <t>Гл. ред. лит-драм программ</t>
        </is>
      </c>
      <c r="H2312" s="2" t="n">
        <v>207</v>
      </c>
      <c r="I2312" s="2" t="inlineStr"/>
      <c r="J2312" s="2" t="inlineStr"/>
      <c r="K2312" s="3" t="inlineStr">
        <is>
          <t>По мотивам одноименного рассказа Б.Лавренева. Бывший художник, а ныне директор треста "Стекло-фарфор", Федор Кудрин, увидел на выставке удивительную гравюру. Встреча с ее создателем перевернула жизнь Федора.</t>
        </is>
      </c>
      <c r="L2312" s="2" t="inlineStr">
        <is>
          <t>https://www.kino-teatr.ru/teatr/movie/80897/annot/</t>
        </is>
      </c>
      <c r="M2312" s="2">
        <f>HYPERLINK("https://ru.wikipedia.org/w/index.php?search=%D0%93%D1%80%D0%B0%D0%B2%D1%8E%D1%80%D0%B0%20%D0%BD%D0%B0%20%D0%B4%D0%B5%D1%80%D0%B5%D0%B2%D0%B5%201966%20%D1%84%D0%B8%D0%BB%D1%8C%D0%BC","искать")</f>
        <v/>
      </c>
      <c r="N2312" s="3" t="n"/>
      <c r="O2312" s="2" t="n"/>
    </row>
    <row r="2313">
      <c r="A2313" s="2" t="n">
        <v>2312</v>
      </c>
      <c r="B2313" s="2" t="inlineStr">
        <is>
          <t>короткая</t>
        </is>
      </c>
      <c r="C2313" s="2" t="n">
        <v>7315</v>
      </c>
      <c r="D2313" s="3" t="inlineStr">
        <is>
          <t>Вашингтонский корреспондент</t>
        </is>
      </c>
      <c r="E2313" s="2" t="n">
        <v>1972</v>
      </c>
      <c r="F2313" s="2" t="inlineStr">
        <is>
          <t>телефильм</t>
        </is>
      </c>
      <c r="G2313" s="2" t="inlineStr">
        <is>
          <t>Беларусьфильм</t>
        </is>
      </c>
      <c r="H2313" s="2" t="n">
        <v>208</v>
      </c>
      <c r="I2313" s="2" t="inlineStr"/>
      <c r="J2313" s="2" t="inlineStr"/>
      <c r="K2313" s="3" t="inlineStr">
        <is>
          <t>Телесериал. Политический памфлет. Советский корреспондент Петр Громов работает в Вашингтоне над созданием телефильма о политических и социальных причинах убийств Мартина Лютера Кинга, Джона и Роберта Кеннеди.</t>
        </is>
      </c>
      <c r="L2313" s="2" t="inlineStr">
        <is>
          <t>Кино_СССР сводный каталог.xlsx: список телефильмов</t>
        </is>
      </c>
      <c r="M2313" s="2">
        <f>HYPERLINK("https://ru.wikipedia.org/w/index.php?search=%D0%92%D0%B0%D1%88%D0%B8%D0%BD%D0%B3%D1%82%D0%BE%D0%BD%D1%81%D0%BA%D0%B8%D0%B9%20%D0%BA%D0%BE%D1%80%D1%80%D0%B5%D1%81%D0%BF%D0%BE%D0%BD%D0%B4%D0%B5%D0%BD%D1%82%201972%20%D1%84%D0%B8%D0%BB%D1%8C%D0%BC","искать")</f>
        <v/>
      </c>
      <c r="N2313" s="3" t="n"/>
      <c r="O2313" s="2" t="n"/>
    </row>
    <row r="2314">
      <c r="A2314" s="2" t="n">
        <v>2313</v>
      </c>
      <c r="B2314" s="2" t="inlineStr">
        <is>
          <t>короткая</t>
        </is>
      </c>
      <c r="C2314" s="2" t="n">
        <v>8323</v>
      </c>
      <c r="D2314" s="3" t="inlineStr">
        <is>
          <t>Секретный фарватер</t>
        </is>
      </c>
      <c r="E2314" s="2" t="n">
        <v>1986</v>
      </c>
      <c r="F2314" s="2" t="inlineStr">
        <is>
          <t>телефильм</t>
        </is>
      </c>
      <c r="G2314" s="2" t="n"/>
      <c r="H2314" s="2" t="n">
        <v>208</v>
      </c>
      <c r="I2314" s="2" t="inlineStr"/>
      <c r="J2314" s="2" t="inlineStr"/>
      <c r="K2314" s="3" t="inlineStr">
        <is>
          <t>Телесериал по мотивам одноименного романа Леонида Платова о том, как была раскрыта тайна "Летучего голландца" - немецкой подводной лодки, выполнявшей в годы войны секретные задания гитлеровского командования.</t>
        </is>
      </c>
      <c r="L2314" s="2" t="inlineStr">
        <is>
          <t>Кино_СССР сводный каталог.xlsx: список телефильмов</t>
        </is>
      </c>
      <c r="M2314" s="2">
        <f>HYPERLINK("https://ru.wikipedia.org/w/index.php?search=%D0%A1%D0%B5%D0%BA%D1%80%D0%B5%D1%82%D0%BD%D1%8B%D0%B9%20%D1%84%D0%B0%D1%80%D0%B2%D0%B0%D1%82%D0%B5%D1%80%201986%20%D1%84%D0%B8%D0%BB%D1%8C%D0%BC","искать")</f>
        <v/>
      </c>
      <c r="N2314" s="3" t="n"/>
      <c r="O2314" s="2" t="n"/>
    </row>
    <row r="2315">
      <c r="A2315" s="2" t="n">
        <v>2314</v>
      </c>
      <c r="B2315" s="2" t="inlineStr">
        <is>
          <t>короткая</t>
        </is>
      </c>
      <c r="C2315" s="2" t="n">
        <v>9834</v>
      </c>
      <c r="D2315" s="3" t="inlineStr">
        <is>
          <t>Первая любовь</t>
        </is>
      </c>
      <c r="E2315" s="2" t="n">
        <v>1966</v>
      </c>
      <c r="F2315" s="2" t="inlineStr">
        <is>
          <t>кинофильм</t>
        </is>
      </c>
      <c r="G2315" s="2" t="inlineStr">
        <is>
          <t>Мосфильм</t>
        </is>
      </c>
      <c r="H2315" s="2" t="n">
        <v>208</v>
      </c>
      <c r="I2315" s="2" t="inlineStr"/>
      <c r="J2315" s="2" t="inlineStr"/>
      <c r="K2315" s="3" t="inlineStr">
        <is>
          <t>По мотивам одноименного рассказа В.Богомолова.
Один из очередных вызовов во время ночного дежурства врача скорой помощи Сергея Алексеевича пробуждает в герое воспоминания о первой любви к фронтовой медсестре.</t>
        </is>
      </c>
      <c r="L2315" s="2" t="inlineStr">
        <is>
          <t>https://www.kino-teatr.ru/short/movie/sov/9731/annot/</t>
        </is>
      </c>
      <c r="M2315" s="2">
        <f>HYPERLINK("https://ru.wikipedia.org/w/index.php?search=%D0%9F%D0%B5%D1%80%D0%B2%D0%B0%D1%8F%20%D0%BB%D1%8E%D0%B1%D0%BE%D0%B2%D1%8C%201966%20%D1%84%D0%B8%D0%BB%D1%8C%D0%BC","искать")</f>
        <v/>
      </c>
      <c r="N2315" s="3" t="n"/>
      <c r="O2315" s="2" t="n"/>
    </row>
    <row r="2316">
      <c r="A2316" s="2" t="n">
        <v>2315</v>
      </c>
      <c r="B2316" s="2" t="inlineStr">
        <is>
          <t>короткая</t>
        </is>
      </c>
      <c r="C2316" s="2" t="n">
        <v>9986</v>
      </c>
      <c r="D2316" s="3" t="inlineStr">
        <is>
          <t>Место под солнцем</t>
        </is>
      </c>
      <c r="E2316" s="2" t="n">
        <v>1982</v>
      </c>
      <c r="F2316" s="2" t="inlineStr">
        <is>
          <t>телефильм</t>
        </is>
      </c>
      <c r="G2316" s="2" t="inlineStr">
        <is>
          <t>ТО "Экран"</t>
        </is>
      </c>
      <c r="H2316" s="2" t="n">
        <v>208</v>
      </c>
      <c r="I2316" s="2" t="inlineStr"/>
      <c r="J2316" s="2" t="inlineStr"/>
      <c r="K2316" s="3" t="inlineStr">
        <is>
          <t>В основе сюжета — острая конфликтная ситуация, возникшая между молодым человеком, владельцем «Жигулей» и стариком-инвалидом, ветераном войны, который своим стареньким «Запорожцем» случайно поцарапал «Жигули».</t>
        </is>
      </c>
      <c r="L2316" s="2" t="inlineStr">
        <is>
          <t>https://www.kino-teatr.ru/short/movie/sov/3845/annot/</t>
        </is>
      </c>
      <c r="M2316" s="2">
        <f>HYPERLINK("https://ru.wikipedia.org/w/index.php?search=%D0%9C%D0%B5%D1%81%D1%82%D0%BE%20%D0%BF%D0%BE%D0%B4%20%D1%81%D0%BE%D0%BB%D0%BD%D1%86%D0%B5%D0%BC%201982%20%D1%84%D0%B8%D0%BB%D1%8C%D0%BC","искать")</f>
        <v/>
      </c>
      <c r="N2316" s="3" t="n"/>
      <c r="O2316" s="2" t="n"/>
    </row>
    <row r="2317">
      <c r="A2317" s="2" t="n">
        <v>2316</v>
      </c>
      <c r="B2317" s="2" t="inlineStr">
        <is>
          <t>короткая</t>
        </is>
      </c>
      <c r="C2317" s="2" t="n">
        <v>8155</v>
      </c>
      <c r="D2317" s="3" t="inlineStr">
        <is>
          <t>Полёт начинается с земли</t>
        </is>
      </c>
      <c r="E2317" s="2" t="n">
        <v>1980</v>
      </c>
      <c r="F2317" s="2" t="inlineStr">
        <is>
          <t>телефильм</t>
        </is>
      </c>
      <c r="G2317" s="2" t="inlineStr">
        <is>
          <t>Арменфильм</t>
        </is>
      </c>
      <c r="H2317" s="2" t="n">
        <v>209</v>
      </c>
      <c r="I2317" s="2" t="inlineStr"/>
      <c r="J2317" s="2" t="inlineStr"/>
      <c r="K2317" s="3" t="inlineStr">
        <is>
          <t>Действие телефильма разворачивается в провинциальном аэропорту, куда приезжает теперь уже ставший знаменитым летчик, начинавший свой путь отсюда. Многое в этом узко-семейном мирке теперь ему чуждо и непонятно.</t>
        </is>
      </c>
      <c r="L2317" s="2" t="inlineStr">
        <is>
          <t>Кино_СССР сводный каталог.xlsx: список телефильмов</t>
        </is>
      </c>
      <c r="M2317" s="2">
        <f>HYPERLINK("https://ru.wikipedia.org/w/index.php?search=%D0%9F%D0%BE%D0%BB%D1%91%D1%82%20%D0%BD%D0%B0%D1%87%D0%B8%D0%BD%D0%B0%D0%B5%D1%82%D1%81%D1%8F%20%D1%81%20%D0%B7%D0%B5%D0%BC%D0%BB%D0%B8%201980%20%D1%84%D0%B8%D0%BB%D1%8C%D0%BC","искать")</f>
        <v/>
      </c>
      <c r="N2317" s="3" t="n"/>
      <c r="O2317" s="2" t="n"/>
    </row>
    <row r="2318">
      <c r="A2318" s="2" t="n">
        <v>2317</v>
      </c>
      <c r="B2318" s="2" t="inlineStr">
        <is>
          <t>короткая</t>
        </is>
      </c>
      <c r="C2318" s="2" t="n">
        <v>8450</v>
      </c>
      <c r="D2318" s="3" t="inlineStr">
        <is>
          <t>Тепло родного дома</t>
        </is>
      </c>
      <c r="E2318" s="2" t="n">
        <v>1983</v>
      </c>
      <c r="F2318" s="2" t="inlineStr">
        <is>
          <t>телефильм</t>
        </is>
      </c>
      <c r="G2318" s="2" t="n"/>
      <c r="H2318" s="2" t="n">
        <v>209</v>
      </c>
      <c r="I2318" s="2" t="inlineStr"/>
      <c r="J2318" s="2" t="inlineStr"/>
      <c r="K2318" s="3" t="inlineStr">
        <is>
          <t>Ивана Кужеля выбирают председателем колхоза. Перед ним встает много производственных проблем. Сложно складывается и личная жизнь Ивана, которому приходится расстаться с любимой женщиной, чтобы сохранить семью.</t>
        </is>
      </c>
      <c r="L2318" s="2" t="inlineStr">
        <is>
          <t>Кино_СССР сводный каталог.xlsx: список телефильмов</t>
        </is>
      </c>
      <c r="M2318" s="2">
        <f>HYPERLINK("https://ru.wikipedia.org/w/index.php?search=%D0%A2%D0%B5%D0%BF%D0%BB%D0%BE%20%D1%80%D0%BE%D0%B4%D0%BD%D0%BE%D0%B3%D0%BE%20%D0%B4%D0%BE%D0%BC%D0%B0%201983%20%D1%84%D0%B8%D0%BB%D1%8C%D0%BC","искать")</f>
        <v/>
      </c>
      <c r="N2318" s="3" t="n"/>
      <c r="O2318" s="2" t="n"/>
    </row>
    <row r="2319">
      <c r="A2319" s="2" t="n">
        <v>2318</v>
      </c>
      <c r="B2319" s="2" t="inlineStr">
        <is>
          <t>короткая</t>
        </is>
      </c>
      <c r="C2319" s="2" t="n">
        <v>8451</v>
      </c>
      <c r="D2319" s="3" t="inlineStr">
        <is>
          <t>Тепло студёной земли</t>
        </is>
      </c>
      <c r="E2319" s="2" t="n">
        <v>1984</v>
      </c>
      <c r="F2319" s="2" t="inlineStr">
        <is>
          <t>телефильм</t>
        </is>
      </c>
      <c r="G2319" s="2" t="n"/>
      <c r="H2319" s="2" t="n">
        <v>209</v>
      </c>
      <c r="I2319" s="2" t="inlineStr"/>
      <c r="J2319" s="2" t="inlineStr"/>
      <c r="K2319" s="3" t="inlineStr">
        <is>
          <t>Герои телефильма - бригадир монтажников Черных и буровой мастер Марич осуществляют наиболее рациональную перевозку оборудования в экстремальных условиях Севера, внедряют новую прогрессивную технологию бурения.</t>
        </is>
      </c>
      <c r="L2319" s="2" t="inlineStr">
        <is>
          <t>Кино_СССР сводный каталог.xlsx: список телефильмов</t>
        </is>
      </c>
      <c r="M2319" s="2">
        <f>HYPERLINK("https://ru.wikipedia.org/w/index.php?search=%D0%A2%D0%B5%D0%BF%D0%BB%D0%BE%20%D1%81%D1%82%D1%83%D0%B4%D1%91%D0%BD%D0%BE%D0%B9%20%D0%B7%D0%B5%D0%BC%D0%BB%D0%B8%201984%20%D1%84%D0%B8%D0%BB%D1%8C%D0%BC","искать")</f>
        <v/>
      </c>
      <c r="N2319" s="3" t="n"/>
      <c r="O2319" s="2" t="n"/>
    </row>
    <row r="2320">
      <c r="A2320" s="2" t="n">
        <v>2319</v>
      </c>
      <c r="B2320" s="2" t="inlineStr">
        <is>
          <t>короткая</t>
        </is>
      </c>
      <c r="C2320" s="2" t="n">
        <v>9971</v>
      </c>
      <c r="D2320" s="3" t="inlineStr">
        <is>
          <t>Опоры земли</t>
        </is>
      </c>
      <c r="E2320" s="2" t="n">
        <v>1981</v>
      </c>
      <c r="F2320" s="2" t="inlineStr">
        <is>
          <t>кинофильм</t>
        </is>
      </c>
      <c r="G2320" s="2" t="inlineStr">
        <is>
          <t>«Грузия-фильм», ЭТО «Дебют»</t>
        </is>
      </c>
      <c r="H2320" s="2" t="n">
        <v>209</v>
      </c>
      <c r="I2320" s="2" t="inlineStr"/>
      <c r="J2320" s="2" t="inlineStr"/>
      <c r="K2320" s="3" t="inlineStr">
        <is>
          <t>По произведениям Константина Гердова.
Старый деревенский дом, в который сын возвращается к матери… Незатейливая история, превращающаяся в притчу о бренности человеческого существования и скоротечности времени.</t>
        </is>
      </c>
      <c r="L2320" s="2" t="inlineStr">
        <is>
          <t>https://www.kino-teatr.ru/short/movie/sov/86532/annot/</t>
        </is>
      </c>
      <c r="M2320" s="2">
        <f>HYPERLINK("https://ru.wikipedia.org/w/index.php?search=%D0%9E%D0%BF%D0%BE%D1%80%D1%8B%20%D0%B7%D0%B5%D0%BC%D0%BB%D0%B8%201981%20%D1%84%D0%B8%D0%BB%D1%8C%D0%BC","искать")</f>
        <v/>
      </c>
      <c r="N2320" s="3" t="n"/>
      <c r="O2320" s="2" t="n"/>
    </row>
    <row r="2321">
      <c r="A2321" s="2" t="n">
        <v>2320</v>
      </c>
      <c r="B2321" s="2" t="inlineStr">
        <is>
          <t>короткая</t>
        </is>
      </c>
      <c r="C2321" s="2" t="n">
        <v>10309</v>
      </c>
      <c r="D2321" s="3" t="inlineStr">
        <is>
          <t>Здравствуйте, наши папы!</t>
        </is>
      </c>
      <c r="E2321" s="2" t="n">
        <v>1969</v>
      </c>
      <c r="F2321" s="2" t="inlineStr">
        <is>
          <t>фильм-спектакль</t>
        </is>
      </c>
      <c r="G2321" s="2" t="inlineStr">
        <is>
          <t>Центральное телевидение</t>
        </is>
      </c>
      <c r="H2321" s="2" t="n">
        <v>209</v>
      </c>
      <c r="I2321" s="2" t="inlineStr"/>
      <c r="J2321" s="2" t="inlineStr"/>
      <c r="K2321" s="3" t="inlineStr">
        <is>
          <t>Классный руководитель пригласил на родительское собрание отцов, о которых дети написали сочинения. Так каждый узнал, что о нем думает сын или дочь. Это послужило поводом для интересного и серьезного разговора.</t>
        </is>
      </c>
      <c r="L2321" s="2" t="inlineStr">
        <is>
          <t>https://www.kino-teatr.ru/teatr/movie/16330/annot/</t>
        </is>
      </c>
      <c r="M2321" s="2">
        <f>HYPERLINK("https://ru.wikipedia.org/w/index.php?search=%D0%97%D0%B4%D1%80%D0%B0%D0%B2%D1%81%D1%82%D0%B2%D1%83%D0%B9%D1%82%D0%B5%2C%20%D0%BD%D0%B0%D1%88%D0%B8%20%D0%BF%D0%B0%D0%BF%D1%8B%21%201969%20%D1%84%D0%B8%D0%BB%D1%8C%D0%BC","искать")</f>
        <v/>
      </c>
      <c r="N2321" s="3" t="n"/>
      <c r="O2321" s="2" t="n"/>
    </row>
    <row r="2322">
      <c r="A2322" s="2" t="n">
        <v>2321</v>
      </c>
      <c r="B2322" s="2" t="inlineStr">
        <is>
          <t>короткая</t>
        </is>
      </c>
      <c r="C2322" s="2" t="n">
        <v>10743</v>
      </c>
      <c r="D2322" s="3" t="inlineStr">
        <is>
          <t>Если...</t>
        </is>
      </c>
      <c r="E2322" s="2" t="n">
        <v>1978</v>
      </c>
      <c r="F2322" s="2" t="inlineStr">
        <is>
          <t>фильм-спектакль</t>
        </is>
      </c>
      <c r="G2322" s="2" t="inlineStr">
        <is>
          <t>Центральное телевидение</t>
        </is>
      </c>
      <c r="H2322" s="2" t="n">
        <v>209</v>
      </c>
      <c r="I2322" s="2" t="inlineStr"/>
      <c r="J2322" s="2" t="inlineStr"/>
      <c r="K2322" s="3" t="inlineStr">
        <is>
          <t>По одноименной пьесе Самуила Алешина в постановке Московского драматического театра на Малой Бронной.
В центре сюжета - любовь журналистки Анны Князевой и Николая Малышева - хирурга одной из городских больниц.</t>
        </is>
      </c>
      <c r="L2322" s="2" t="inlineStr">
        <is>
          <t>https://www.kino-teatr.ru/teatr/movie/81465/annot/</t>
        </is>
      </c>
      <c r="M2322" s="2">
        <f>HYPERLINK("https://ru.wikipedia.org/w/index.php?search=%D0%95%D1%81%D0%BB%D0%B8...%201978%20%D1%84%D0%B8%D0%BB%D1%8C%D0%BC","искать")</f>
        <v/>
      </c>
      <c r="N2322" s="3" t="n"/>
      <c r="O2322" s="2" t="n"/>
    </row>
    <row r="2323">
      <c r="A2323" s="2" t="n">
        <v>2322</v>
      </c>
      <c r="B2323" s="2" t="inlineStr">
        <is>
          <t>короткая</t>
        </is>
      </c>
      <c r="C2323" s="2" t="n">
        <v>7398</v>
      </c>
      <c r="D2323" s="3" t="inlineStr">
        <is>
          <t>Всё нормально</t>
        </is>
      </c>
      <c r="E2323" s="2" t="n">
        <v>1988</v>
      </c>
      <c r="F2323" s="2" t="inlineStr">
        <is>
          <t>телефильм</t>
        </is>
      </c>
      <c r="G2323" s="2" t="inlineStr">
        <is>
          <t>Рижская киностудия</t>
        </is>
      </c>
      <c r="H2323" s="2" t="n">
        <v>210</v>
      </c>
      <c r="I2323" s="2" t="inlineStr"/>
      <c r="J2323" s="2" t="inlineStr"/>
      <c r="K2323" s="3" t="inlineStr">
        <is>
          <t>Она, на удивление своей мамы, избрана комсоргом. Вопрос оживления комсомольской жизни становится главным для юной, принципиальной и энергичной особы в то время, когда ее мать переживает трудную и чистую любовь.</t>
        </is>
      </c>
      <c r="L2323" s="2" t="inlineStr">
        <is>
          <t>Кино_СССР сводный каталог.xlsx: список телефильмов</t>
        </is>
      </c>
      <c r="M2323" s="2">
        <f>HYPERLINK("https://ru.wikipedia.org/w/index.php?search=%D0%92%D1%81%D1%91%20%D0%BD%D0%BE%D1%80%D0%BC%D0%B0%D0%BB%D1%8C%D0%BD%D0%BE%201988%20%D1%84%D0%B8%D0%BB%D1%8C%D0%BC","искать")</f>
        <v/>
      </c>
      <c r="N2323" s="3" t="n"/>
      <c r="O2323" s="2" t="n"/>
    </row>
    <row r="2324">
      <c r="A2324" s="2" t="n">
        <v>2323</v>
      </c>
      <c r="B2324" s="2" t="inlineStr">
        <is>
          <t>короткая</t>
        </is>
      </c>
      <c r="C2324" s="2" t="n">
        <v>7503</v>
      </c>
      <c r="D2324" s="3" t="inlineStr">
        <is>
          <t>День первый, день последний</t>
        </is>
      </c>
      <c r="E2324" s="2" t="n">
        <v>1978</v>
      </c>
      <c r="F2324" s="2" t="inlineStr">
        <is>
          <t>телефильм</t>
        </is>
      </c>
      <c r="G2324" s="2" t="n"/>
      <c r="H2324" s="2" t="n">
        <v>210</v>
      </c>
      <c r="I2324" s="2" t="inlineStr"/>
      <c r="J2324" s="2" t="inlineStr"/>
      <c r="K2324" s="3" t="inlineStr">
        <is>
          <t>Телефильм. Во время съемок фильма в Таллине кинооператор Андрей встретил и полюбил молодую женщину Рээт, ответившую ему взаимностью. Но Рээт замужем, у нее дочь. Чтобы сохранить семью, она расстается с Андреем.</t>
        </is>
      </c>
      <c r="L2324" s="2" t="inlineStr">
        <is>
          <t>Кино_СССР сводный каталог.xlsx: список телефильмов</t>
        </is>
      </c>
      <c r="M2324" s="2">
        <f>HYPERLINK("https://ru.wikipedia.org/w/index.php?search=%D0%94%D0%B5%D0%BD%D1%8C%20%D0%BF%D0%B5%D1%80%D0%B2%D1%8B%D0%B9%2C%20%D0%B4%D0%B5%D0%BD%D1%8C%20%D0%BF%D0%BE%D1%81%D0%BB%D0%B5%D0%B4%D0%BD%D0%B8%D0%B9%201978%20%D1%84%D0%B8%D0%BB%D1%8C%D0%BC","искать")</f>
        <v/>
      </c>
      <c r="N2324" s="3" t="n"/>
      <c r="O2324" s="2" t="n"/>
    </row>
    <row r="2325">
      <c r="A2325" s="2" t="n">
        <v>2324</v>
      </c>
      <c r="B2325" s="2" t="inlineStr">
        <is>
          <t>короткая</t>
        </is>
      </c>
      <c r="C2325" s="2" t="n">
        <v>7796</v>
      </c>
      <c r="D2325" s="3" t="inlineStr">
        <is>
          <t>Лети, журавлик</t>
        </is>
      </c>
      <c r="E2325" s="2" t="n">
        <v>1985</v>
      </c>
      <c r="F2325" s="2" t="inlineStr">
        <is>
          <t>телефильм</t>
        </is>
      </c>
      <c r="G2325" s="2" t="n"/>
      <c r="H2325" s="2" t="n">
        <v>210</v>
      </c>
      <c r="I2325" s="2" t="inlineStr"/>
      <c r="J2325" s="2" t="inlineStr"/>
      <c r="K2325" s="3" t="inlineStr">
        <is>
          <t>Телефильм. Старый егерь знакомит своего девятилетнего внука Туяка с окружающей природой. Мальчик собирает книги, посвященные жизни животных. А однажды, вместе с дедушкой они выходили отставшего от стаи журавля.</t>
        </is>
      </c>
      <c r="L2325" s="2" t="inlineStr">
        <is>
          <t>Кино_СССР сводный каталог.xlsx: список телефильмов</t>
        </is>
      </c>
      <c r="M2325" s="2">
        <f>HYPERLINK("https://ru.wikipedia.org/w/index.php?search=%D0%9B%D0%B5%D1%82%D0%B8%2C%20%D0%B6%D1%83%D1%80%D0%B0%D0%B2%D0%BB%D0%B8%D0%BA%201985%20%D1%84%D0%B8%D0%BB%D1%8C%D0%BC","искать")</f>
        <v/>
      </c>
      <c r="N2325" s="3" t="n"/>
      <c r="O2325" s="2" t="n"/>
    </row>
    <row r="2326">
      <c r="A2326" s="2" t="n">
        <v>2325</v>
      </c>
      <c r="B2326" s="2" t="inlineStr">
        <is>
          <t>короткая</t>
        </is>
      </c>
      <c r="C2326" s="2" t="n">
        <v>8005</v>
      </c>
      <c r="D2326" s="3" t="inlineStr">
        <is>
          <t>Новые приключения Акмаля</t>
        </is>
      </c>
      <c r="E2326" s="2" t="n">
        <v>1983</v>
      </c>
      <c r="F2326" s="2" t="inlineStr">
        <is>
          <t>телефильм</t>
        </is>
      </c>
      <c r="G2326" s="2" t="n"/>
      <c r="H2326" s="2" t="n">
        <v>210</v>
      </c>
      <c r="I2326" s="2" t="inlineStr"/>
      <c r="J2326" s="2" t="inlineStr"/>
      <c r="K2326" s="3" t="inlineStr">
        <is>
          <t>Телефильм. Герои ранее созданного телефильма "Акмаль, Дракон и Принцесса" - мальчик Акмаль, его подружка Гузаль и милиционер попадают в сказку где побеждают коварного и жестокого хана, отобравшего у людей воду.</t>
        </is>
      </c>
      <c r="L2326" s="2" t="inlineStr">
        <is>
          <t>Кино_СССР сводный каталог.xlsx: список телефильмов</t>
        </is>
      </c>
      <c r="M2326" s="2">
        <f>HYPERLINK("https://ru.wikipedia.org/w/index.php?search=%D0%9D%D0%BE%D0%B2%D1%8B%D0%B5%20%D0%BF%D1%80%D0%B8%D0%BA%D0%BB%D1%8E%D1%87%D0%B5%D0%BD%D0%B8%D1%8F%20%D0%90%D0%BA%D0%BC%D0%B0%D0%BB%D1%8F%201983%20%D1%84%D0%B8%D0%BB%D1%8C%D0%BC","искать")</f>
        <v/>
      </c>
      <c r="N2326" s="3" t="n"/>
      <c r="O2326" s="2" t="n"/>
    </row>
    <row r="2327">
      <c r="A2327" s="2" t="n">
        <v>2326</v>
      </c>
      <c r="B2327" s="2" t="inlineStr">
        <is>
          <t>короткая</t>
        </is>
      </c>
      <c r="C2327" s="2" t="n">
        <v>8026</v>
      </c>
      <c r="D2327" s="3" t="inlineStr">
        <is>
          <t>Обыкновенная слава</t>
        </is>
      </c>
      <c r="E2327" s="2" t="n">
        <v>1980</v>
      </c>
      <c r="F2327" s="2" t="inlineStr">
        <is>
          <t>телефильм</t>
        </is>
      </c>
      <c r="G2327" s="2" t="n"/>
      <c r="H2327" s="2" t="n">
        <v>210</v>
      </c>
      <c r="I2327" s="2" t="inlineStr"/>
      <c r="J2327" s="2" t="inlineStr"/>
      <c r="K2327" s="3" t="inlineStr">
        <is>
          <t>Телефильм о забавном перипетиях  троицы Галянали, Гамзы  и Хамзы. Галянали хочет жениться на Гамзе из-за её имущества и сада. Хамза - бывшая девушка Гамзы. В результате Гамза женится на Хамзе, а не на Галянали.</t>
        </is>
      </c>
      <c r="L2327" s="2" t="inlineStr">
        <is>
          <t>Кино_СССР сводный каталог.xlsx: список телефильмов</t>
        </is>
      </c>
      <c r="M2327" s="2">
        <f>HYPERLINK("https://ru.wikipedia.org/w/index.php?search=%D0%9E%D0%B1%D1%8B%D0%BA%D0%BD%D0%BE%D0%B2%D0%B5%D0%BD%D0%BD%D0%B0%D1%8F%20%D1%81%D0%BB%D0%B0%D0%B2%D0%B0%201980%20%D1%84%D0%B8%D0%BB%D1%8C%D0%BC","искать")</f>
        <v/>
      </c>
      <c r="N2327" s="3" t="n"/>
      <c r="O2327" s="2" t="n"/>
    </row>
    <row r="2328">
      <c r="A2328" s="2" t="n">
        <v>2327</v>
      </c>
      <c r="B2328" s="2" t="inlineStr">
        <is>
          <t>короткая</t>
        </is>
      </c>
      <c r="C2328" s="2" t="n">
        <v>8445</v>
      </c>
      <c r="D2328" s="3" t="inlineStr">
        <is>
          <t>Твёрдая порода</t>
        </is>
      </c>
      <c r="E2328" s="2" t="n">
        <v>1974</v>
      </c>
      <c r="F2328" s="2" t="inlineStr">
        <is>
          <t>телефильм</t>
        </is>
      </c>
      <c r="G2328" s="2" t="n"/>
      <c r="H2328" s="2" t="n">
        <v>210</v>
      </c>
      <c r="I2328" s="2" t="inlineStr"/>
      <c r="J2328" s="2" t="inlineStr"/>
      <c r="K2328" s="3" t="inlineStr">
        <is>
          <t>Կարծր ապար По роману А.Секоян “Если бы Воротан заговорил”. О людях, приехавших строить Воротанскую ГЭС и водохранилище. В съемках принимали участие рабочие-строители Толорского участка Воротанского каскада ГЭС.</t>
        </is>
      </c>
      <c r="L2328" s="2" t="inlineStr">
        <is>
          <t>Кино_СССР сводный каталог.xlsx: список телефильмов</t>
        </is>
      </c>
      <c r="M2328" s="2">
        <f>HYPERLINK("https://ru.wikipedia.org/w/index.php?search=%D0%A2%D0%B2%D1%91%D1%80%D0%B4%D0%B0%D1%8F%20%D0%BF%D0%BE%D1%80%D0%BE%D0%B4%D0%B0%201974%20%D1%84%D0%B8%D0%BB%D1%8C%D0%BC","искать")</f>
        <v/>
      </c>
      <c r="N2328" s="3" t="n"/>
      <c r="O2328" s="2" t="n"/>
    </row>
    <row r="2329">
      <c r="A2329" s="2" t="n">
        <v>2328</v>
      </c>
      <c r="B2329" s="2" t="inlineStr">
        <is>
          <t>короткая</t>
        </is>
      </c>
      <c r="C2329" s="2" t="n">
        <v>10375</v>
      </c>
      <c r="D2329" s="3" t="inlineStr">
        <is>
          <t>Улица Валентинова</t>
        </is>
      </c>
      <c r="E2329" s="2" t="n">
        <v>1970</v>
      </c>
      <c r="F2329" s="2" t="inlineStr">
        <is>
          <t>фильм-спектакль</t>
        </is>
      </c>
      <c r="G2329" s="2" t="inlineStr">
        <is>
          <t>Центральное телевидение</t>
        </is>
      </c>
      <c r="H2329" s="2" t="n">
        <v>210</v>
      </c>
      <c r="I2329" s="2" t="inlineStr"/>
      <c r="J2329" s="2" t="inlineStr"/>
      <c r="K2329" s="3" t="inlineStr">
        <is>
          <t>Действие происходит в предреволюционные годы и в первые дни после Октябрьской революции.
Главная героиня - девушка-курсистка становится соратником большевика, впоследствии погибшего на фронте гражданской войны.</t>
        </is>
      </c>
      <c r="L2329" s="2" t="inlineStr">
        <is>
          <t>https://www.kino-teatr.ru/teatr/movie/93054/annot/</t>
        </is>
      </c>
      <c r="M2329" s="2">
        <f>HYPERLINK("https://ru.wikipedia.org/w/index.php?search=%D0%A3%D0%BB%D0%B8%D1%86%D0%B0%20%D0%92%D0%B0%D0%BB%D0%B5%D0%BD%D1%82%D0%B8%D0%BD%D0%BE%D0%B2%D0%B0%201970%20%D1%84%D0%B8%D0%BB%D1%8C%D0%BC","искать")</f>
        <v/>
      </c>
      <c r="N2329" s="3" t="n"/>
      <c r="O2329" s="2" t="n"/>
    </row>
    <row r="2330">
      <c r="A2330" s="2" t="n">
        <v>2329</v>
      </c>
      <c r="B2330" s="2" t="inlineStr">
        <is>
          <t>короткая</t>
        </is>
      </c>
      <c r="C2330" s="2" t="n">
        <v>11353</v>
      </c>
      <c r="D2330" s="3" t="inlineStr">
        <is>
          <t>Алеко</t>
        </is>
      </c>
      <c r="E2330" s="2" t="n">
        <v>1986</v>
      </c>
      <c r="F2330" s="2" t="inlineStr">
        <is>
          <t>фильм-опера/балет</t>
        </is>
      </c>
      <c r="G2330" s="2" t="inlineStr">
        <is>
          <t>Лентелефильм</t>
        </is>
      </c>
      <c r="H2330" s="2" t="n">
        <v>210</v>
      </c>
      <c r="I2330" s="2" t="inlineStr"/>
      <c r="J2330" s="2" t="inlineStr"/>
      <c r="K2330" s="3" t="inlineStr">
        <is>
          <t>Фильм-опера по одноимённому произведению Сергея Рахманинова, созданному по поэме А. С. Пушкина «Цыганы». Алеко, поселившийся в цыганском таборе, ревнует Земфиру к молодому цыгану. Её измена приводит к трагедии.</t>
        </is>
      </c>
      <c r="L2330" s="2" t="inlineStr">
        <is>
          <t>Кино_СССР телефильмы и пропуски включить в базу.xlsx</t>
        </is>
      </c>
      <c r="M2330" s="2">
        <f>HYPERLINK("https://ru.wikipedia.org/w/index.php?search=%D0%90%D0%BB%D0%B5%D0%BA%D0%BE%201986%20%D1%84%D0%B8%D0%BB%D1%8C%D0%BC","искать")</f>
        <v/>
      </c>
      <c r="N2330" s="3" t="n"/>
      <c r="O2330" s="2" t="n"/>
    </row>
    <row r="2331">
      <c r="A2331" s="2" t="n">
        <v>2330</v>
      </c>
      <c r="B2331" s="2" t="inlineStr">
        <is>
          <t>короткая</t>
        </is>
      </c>
      <c r="C2331" s="2" t="n">
        <v>8490</v>
      </c>
      <c r="D2331" s="3" t="inlineStr">
        <is>
          <t>Туфли с золотыми пряжками</t>
        </is>
      </c>
      <c r="E2331" s="2" t="n">
        <v>1976</v>
      </c>
      <c r="F2331" s="2" t="inlineStr">
        <is>
          <t>телефильм</t>
        </is>
      </c>
      <c r="G2331" s="2" t="inlineStr">
        <is>
          <t>Одесская к/с</t>
        </is>
      </c>
      <c r="H2331" s="2" t="n">
        <v>211</v>
      </c>
      <c r="I2331" s="2" t="inlineStr"/>
      <c r="J2331" s="2" t="inlineStr"/>
      <c r="K2331" s="3" t="inlineStr">
        <is>
          <t>Музыкальный телефильм по мотивам русских народных сказок. У Царя-батюшки пропали туфли с золотыми пряжками. Кто сможет разыскать пропажу? Заморские сыщики, разбойники или Иванушка, влюбленный в Царевну Марьюшку?</t>
        </is>
      </c>
      <c r="L2331" s="2" t="inlineStr">
        <is>
          <t>Кино_СССР сводный каталог.xlsx: список телефильмов</t>
        </is>
      </c>
      <c r="M2331" s="2">
        <f>HYPERLINK("https://ru.wikipedia.org/w/index.php?search=%D0%A2%D1%83%D1%84%D0%BB%D0%B8%20%D1%81%20%D0%B7%D0%BE%D0%BB%D0%BE%D1%82%D1%8B%D0%BC%D0%B8%20%D0%BF%D1%80%D1%8F%D0%B6%D0%BA%D0%B0%D0%BC%D0%B8%201976%20%D1%84%D0%B8%D0%BB%D1%8C%D0%BC","искать")</f>
        <v/>
      </c>
      <c r="N2331" s="3" t="n"/>
      <c r="O2331" s="2" t="n"/>
    </row>
    <row r="2332">
      <c r="A2332" s="2" t="n">
        <v>2331</v>
      </c>
      <c r="B2332" s="2" t="inlineStr">
        <is>
          <t>короткая</t>
        </is>
      </c>
      <c r="C2332" s="2" t="n">
        <v>8669</v>
      </c>
      <c r="D2332" s="3" t="inlineStr">
        <is>
          <t>Всгорю в огне очищения</t>
        </is>
      </c>
      <c r="E2332" s="2" t="n">
        <v>1991</v>
      </c>
      <c r="F2332" s="2" t="inlineStr">
        <is>
          <t>кинофильм</t>
        </is>
      </c>
      <c r="G2332" s="2" t="n"/>
      <c r="H2332" s="2" t="n">
        <v>211</v>
      </c>
      <c r="I2332" s="2" t="inlineStr"/>
      <c r="J2332" s="2" t="inlineStr"/>
      <c r="K2332" s="3" t="inlineStr">
        <is>
          <t>Повествует о писателе утратившем вдохновение писать, после того, как он стал заниматься политикой и только после нескольких этапов внутреннего и морального очищения он находит в себе силы вновь взяться за перо..</t>
        </is>
      </c>
      <c r="L2332" s="2" t="inlineStr">
        <is>
          <t>Кино_СССР сводный каталог.xlsx: список фильмов (доп.)</t>
        </is>
      </c>
      <c r="M2332" s="2">
        <f>HYPERLINK("https://ru.wikipedia.org/w/index.php?search=%D0%92%D1%81%D0%B3%D0%BE%D1%80%D1%8E%20%D0%B2%20%D0%BE%D0%B3%D0%BD%D0%B5%20%D0%BE%D1%87%D0%B8%D1%89%D0%B5%D0%BD%D0%B8%D1%8F%201991%20%D1%84%D0%B8%D0%BB%D1%8C%D0%BC","искать")</f>
        <v/>
      </c>
      <c r="N2332" s="3" t="n"/>
      <c r="O2332" s="2" t="n"/>
    </row>
    <row r="2333">
      <c r="A2333" s="2" t="n">
        <v>2332</v>
      </c>
      <c r="B2333" s="2" t="inlineStr">
        <is>
          <t>короткая</t>
        </is>
      </c>
      <c r="C2333" s="2" t="n">
        <v>8986</v>
      </c>
      <c r="D2333" s="3" t="inlineStr">
        <is>
          <t>Пропал друг</t>
        </is>
      </c>
      <c r="E2333" s="2" t="n">
        <v>1990</v>
      </c>
      <c r="F2333" s="2" t="inlineStr">
        <is>
          <t>кинофильм</t>
        </is>
      </c>
      <c r="G2333" s="2" t="n"/>
      <c r="H2333" s="2" t="n">
        <v>211</v>
      </c>
      <c r="I2333" s="2" t="inlineStr"/>
      <c r="J2333" s="2" t="inlineStr"/>
      <c r="K2333" s="3" t="inlineStr">
        <is>
          <t>Мама двенадцатилетней Нины возвращается из поездки и узнает, что дочь в больнице. Причина шокового состояния девочки — пропажа любимого пса. На пути к своему дому собаке предстоят многие испытания и приключения.</t>
        </is>
      </c>
      <c r="L2333" s="2" t="inlineStr">
        <is>
          <t>Кино_СССР сводный каталог.xlsx: список фильмов (доп.)</t>
        </is>
      </c>
      <c r="M2333" s="2">
        <f>HYPERLINK("https://ru.wikipedia.org/w/index.php?search=%D0%9F%D1%80%D0%BE%D0%BF%D0%B0%D0%BB%20%D0%B4%D1%80%D1%83%D0%B3%201990%20%D1%84%D0%B8%D0%BB%D1%8C%D0%BC","искать")</f>
        <v/>
      </c>
      <c r="N2333" s="3" t="n"/>
      <c r="O2333" s="2" t="n"/>
    </row>
    <row r="2334">
      <c r="A2334" s="2" t="n">
        <v>2333</v>
      </c>
      <c r="B2334" s="2" t="inlineStr">
        <is>
          <t>короткая</t>
        </is>
      </c>
      <c r="C2334" s="2" t="n">
        <v>9603</v>
      </c>
      <c r="D2334" s="3" t="inlineStr">
        <is>
          <t>Прощание за чертой</t>
        </is>
      </c>
      <c r="E2334" s="2" t="n">
        <v>1981</v>
      </c>
      <c r="F2334" s="2" t="inlineStr">
        <is>
          <t>кинофильм</t>
        </is>
      </c>
      <c r="G2334" s="2" t="n"/>
      <c r="H2334" s="2" t="n">
        <v>211</v>
      </c>
      <c r="I2334" s="2" t="inlineStr"/>
      <c r="J2334" s="2" t="inlineStr"/>
      <c r="K2334" s="3" t="inlineStr">
        <is>
          <t>Հրաժեշտ սահմանագծից անդին Молодая девушка, студентка университета, остро переживает фальшь и ханжество, лицемерие и бездуховность. Она ищет опору и ответы на мучающие ее вопросы у мужчин, с которыми встречается.</t>
        </is>
      </c>
      <c r="L2334" s="2" t="inlineStr">
        <is>
          <t>Кино_СССР сводный каталог.xlsx: список фильмов (доп.)</t>
        </is>
      </c>
      <c r="M2334" s="2">
        <f>HYPERLINK("https://ru.wikipedia.org/w/index.php?search=%D0%9F%D1%80%D0%BE%D1%89%D0%B0%D0%BD%D0%B8%D0%B5%20%D0%B7%D0%B0%20%D1%87%D0%B5%D1%80%D1%82%D0%BE%D0%B9%201981%20%D1%84%D0%B8%D0%BB%D1%8C%D0%BC","искать")</f>
        <v/>
      </c>
      <c r="N2334" s="3" t="n"/>
      <c r="O2334" s="2" t="n"/>
    </row>
    <row r="2335">
      <c r="A2335" s="2" t="n">
        <v>2334</v>
      </c>
      <c r="B2335" s="2" t="inlineStr">
        <is>
          <t>короткая</t>
        </is>
      </c>
      <c r="C2335" s="2" t="n">
        <v>7403</v>
      </c>
      <c r="D2335" s="3" t="inlineStr">
        <is>
          <t>Всмотритесь в это лицо</t>
        </is>
      </c>
      <c r="E2335" s="2" t="n">
        <v>1972</v>
      </c>
      <c r="F2335" s="2" t="inlineStr">
        <is>
          <t>телефильм</t>
        </is>
      </c>
      <c r="G2335" s="2" t="n"/>
      <c r="H2335" s="2" t="n">
        <v>212</v>
      </c>
      <c r="I2335" s="2" t="inlineStr"/>
      <c r="J2335" s="2" t="inlineStr"/>
      <c r="K2335" s="3" t="inlineStr">
        <is>
          <t>Школьники Никита и Ромка мечтают совершить героический поступок. Однажды в газете они увидели фотографию "преступника" и лаконичное "сообщение" о совершенном им "преступлении". Ребята отправляются на его розыски.</t>
        </is>
      </c>
      <c r="L2335" s="2" t="inlineStr">
        <is>
          <t>Кино_СССР сводный каталог.xlsx: список телефильмов</t>
        </is>
      </c>
      <c r="M2335" s="2">
        <f>HYPERLINK("https://ru.wikipedia.org/w/index.php?search=%D0%92%D1%81%D0%BC%D0%BE%D1%82%D1%80%D0%B8%D1%82%D0%B5%D1%81%D1%8C%20%D0%B2%20%D1%8D%D1%82%D0%BE%20%D0%BB%D0%B8%D1%86%D0%BE%201972%20%D1%84%D0%B8%D0%BB%D1%8C%D0%BC","искать")</f>
        <v/>
      </c>
      <c r="N2335" s="3" t="n"/>
      <c r="O2335" s="2" t="n"/>
    </row>
    <row r="2336">
      <c r="A2336" s="2" t="n">
        <v>2335</v>
      </c>
      <c r="B2336" s="2" t="inlineStr">
        <is>
          <t>короткая</t>
        </is>
      </c>
      <c r="C2336" s="2" t="n">
        <v>7786</v>
      </c>
      <c r="D2336" s="3" t="inlineStr">
        <is>
          <t>Лада из страны берендеев</t>
        </is>
      </c>
      <c r="E2336" s="2" t="n">
        <v>1971</v>
      </c>
      <c r="F2336" s="2" t="inlineStr">
        <is>
          <t>телефильм</t>
        </is>
      </c>
      <c r="G2336" s="2" t="n"/>
      <c r="H2336" s="2" t="n">
        <v>212</v>
      </c>
      <c r="I2336" s="2" t="inlineStr"/>
      <c r="J2336" s="2" t="inlineStr"/>
      <c r="K2336" s="3" t="inlineStr">
        <is>
          <t>Телефильм по мотивам русских народных сказок. Простая девушка Лада попадает в королевство Магнума IV, где проводится конкурс певиц, победа в котором заранее обеспечена "одаренной" дочери короля, принцессе Моггот.</t>
        </is>
      </c>
      <c r="L2336" s="2" t="inlineStr">
        <is>
          <t>Кино_СССР сводный каталог.xlsx: список телефильмов</t>
        </is>
      </c>
      <c r="M2336" s="2">
        <f>HYPERLINK("https://ru.wikipedia.org/w/index.php?search=%D0%9B%D0%B0%D0%B4%D0%B0%20%D0%B8%D0%B7%20%D1%81%D1%82%D1%80%D0%B0%D0%BD%D1%8B%20%D0%B1%D0%B5%D1%80%D0%B5%D0%BD%D0%B4%D0%B5%D0%B5%D0%B2%201971%20%D1%84%D0%B8%D0%BB%D1%8C%D0%BC","искать")</f>
        <v/>
      </c>
      <c r="N2336" s="3" t="n"/>
      <c r="O2336" s="2" t="n"/>
    </row>
    <row r="2337">
      <c r="A2337" s="2" t="n">
        <v>2336</v>
      </c>
      <c r="B2337" s="2" t="inlineStr">
        <is>
          <t>короткая</t>
        </is>
      </c>
      <c r="C2337" s="2" t="n">
        <v>7864</v>
      </c>
      <c r="D2337" s="3" t="inlineStr">
        <is>
          <t>Мелочи жизни</t>
        </is>
      </c>
      <c r="E2337" s="2" t="n">
        <v>1980</v>
      </c>
      <c r="F2337" s="2" t="inlineStr">
        <is>
          <t>телефильм</t>
        </is>
      </c>
      <c r="G2337" s="2" t="n"/>
      <c r="H2337" s="2" t="n">
        <v>212</v>
      </c>
      <c r="I2337" s="2" t="inlineStr"/>
      <c r="J2337" s="2" t="inlineStr"/>
      <c r="K2337" s="3" t="inlineStr">
        <is>
          <t>В телефильме все происходит в течение одного дня. Семья накануне развода. Надо подать заявление в ЗАГС, посмотреть варианты обмена, на даче — катаклизм: разлилась река. Короче, мелочи жизни, которая продолжается.</t>
        </is>
      </c>
      <c r="L2337" s="2" t="inlineStr">
        <is>
          <t>Кино_СССР сводный каталог.xlsx: список телефильмов</t>
        </is>
      </c>
      <c r="M2337" s="2">
        <f>HYPERLINK("https://ru.wikipedia.org/w/index.php?search=%D0%9C%D0%B5%D0%BB%D0%BE%D1%87%D0%B8%20%D0%B6%D0%B8%D0%B7%D0%BD%D0%B8%201980%20%D1%84%D0%B8%D0%BB%D1%8C%D0%BC","искать")</f>
        <v/>
      </c>
      <c r="N2337" s="3" t="n"/>
      <c r="O2337" s="2" t="n"/>
    </row>
    <row r="2338">
      <c r="A2338" s="2" t="n">
        <v>2337</v>
      </c>
      <c r="B2338" s="2" t="inlineStr">
        <is>
          <t>короткая</t>
        </is>
      </c>
      <c r="C2338" s="2" t="n">
        <v>7987</v>
      </c>
      <c r="D2338" s="3" t="inlineStr">
        <is>
          <t>Неоконченный урок</t>
        </is>
      </c>
      <c r="E2338" s="2" t="n">
        <v>1980</v>
      </c>
      <c r="F2338" s="2" t="inlineStr">
        <is>
          <t>телефильм</t>
        </is>
      </c>
      <c r="G2338" s="2" t="n"/>
      <c r="H2338" s="2" t="n">
        <v>212</v>
      </c>
      <c r="I2338" s="2" t="inlineStr"/>
      <c r="J2338" s="2" t="inlineStr"/>
      <c r="K2338" s="3" t="inlineStr">
        <is>
          <t>Телефильм по мотивам повести Н.Зелеранского "Когда мы взрослеем". Молодой учитель физкультуры не только увлекает учеников своим предметом, но и является для них примером высокой нравственности и принципиальности.</t>
        </is>
      </c>
      <c r="L2338" s="2" t="inlineStr">
        <is>
          <t>Кино_СССР сводный каталог.xlsx: список телефильмов</t>
        </is>
      </c>
      <c r="M2338" s="2">
        <f>HYPERLINK("https://ru.wikipedia.org/w/index.php?search=%D0%9D%D0%B5%D0%BE%D0%BA%D0%BE%D0%BD%D1%87%D0%B5%D0%BD%D0%BD%D1%8B%D0%B9%20%D1%83%D1%80%D0%BE%D0%BA%201980%20%D1%84%D0%B8%D0%BB%D1%8C%D0%BC","искать")</f>
        <v/>
      </c>
      <c r="N2338" s="3" t="n"/>
      <c r="O2338" s="2" t="n"/>
    </row>
    <row r="2339">
      <c r="A2339" s="2" t="n">
        <v>2338</v>
      </c>
      <c r="B2339" s="2" t="inlineStr">
        <is>
          <t>короткая</t>
        </is>
      </c>
      <c r="C2339" s="2" t="n">
        <v>9797</v>
      </c>
      <c r="D2339" s="3" t="inlineStr">
        <is>
          <t>Огненный берег</t>
        </is>
      </c>
      <c r="E2339" s="2" t="n">
        <v>1973</v>
      </c>
      <c r="F2339" s="2" t="inlineStr">
        <is>
          <t>кинофильм</t>
        </is>
      </c>
      <c r="G2339" s="2" t="inlineStr">
        <is>
          <t>Узбекфильм</t>
        </is>
      </c>
      <c r="H2339" s="2" t="n">
        <v>212</v>
      </c>
      <c r="I2339" s="2" t="inlineStr"/>
      <c r="J2339" s="2" t="inlineStr"/>
      <c r="K2339" s="3" t="inlineStr">
        <is>
          <t>В 1924 году, в первый год установления Советской власти в Хиве, на учебу в Москву отправляется группа комсомольцев — через степи и пески, где еще рыщут басмаческие банды и разрозненные группы контрреволюционеров.</t>
        </is>
      </c>
      <c r="L2339" s="2" t="inlineStr">
        <is>
          <t>https://www.kino-teatr.ru/kino/movie/sov/4655/annot/</t>
        </is>
      </c>
      <c r="M2339" s="2">
        <f>HYPERLINK("https://ru.wikipedia.org/w/index.php?search=%D0%9E%D0%B3%D0%BD%D0%B5%D0%BD%D0%BD%D1%8B%D0%B9%20%D0%B1%D0%B5%D1%80%D0%B5%D0%B3%201973%20%D1%84%D0%B8%D0%BB%D1%8C%D0%BC","искать")</f>
        <v/>
      </c>
      <c r="N2339" s="3" t="n"/>
      <c r="O2339" s="2" t="n"/>
    </row>
    <row r="2340">
      <c r="A2340" s="2" t="n">
        <v>2339</v>
      </c>
      <c r="B2340" s="2" t="inlineStr">
        <is>
          <t>короткая</t>
        </is>
      </c>
      <c r="C2340" s="2" t="n">
        <v>9859</v>
      </c>
      <c r="D2340" s="3" t="inlineStr">
        <is>
          <t>Деревенские каникулы</t>
        </is>
      </c>
      <c r="E2340" s="2" t="n">
        <v>1969</v>
      </c>
      <c r="F2340" s="2" t="inlineStr">
        <is>
          <t>телефильм</t>
        </is>
      </c>
      <c r="G2340" s="2" t="inlineStr">
        <is>
          <t>"Беларусьфильм" по заказу: Гостелерадио СССР</t>
        </is>
      </c>
      <c r="H2340" s="2" t="n">
        <v>212</v>
      </c>
      <c r="I2340" s="2" t="inlineStr"/>
      <c r="J2340" s="2" t="inlineStr"/>
      <c r="K2340" s="3" t="inlineStr">
        <is>
          <t>Теленовелла о первой любви.
В деревню к бабушке на каникулы приезжает из Москвы старшеклассница Таня. Она знакомится с местным пареньком Лешкой. Он учит ее ездить на лошади. Между ними возникает взаимное чувство.</t>
        </is>
      </c>
      <c r="L2340" s="2" t="inlineStr">
        <is>
          <t>https://www.kino-teatr.ru/short/movie/sov/15766/annot/</t>
        </is>
      </c>
      <c r="M2340" s="2">
        <f>HYPERLINK("https://ru.wikipedia.org/w/index.php?search=%D0%94%D0%B5%D1%80%D0%B5%D0%B2%D0%B5%D0%BD%D1%81%D0%BA%D0%B8%D0%B5%20%D0%BA%D0%B0%D0%BD%D0%B8%D0%BA%D1%83%D0%BB%D1%8B%201969%20%D1%84%D0%B8%D0%BB%D1%8C%D0%BC","искать")</f>
        <v/>
      </c>
      <c r="N2340" s="3" t="n"/>
      <c r="O2340" s="2" t="n"/>
    </row>
    <row r="2341">
      <c r="A2341" s="2" t="n">
        <v>2340</v>
      </c>
      <c r="B2341" s="2" t="inlineStr">
        <is>
          <t>короткая</t>
        </is>
      </c>
      <c r="C2341" s="2" t="n">
        <v>8706</v>
      </c>
      <c r="D2341" s="3" t="inlineStr">
        <is>
          <t>Долой коммерцию на любовном фронте, или Услуги по взаимности</t>
        </is>
      </c>
      <c r="E2341" s="2" t="n">
        <v>1988</v>
      </c>
      <c r="F2341" s="2" t="inlineStr">
        <is>
          <t>кинофильм</t>
        </is>
      </c>
      <c r="G2341" s="2" t="n"/>
      <c r="H2341" s="2" t="n">
        <v>214</v>
      </c>
      <c r="I2341" s="2" t="inlineStr"/>
      <c r="J2341" s="2" t="inlineStr"/>
      <c r="K2341" s="3" t="inlineStr">
        <is>
          <t>По рассказам Михаила Зощенко. Фильм состоит из двух новелл, объединенных общим сюжетом о том, как корыстная жена "одалживает" мужа. Действие первой новеллы происходит во времена НЭПа, второй - в сегодняшней Москве.</t>
        </is>
      </c>
      <c r="L2341" s="2" t="inlineStr">
        <is>
          <t>Кино_СССР сводный каталог.xlsx: список фильмов (доп.)</t>
        </is>
      </c>
      <c r="M2341" s="2">
        <f>HYPERLINK("https://ru.wikipedia.org/w/index.php?search=%D0%94%D0%BE%D0%BB%D0%BE%D0%B9%20%D0%BA%D0%BE%D0%BC%D0%BC%D0%B5%D1%80%D1%86%D0%B8%D1%8E%20%D0%BD%D0%B0%20%D0%BB%D1%8E%D0%B1%D0%BE%D0%B2%D0%BD%D0%BE%D0%BC%20%D1%84%D1%80%D0%BE%D0%BD%D1%82%D0%B5%2C%20%D0%B8%D0%BB%D0%B8%20%D0%A3%D1%81%D0%BB%D1%83%D0%B3%D0%B8%20%D0%BF%D0%BE%20%D0%B2%D0%B7%D0%B0%D0%B8%D0%BC%D0%BD%D0%BE%D1%81%D1%82%D0%B8%201988%20%D1%84%D0%B8%D0%BB%D1%8C%D0%BC","искать")</f>
        <v/>
      </c>
      <c r="N2341" s="3" t="n"/>
      <c r="O2341" s="2" t="n"/>
    </row>
    <row r="2342">
      <c r="A2342" s="2" t="n">
        <v>2341</v>
      </c>
      <c r="B2342" s="2" t="inlineStr">
        <is>
          <t>короткая</t>
        </is>
      </c>
      <c r="C2342" s="2" t="n">
        <v>8925</v>
      </c>
      <c r="D2342" s="3" t="inlineStr">
        <is>
          <t>Первый шторм</t>
        </is>
      </c>
      <c r="E2342" s="2" t="n">
        <v>1972</v>
      </c>
      <c r="F2342" s="2" t="inlineStr">
        <is>
          <t>кинофильм</t>
        </is>
      </c>
      <c r="G2342" s="2" t="n"/>
      <c r="H2342" s="2" t="n">
        <v>214</v>
      </c>
      <c r="I2342" s="2" t="inlineStr"/>
      <c r="J2342" s="2" t="inlineStr"/>
      <c r="K2342" s="3" t="inlineStr">
        <is>
          <t>О пионерах-артековцах, отправившихся по следам героического подвига советских моряков у берегов Крыма в годы Великой Отечественной войны. Им удается обнаружить место гибели одного из кораблей Черноморской флотилии.</t>
        </is>
      </c>
      <c r="L2342" s="2" t="inlineStr">
        <is>
          <t>Кино_СССР сводный каталог.xlsx: список фильмов (доп.)</t>
        </is>
      </c>
      <c r="M2342" s="2">
        <f>HYPERLINK("https://ru.wikipedia.org/w/index.php?search=%D0%9F%D0%B5%D1%80%D0%B2%D1%8B%D0%B9%20%D1%88%D1%82%D0%BE%D1%80%D0%BC%201972%20%D1%84%D0%B8%D0%BB%D1%8C%D0%BC","искать")</f>
        <v/>
      </c>
      <c r="N2342" s="3" t="n"/>
      <c r="O2342" s="2" t="n"/>
    </row>
    <row r="2343">
      <c r="A2343" s="2" t="n">
        <v>2342</v>
      </c>
      <c r="B2343" s="2" t="inlineStr">
        <is>
          <t>короткая</t>
        </is>
      </c>
      <c r="C2343" s="2" t="n">
        <v>9191</v>
      </c>
      <c r="D2343" s="3" t="inlineStr">
        <is>
          <t>Я тот, кто есть...</t>
        </is>
      </c>
      <c r="E2343" s="2" t="n">
        <v>1990</v>
      </c>
      <c r="F2343" s="2" t="inlineStr">
        <is>
          <t>кинофильм</t>
        </is>
      </c>
      <c r="G2343" s="2" t="n"/>
      <c r="H2343" s="2" t="n">
        <v>214</v>
      </c>
      <c r="I2343" s="2" t="inlineStr"/>
      <c r="J2343" s="2" t="inlineStr"/>
      <c r="K2343" s="3" t="inlineStr">
        <is>
          <t>По мотивам романа Николая Хвылевого «Я — Романтика». Герой странной картины со странной фамилией Главковерх одержим романтической идеей свободы, ради которой не останавливается даже перед казнью собственной матери.</t>
        </is>
      </c>
      <c r="L2343" s="2" t="inlineStr">
        <is>
          <t>Кино_СССР сводный каталог.xlsx: список фильмов (доп.)</t>
        </is>
      </c>
      <c r="M2343" s="2">
        <f>HYPERLINK("https://ru.wikipedia.org/w/index.php?search=%D0%AF%20%D1%82%D0%BE%D1%82%2C%20%D0%BA%D1%82%D0%BE%20%D0%B5%D1%81%D1%82%D1%8C...%201990%20%D1%84%D0%B8%D0%BB%D1%8C%D0%BC","искать")</f>
        <v/>
      </c>
      <c r="N2343" s="3" t="n"/>
      <c r="O2343" s="2" t="n"/>
    </row>
    <row r="2344">
      <c r="A2344" s="2" t="n">
        <v>2343</v>
      </c>
      <c r="B2344" s="2" t="inlineStr">
        <is>
          <t>короткая</t>
        </is>
      </c>
      <c r="C2344" s="2" t="n">
        <v>9632</v>
      </c>
      <c r="D2344" s="3" t="inlineStr">
        <is>
          <t>Свидетельница</t>
        </is>
      </c>
      <c r="E2344" s="2" t="n">
        <v>1990</v>
      </c>
      <c r="F2344" s="2" t="inlineStr">
        <is>
          <t>кинофильм</t>
        </is>
      </c>
      <c r="G2344" s="2" t="n"/>
      <c r="H2344" s="2" t="n">
        <v>214</v>
      </c>
      <c r="I2344" s="2" t="inlineStr"/>
      <c r="J2344" s="2" t="inlineStr"/>
      <c r="K2344" s="3" t="inlineStr">
        <is>
          <t>В результате химических выбросов в море в курортном азербайджанском городе гибнут дети. Расследование дела не выявляет истинных виновников постоянных несчастий. Один за другим гибнут и свидетели, и сам следователь.</t>
        </is>
      </c>
      <c r="L2344" s="2" t="inlineStr">
        <is>
          <t>Кино_СССР сводный каталог.xlsx: список фильмов (доп.)</t>
        </is>
      </c>
      <c r="M2344" s="2">
        <f>HYPERLINK("https://ru.wikipedia.org/w/index.php?search=%D0%A1%D0%B2%D0%B8%D0%B4%D0%B5%D1%82%D0%B5%D0%BB%D1%8C%D0%BD%D0%B8%D1%86%D0%B0%201990%20%D1%84%D0%B8%D0%BB%D1%8C%D0%BC","искать")</f>
        <v/>
      </c>
      <c r="N2344" s="3" t="n"/>
      <c r="O2344" s="2" t="n"/>
    </row>
    <row r="2345">
      <c r="A2345" s="2" t="n">
        <v>2344</v>
      </c>
      <c r="B2345" s="2" t="inlineStr">
        <is>
          <t>короткая</t>
        </is>
      </c>
      <c r="C2345" s="2" t="n">
        <v>9802</v>
      </c>
      <c r="D2345" s="3" t="inlineStr">
        <is>
          <t>Чужая жена и муж под кроватью</t>
        </is>
      </c>
      <c r="E2345" s="2" t="n">
        <v>1984</v>
      </c>
      <c r="F2345" s="2" t="inlineStr">
        <is>
          <t>кинофильм</t>
        </is>
      </c>
      <c r="G2345" s="2" t="inlineStr">
        <is>
          <t>ЛЕНФИЛЬМ</t>
        </is>
      </c>
      <c r="H2345" s="2" t="n">
        <v>214</v>
      </c>
      <c r="I2345" s="2" t="inlineStr"/>
      <c r="J2345" s="2" t="inlineStr"/>
      <c r="K2345" s="3" t="inlineStr">
        <is>
          <t>По мотивам ранних рассказов Ф.М.Достоевского.
Ревнивый муж пытается вывести жену на чистую воду. Но плутовка так хитра и изворотлива, что бедный рогоносец вынужден просить у нее прощения за беспочвенные подозрения.</t>
        </is>
      </c>
      <c r="L2345" s="2" t="inlineStr">
        <is>
          <t>https://www.kino-teatr.ru/kino/movie/sov/7938/annot/</t>
        </is>
      </c>
      <c r="M2345" s="2">
        <f>HYPERLINK("https://ru.wikipedia.org/w/index.php?search=%D0%A7%D1%83%D0%B6%D0%B0%D1%8F%20%D0%B6%D0%B5%D0%BD%D0%B0%20%D0%B8%20%D0%BC%D1%83%D0%B6%20%D0%BF%D0%BE%D0%B4%20%D0%BA%D1%80%D0%BE%D0%B2%D0%B0%D1%82%D1%8C%D1%8E%201984%20%D1%84%D0%B8%D0%BB%D1%8C%D0%BC","искать")</f>
        <v/>
      </c>
      <c r="N2345" s="3" t="n"/>
      <c r="O2345" s="2" t="n"/>
    </row>
    <row r="2346">
      <c r="A2346" s="2" t="n">
        <v>2345</v>
      </c>
      <c r="B2346" s="2" t="inlineStr">
        <is>
          <t>короткая</t>
        </is>
      </c>
      <c r="C2346" s="2" t="n">
        <v>10492</v>
      </c>
      <c r="D2346" s="3" t="inlineStr">
        <is>
          <t>Волны над нами</t>
        </is>
      </c>
      <c r="E2346" s="2" t="n">
        <v>1973</v>
      </c>
      <c r="F2346" s="2" t="inlineStr">
        <is>
          <t>фильм-спектакль</t>
        </is>
      </c>
      <c r="G2346" s="2" t="inlineStr">
        <is>
          <t>Театр Советской Армии</t>
        </is>
      </c>
      <c r="H2346" s="2" t="n">
        <v>214</v>
      </c>
      <c r="I2346" s="2" t="inlineStr"/>
      <c r="J2346" s="2" t="inlineStr"/>
      <c r="K2346" s="3" t="inlineStr">
        <is>
          <t>В схватке с нарушителями границы погибает лейтенант Новиков. Примером стойкости и мужества становится для всех мать погибшего, которая в эти тяжелые для неё дни провожает второго сына-подводника в длительный поход.</t>
        </is>
      </c>
      <c r="L2346" s="2" t="inlineStr">
        <is>
          <t>https://www.kino-teatr.ru/teatr/movie/101383/annot/</t>
        </is>
      </c>
      <c r="M2346" s="2">
        <f>HYPERLINK("https://ru.wikipedia.org/w/index.php?search=%D0%92%D0%BE%D0%BB%D0%BD%D1%8B%20%D0%BD%D0%B0%D0%B4%20%D0%BD%D0%B0%D0%BC%D0%B8%201973%20%D1%84%D0%B8%D0%BB%D1%8C%D0%BC","искать")</f>
        <v/>
      </c>
      <c r="N2346" s="3" t="n"/>
      <c r="O2346" s="2" t="n"/>
    </row>
    <row r="2347">
      <c r="A2347" s="2" t="n">
        <v>2346</v>
      </c>
      <c r="B2347" s="2" t="inlineStr">
        <is>
          <t>короткая</t>
        </is>
      </c>
      <c r="C2347" s="2" t="n">
        <v>10881</v>
      </c>
      <c r="D2347" s="3" t="inlineStr">
        <is>
          <t>Дядюшкин сон</t>
        </is>
      </c>
      <c r="E2347" s="2" t="n">
        <v>1981</v>
      </c>
      <c r="F2347" s="2" t="inlineStr">
        <is>
          <t>фильм-спектакль</t>
        </is>
      </c>
      <c r="G2347" s="2" t="inlineStr">
        <is>
          <t>Гостелерадио СССР, ТО телефильмов</t>
        </is>
      </c>
      <c r="H2347" s="2" t="n">
        <v>214</v>
      </c>
      <c r="I2347" s="2" t="inlineStr"/>
      <c r="J2347" s="2" t="inlineStr"/>
      <c r="K2347" s="3" t="inlineStr">
        <is>
          <t>Телеспектакль, трагикомедия по одноименной повести Ф.М. Достоевского.
Известная история о том, как используя слабоумие старого князя, "первая дама в Мордасове" Марья Александровна пытается выдать за него свою дочь.</t>
        </is>
      </c>
      <c r="L2347" s="2" t="inlineStr">
        <is>
          <t>https://www.kino-teatr.ru/teatr/movie/2079/annot/</t>
        </is>
      </c>
      <c r="M2347" s="2">
        <f>HYPERLINK("https://ru.wikipedia.org/w/index.php?search=%D0%94%D1%8F%D0%B4%D1%8E%D1%88%D0%BA%D0%B8%D0%BD%20%D1%81%D0%BE%D0%BD%201981%20%D1%84%D0%B8%D0%BB%D1%8C%D0%BC","искать")</f>
        <v/>
      </c>
      <c r="N2347" s="3" t="n"/>
      <c r="O2347" s="2" t="n"/>
    </row>
    <row r="2348">
      <c r="A2348" s="2" t="n">
        <v>2347</v>
      </c>
      <c r="B2348" s="2" t="inlineStr">
        <is>
          <t>короткая</t>
        </is>
      </c>
      <c r="C2348" s="2" t="n">
        <v>7437</v>
      </c>
      <c r="D2348" s="3" t="inlineStr">
        <is>
          <t>Гепард возвращается</t>
        </is>
      </c>
      <c r="E2348" s="2" t="n">
        <v>1985</v>
      </c>
      <c r="F2348" s="2" t="inlineStr">
        <is>
          <t>телефильм</t>
        </is>
      </c>
      <c r="G2348" s="2" t="inlineStr">
        <is>
          <t>"Казахфильм" по заказу Гостелерадио СССР</t>
        </is>
      </c>
      <c r="H2348" s="2" t="n">
        <v>215</v>
      </c>
      <c r="I2348" s="2" t="inlineStr"/>
      <c r="J2348" s="2" t="inlineStr"/>
      <c r="K2348" s="3" t="inlineStr">
        <is>
          <t>Егерь Темирхан находит раненого браконьерами гепарда. Благодаря безграничной любви к животным, терпеливости и настойчивости Темирхана и его внука Али, гепард выживает и возвращается к свободной жизни в родную среду.</t>
        </is>
      </c>
      <c r="L2348" s="2" t="inlineStr">
        <is>
          <t>Кино_СССР сводный каталог.xlsx: список телефильмов</t>
        </is>
      </c>
      <c r="M2348" s="2">
        <f>HYPERLINK("https://ru.wikipedia.org/w/index.php?search=%D0%93%D0%B5%D0%BF%D0%B0%D1%80%D0%B4%20%D0%B2%D0%BE%D0%B7%D0%B2%D1%80%D0%B0%D1%89%D0%B0%D0%B5%D1%82%D1%81%D1%8F%201985%20%D1%84%D0%B8%D0%BB%D1%8C%D0%BC","искать")</f>
        <v/>
      </c>
      <c r="N2348" s="3" t="n"/>
      <c r="O2348" s="2" t="n"/>
    </row>
    <row r="2349">
      <c r="A2349" s="2" t="n">
        <v>2348</v>
      </c>
      <c r="B2349" s="2" t="inlineStr">
        <is>
          <t>короткая</t>
        </is>
      </c>
      <c r="C2349" s="2" t="n">
        <v>7800</v>
      </c>
      <c r="D2349" s="3" t="inlineStr">
        <is>
          <t>Лето было только день</t>
        </is>
      </c>
      <c r="E2349" s="2" t="n">
        <v>1980</v>
      </c>
      <c r="F2349" s="2" t="inlineStr">
        <is>
          <t>телефильм</t>
        </is>
      </c>
      <c r="G2349" s="2" t="n"/>
      <c r="H2349" s="2" t="n">
        <v>215</v>
      </c>
      <c r="I2349" s="2" t="inlineStr"/>
      <c r="J2349" s="2" t="inlineStr"/>
      <c r="K2349" s="3" t="inlineStr">
        <is>
          <t>По мотивам повести Р.Эзеры. Героиня фильма, вопреки желанию матери, после окончания школы вышла замуж за лесника, приняв на себя заботу о его сыне и разделив с мужем тяготы жизни в глухом, но прекрасном лесном крае.</t>
        </is>
      </c>
      <c r="L2349" s="2" t="inlineStr">
        <is>
          <t>Кино_СССР сводный каталог.xlsx: список телефильмов</t>
        </is>
      </c>
      <c r="M2349" s="2">
        <f>HYPERLINK("https://ru.wikipedia.org/w/index.php?search=%D0%9B%D0%B5%D1%82%D0%BE%20%D0%B1%D1%8B%D0%BB%D0%BE%20%D1%82%D0%BE%D0%BB%D1%8C%D0%BA%D0%BE%20%D0%B4%D0%B5%D0%BD%D1%8C%201980%20%D1%84%D0%B8%D0%BB%D1%8C%D0%BC","искать")</f>
        <v/>
      </c>
      <c r="N2349" s="3" t="n"/>
      <c r="O2349" s="2" t="n"/>
    </row>
    <row r="2350">
      <c r="A2350" s="2" t="n">
        <v>2349</v>
      </c>
      <c r="B2350" s="2" t="inlineStr">
        <is>
          <t>короткая</t>
        </is>
      </c>
      <c r="C2350" s="2" t="n">
        <v>9089</v>
      </c>
      <c r="D2350" s="3" t="inlineStr">
        <is>
          <t>Такие симпатичные волки</t>
        </is>
      </c>
      <c r="E2350" s="2" t="n">
        <v>1975</v>
      </c>
      <c r="F2350" s="2" t="inlineStr">
        <is>
          <t>кинофильм</t>
        </is>
      </c>
      <c r="G2350" s="2" t="n"/>
      <c r="H2350" s="2" t="n">
        <v>215</v>
      </c>
      <c r="I2350" s="2" t="inlineStr"/>
      <c r="J2350" s="2" t="inlineStr"/>
      <c r="K2350" s="3" t="inlineStr">
        <is>
          <t>В школьном лесничестве обнаруживают логово, где живёт волчица с тремя волчатами. В колхозе пропадают овцы и в этом обвиняют волчье семейство. Но юные лесники уверены, что "волк", ворующий овец — один из колхозников.</t>
        </is>
      </c>
      <c r="L2350" s="2" t="inlineStr">
        <is>
          <t>Кино_СССР сводный каталог.xlsx: список фильмов (доп.)</t>
        </is>
      </c>
      <c r="M2350" s="2">
        <f>HYPERLINK("https://ru.wikipedia.org/w/index.php?search=%D0%A2%D0%B0%D0%BA%D0%B8%D0%B5%20%D1%81%D0%B8%D0%BC%D0%BF%D0%B0%D1%82%D0%B8%D1%87%D0%BD%D1%8B%D0%B5%20%D0%B2%D0%BE%D0%BB%D0%BA%D0%B8%201975%20%D1%84%D0%B8%D0%BB%D1%8C%D0%BC","искать")</f>
        <v/>
      </c>
      <c r="N2350" s="3" t="n"/>
      <c r="O2350" s="2" t="n"/>
    </row>
    <row r="2351">
      <c r="A2351" s="2" t="n">
        <v>2350</v>
      </c>
      <c r="B2351" s="2" t="inlineStr">
        <is>
          <t>короткая</t>
        </is>
      </c>
      <c r="C2351" s="2" t="n">
        <v>9515</v>
      </c>
      <c r="D2351" s="3" t="inlineStr">
        <is>
          <t>Ночевала тучка золотая</t>
        </is>
      </c>
      <c r="E2351" s="2" t="n">
        <v>1989</v>
      </c>
      <c r="F2351" s="2" t="inlineStr">
        <is>
          <t>кинофильм</t>
        </is>
      </c>
      <c r="G2351" s="2" t="n"/>
      <c r="H2351" s="2" t="n">
        <v>215</v>
      </c>
      <c r="I2351" s="2" t="inlineStr"/>
      <c r="J2351" s="2" t="inlineStr"/>
      <c r="K2351" s="3" t="inlineStr">
        <is>
          <t>Драма по одноимённой повести А. Приставкина. О трагической судьбе двух братьев-сирот, в 1944 вывезенных вместе с другими детдомовцами из подмосковного города на Кавказ, откуда было депортировано чеченское население.</t>
        </is>
      </c>
      <c r="L2351" s="2" t="inlineStr">
        <is>
          <t>Кино_СССР сводный каталог.xlsx: список фильмов (доп.)</t>
        </is>
      </c>
      <c r="M2351" s="2">
        <f>HYPERLINK("https://ru.wikipedia.org/w/index.php?search=%D0%9D%D0%BE%D1%87%D0%B5%D0%B2%D0%B0%D0%BB%D0%B0%20%D1%82%D1%83%D1%87%D0%BA%D0%B0%20%D0%B7%D0%BE%D0%BB%D0%BE%D1%82%D0%B0%D1%8F%201989%20%D1%84%D0%B8%D0%BB%D1%8C%D0%BC","искать")</f>
        <v/>
      </c>
      <c r="N2351" s="3" t="n"/>
      <c r="O2351" s="2" t="n"/>
    </row>
    <row r="2352">
      <c r="A2352" s="2" t="n">
        <v>2351</v>
      </c>
      <c r="B2352" s="2" t="inlineStr">
        <is>
          <t>короткая</t>
        </is>
      </c>
      <c r="C2352" s="2" t="n">
        <v>9521</v>
      </c>
      <c r="D2352" s="3" t="inlineStr">
        <is>
          <t>Одинокий охотник</t>
        </is>
      </c>
      <c r="E2352" s="2" t="n">
        <v>1989</v>
      </c>
      <c r="F2352" s="2" t="inlineStr">
        <is>
          <t>кинофильм</t>
        </is>
      </c>
      <c r="G2352" s="2" t="n"/>
      <c r="H2352" s="2" t="n">
        <v>215</v>
      </c>
      <c r="I2352" s="2" t="inlineStr"/>
      <c r="J2352" s="2" t="inlineStr"/>
      <c r="K2352" s="3" t="inlineStr">
        <is>
          <t>მარტოხელა მონადირე Молодую пару накануне свадьбы постигает несчастье: пьяные хулиганы насилуют девушку на глазах у жениха. Семейные отношения после свадьбы не складываются. Груз беспомощности давит, не дает свободы.</t>
        </is>
      </c>
      <c r="L2352" s="2" t="inlineStr">
        <is>
          <t>Кино_СССР сводный каталог.xlsx: список фильмов (доп.)</t>
        </is>
      </c>
      <c r="M2352" s="2">
        <f>HYPERLINK("https://ru.wikipedia.org/w/index.php?search=%D0%9E%D0%B4%D0%B8%D0%BD%D0%BE%D0%BA%D0%B8%D0%B9%20%D0%BE%D1%85%D0%BE%D1%82%D0%BD%D0%B8%D0%BA%201989%20%D1%84%D0%B8%D0%BB%D1%8C%D0%BC","искать")</f>
        <v/>
      </c>
      <c r="N2352" s="3" t="n"/>
      <c r="O2352" s="2" t="n"/>
    </row>
    <row r="2353">
      <c r="A2353" s="2" t="n">
        <v>2352</v>
      </c>
      <c r="B2353" s="2" t="inlineStr">
        <is>
          <t>короткая</t>
        </is>
      </c>
      <c r="C2353" s="2" t="n">
        <v>9647</v>
      </c>
      <c r="D2353" s="3" t="inlineStr">
        <is>
          <t>Славный малый</t>
        </is>
      </c>
      <c r="E2353" s="2" t="n">
        <v>1942</v>
      </c>
      <c r="F2353" s="2" t="inlineStr">
        <is>
          <t>кинофильм</t>
        </is>
      </c>
      <c r="G2353" s="2" t="n"/>
      <c r="H2353" s="2" t="n">
        <v>215</v>
      </c>
      <c r="I2353" s="2" t="inlineStr"/>
      <c r="J2353" s="2" t="inlineStr"/>
      <c r="K2353" s="3" t="inlineStr">
        <is>
          <t>Музыкальная героическая комедия. По повести Петра Павленко «Мстители». История французского летчика, сбитого фашистами и попавшего в партизанский отряд на территории Новгородской области. Фильм на экраны не выпущен.</t>
        </is>
      </c>
      <c r="L2353" s="2" t="inlineStr">
        <is>
          <t>Кино_СССР сводный каталог.xlsx: список фильмов (доп.)</t>
        </is>
      </c>
      <c r="M2353" s="2">
        <f>HYPERLINK("https://ru.wikipedia.org/w/index.php?search=%D0%A1%D0%BB%D0%B0%D0%B2%D0%BD%D1%8B%D0%B9%20%D0%BC%D0%B0%D0%BB%D1%8B%D0%B9%201942%20%D1%84%D0%B8%D0%BB%D1%8C%D0%BC","искать")</f>
        <v/>
      </c>
      <c r="N2353" s="3" t="n"/>
      <c r="O2353" s="2" t="n"/>
    </row>
    <row r="2354">
      <c r="A2354" s="2" t="n">
        <v>2353</v>
      </c>
      <c r="B2354" s="2" t="inlineStr">
        <is>
          <t>короткая</t>
        </is>
      </c>
      <c r="C2354" s="2" t="n">
        <v>9775</v>
      </c>
      <c r="D2354" s="3" t="inlineStr">
        <is>
          <t>Шутите?</t>
        </is>
      </c>
      <c r="E2354" s="2" t="n">
        <v>1971</v>
      </c>
      <c r="F2354" s="2" t="inlineStr">
        <is>
          <t>кинофильм</t>
        </is>
      </c>
      <c r="G2354" s="2" t="n"/>
      <c r="H2354" s="2" t="n">
        <v>215</v>
      </c>
      <c r="I2354" s="2" t="inlineStr"/>
      <c r="J2354" s="2" t="inlineStr"/>
      <c r="K2354" s="3" t="inlineStr">
        <is>
          <t>Комедийный альманах из трёх новелл: «Иначе мы пропали», «Вандербуль бежит за горизонт» и «Шутите?». Школьники ищут способы сократить уроки, мальчик проверяет свою храбрость, а студенты собирают деревенский фольклор.</t>
        </is>
      </c>
      <c r="L2354" s="2" t="inlineStr">
        <is>
          <t>Кино_СССР сводный каталог.xlsx: список фильмов (доп.)</t>
        </is>
      </c>
      <c r="M2354" s="2">
        <f>HYPERLINK("https://ru.wikipedia.org/w/index.php?search=%D0%A8%D1%83%D1%82%D0%B8%D1%82%D0%B5%3F%201971%20%D1%84%D0%B8%D0%BB%D1%8C%D0%BC","искать")</f>
        <v/>
      </c>
      <c r="N2354" s="3" t="n"/>
      <c r="O2354" s="2" t="n"/>
    </row>
    <row r="2355">
      <c r="A2355" s="2" t="n">
        <v>2354</v>
      </c>
      <c r="B2355" s="2" t="inlineStr">
        <is>
          <t>короткая</t>
        </is>
      </c>
      <c r="C2355" s="2" t="n">
        <v>10575</v>
      </c>
      <c r="D2355" s="3" t="inlineStr">
        <is>
          <t>Обратная связь</t>
        </is>
      </c>
      <c r="E2355" s="2" t="n">
        <v>1974</v>
      </c>
      <c r="F2355" s="2" t="inlineStr">
        <is>
          <t>фильм-спектакль</t>
        </is>
      </c>
      <c r="G2355" s="2" t="inlineStr">
        <is>
          <t>Центральное телевидение СССР</t>
        </is>
      </c>
      <c r="H2355" s="2" t="n">
        <v>215</v>
      </c>
      <c r="I2355" s="2" t="inlineStr"/>
      <c r="J2355" s="2" t="inlineStr"/>
      <c r="K2355" s="3" t="inlineStr">
        <is>
          <t>По одноименной комедии польского драматурга Ежи Юрандота.
Сын профессора руководит джазовым ансамблем и сочиняет песни. Отец не понимает увлечения сына, считая, что песни может сочинять кто угодно, и даже компьютер.</t>
        </is>
      </c>
      <c r="L2355" s="2" t="inlineStr">
        <is>
          <t>https://www.kino-teatr.ru/teatr/movie/102300/annot/</t>
        </is>
      </c>
      <c r="M2355" s="2">
        <f>HYPERLINK("https://ru.wikipedia.org/w/index.php?search=%D0%9E%D0%B1%D1%80%D0%B0%D1%82%D0%BD%D0%B0%D1%8F%20%D1%81%D0%B2%D1%8F%D0%B7%D1%8C%201974%20%D1%84%D0%B8%D0%BB%D1%8C%D0%BC","искать")</f>
        <v/>
      </c>
      <c r="N2355" s="3" t="n"/>
      <c r="O2355" s="2" t="n"/>
    </row>
    <row r="2356">
      <c r="A2356" s="2" t="n">
        <v>2355</v>
      </c>
      <c r="B2356" s="2" t="inlineStr">
        <is>
          <t>короткая</t>
        </is>
      </c>
      <c r="C2356" s="2" t="n">
        <v>11370</v>
      </c>
      <c r="D2356" s="3" t="inlineStr">
        <is>
          <t>Грустить не надо</t>
        </is>
      </c>
      <c r="E2356" s="2" t="n">
        <v>1985</v>
      </c>
      <c r="F2356" s="2" t="inlineStr">
        <is>
          <t>не игровое</t>
        </is>
      </c>
      <c r="G2356" s="2" t="inlineStr">
        <is>
          <t>Лентелефильм</t>
        </is>
      </c>
      <c r="H2356" s="2" t="n">
        <v>215</v>
      </c>
      <c r="I2356" s="2" t="inlineStr"/>
      <c r="J2356" s="2" t="inlineStr"/>
      <c r="K2356" s="3" t="inlineStr">
        <is>
          <t>Фильм-концерт. В парке на пруду плавают лодки. Хороший день. Сквозь зелень деревьев и кустов светит солнце. К летней эстраде спешат люди. На большом транспаранте надпись:”Сегодня в парке звучат мелодии прошлых лет”.</t>
        </is>
      </c>
      <c r="L2356" s="2" t="inlineStr">
        <is>
          <t>Кино_СССР телефильмы и пропуски включить в базу.xlsx</t>
        </is>
      </c>
      <c r="M2356" s="2">
        <f>HYPERLINK("https://ru.wikipedia.org/w/index.php?search=%D0%93%D1%80%D1%83%D1%81%D1%82%D0%B8%D1%82%D1%8C%20%D0%BD%D0%B5%20%D0%BD%D0%B0%D0%B4%D0%BE%201985%20%D1%84%D0%B8%D0%BB%D1%8C%D0%BC","искать")</f>
        <v/>
      </c>
      <c r="N2356" s="3" t="n"/>
      <c r="O2356" s="2" t="n"/>
    </row>
    <row r="2357">
      <c r="A2357" s="2" t="n">
        <v>2356</v>
      </c>
      <c r="B2357" s="2" t="inlineStr">
        <is>
          <t>короткая</t>
        </is>
      </c>
      <c r="C2357" s="2" t="n">
        <v>7451</v>
      </c>
      <c r="D2357" s="3" t="inlineStr">
        <is>
          <t>Горная станция</t>
        </is>
      </c>
      <c r="E2357" s="2" t="n">
        <v>1974</v>
      </c>
      <c r="F2357" s="2" t="inlineStr">
        <is>
          <t>телефильм</t>
        </is>
      </c>
      <c r="G2357" s="2" t="n"/>
      <c r="H2357" s="2" t="n">
        <v>216</v>
      </c>
      <c r="I2357" s="2" t="inlineStr"/>
      <c r="J2357" s="2" t="inlineStr"/>
      <c r="K2357" s="3" t="inlineStr">
        <is>
          <t>Телефильм. Начальник метеорологической станции Павел Строков, проработавший в горах Таджикистана четверть века, заявляет о возможности возникновения разрушительного селя. Но к его предупреждения не принимают всерьез.</t>
        </is>
      </c>
      <c r="L2357" s="2" t="inlineStr">
        <is>
          <t>Кино_СССР сводный каталог.xlsx: список телефильмов</t>
        </is>
      </c>
      <c r="M2357" s="2">
        <f>HYPERLINK("https://ru.wikipedia.org/w/index.php?search=%D0%93%D0%BE%D1%80%D0%BD%D0%B0%D1%8F%20%D1%81%D1%82%D0%B0%D0%BD%D1%86%D0%B8%D1%8F%201974%20%D1%84%D0%B8%D0%BB%D1%8C%D0%BC","искать")</f>
        <v/>
      </c>
      <c r="N2357" s="3" t="n"/>
      <c r="O2357" s="2" t="n"/>
    </row>
    <row r="2358">
      <c r="A2358" s="2" t="n">
        <v>2357</v>
      </c>
      <c r="B2358" s="2" t="inlineStr">
        <is>
          <t>короткая</t>
        </is>
      </c>
      <c r="C2358" s="2" t="n">
        <v>7780</v>
      </c>
      <c r="D2358" s="3" t="inlineStr">
        <is>
          <t>Куда вел след динозавра</t>
        </is>
      </c>
      <c r="E2358" s="2" t="n">
        <v>1987</v>
      </c>
      <c r="F2358" s="2" t="inlineStr">
        <is>
          <t>телефильм</t>
        </is>
      </c>
      <c r="G2358" s="2" t="n"/>
      <c r="H2358" s="2" t="n">
        <v>216</v>
      </c>
      <c r="I2358" s="2" t="inlineStr"/>
      <c r="J2358" s="2" t="inlineStr"/>
      <c r="K2358" s="3" t="inlineStr">
        <is>
          <t>Трое мальчиков и девочка отправились в горы на поиски динозавра. Немало "страшного" встретилось на их пути. В конечном счете загадочные следы привели их к взрослым бездельникам, надеющимся отыскать клад на дне озера.</t>
        </is>
      </c>
      <c r="L2358" s="2" t="inlineStr">
        <is>
          <t>Кино_СССР сводный каталог.xlsx: список телефильмов</t>
        </is>
      </c>
      <c r="M2358" s="2">
        <f>HYPERLINK("https://ru.wikipedia.org/w/index.php?search=%D0%9A%D1%83%D0%B4%D0%B0%20%D0%B2%D0%B5%D0%BB%20%D1%81%D0%BB%D0%B5%D0%B4%20%D0%B4%D0%B8%D0%BD%D0%BE%D0%B7%D0%B0%D0%B2%D1%80%D0%B0%201987%20%D1%84%D0%B8%D0%BB%D1%8C%D0%BC","искать")</f>
        <v/>
      </c>
      <c r="N2358" s="3" t="n"/>
      <c r="O2358" s="2" t="n"/>
    </row>
    <row r="2359">
      <c r="A2359" s="2" t="n">
        <v>2358</v>
      </c>
      <c r="B2359" s="2" t="inlineStr">
        <is>
          <t>короткая</t>
        </is>
      </c>
      <c r="C2359" s="2" t="n">
        <v>8588</v>
      </c>
      <c r="D2359" s="3" t="inlineStr">
        <is>
          <t>Эквилибрист</t>
        </is>
      </c>
      <c r="E2359" s="2" t="n">
        <v>1976</v>
      </c>
      <c r="F2359" s="2" t="inlineStr">
        <is>
          <t>телефильм</t>
        </is>
      </c>
      <c r="G2359" s="2" t="n"/>
      <c r="H2359" s="2" t="n">
        <v>216</v>
      </c>
      <c r="I2359" s="2" t="inlineStr"/>
      <c r="J2359" s="2" t="inlineStr"/>
      <c r="K2359" s="3" t="inlineStr">
        <is>
          <t>Телефильм по мотивам повести А.Аронова «Пассажир без билета». Артист цирка Юрий Осташенко, лишившийся во время Великой Отечественной войны руки, приезжает в любимый город и добивается возвращения к любимой профессии.</t>
        </is>
      </c>
      <c r="L2359" s="2" t="inlineStr">
        <is>
          <t>Кино_СССР сводный каталог.xlsx: список телефильмов</t>
        </is>
      </c>
      <c r="M2359" s="2">
        <f>HYPERLINK("https://ru.wikipedia.org/w/index.php?search=%D0%AD%D0%BA%D0%B2%D0%B8%D0%BB%D0%B8%D0%B1%D1%80%D0%B8%D1%81%D1%82%201976%20%D1%84%D0%B8%D0%BB%D1%8C%D0%BC","искать")</f>
        <v/>
      </c>
      <c r="N2359" s="3" t="n"/>
      <c r="O2359" s="2" t="n"/>
    </row>
    <row r="2360">
      <c r="A2360" s="2" t="n">
        <v>2359</v>
      </c>
      <c r="B2360" s="2" t="inlineStr">
        <is>
          <t>короткая</t>
        </is>
      </c>
      <c r="C2360" s="2" t="n">
        <v>9020</v>
      </c>
      <c r="D2360" s="3" t="inlineStr">
        <is>
          <t>Роковой выстрел</t>
        </is>
      </c>
      <c r="E2360" s="2" t="n">
        <v>1990</v>
      </c>
      <c r="F2360" s="2" t="inlineStr">
        <is>
          <t>кинофильм</t>
        </is>
      </c>
      <c r="G2360" s="2" t="n"/>
      <c r="H2360" s="2" t="n">
        <v>216</v>
      </c>
      <c r="I2360" s="2" t="inlineStr"/>
      <c r="J2360" s="2" t="inlineStr"/>
      <c r="K2360" s="3" t="inlineStr">
        <is>
          <t>საბედისწერო გასროლა Инкассатор Гаиоз похитил государственные деньги. В дело вступает оперативная группа. По дороге на похищенном автомобиле за рулем соучастница Ирма. Она переворачивает машину с похищенными деньгами.</t>
        </is>
      </c>
      <c r="L2360" s="2" t="inlineStr">
        <is>
          <t>Кино_СССР сводный каталог.xlsx: список фильмов (доп.)</t>
        </is>
      </c>
      <c r="M2360" s="2">
        <f>HYPERLINK("https://ru.wikipedia.org/w/index.php?search=%D0%A0%D0%BE%D0%BA%D0%BE%D0%B2%D0%BE%D0%B9%20%D0%B2%D1%8B%D1%81%D1%82%D1%80%D0%B5%D0%BB%201990%20%D1%84%D0%B8%D0%BB%D1%8C%D0%BC","искать")</f>
        <v/>
      </c>
      <c r="N2360" s="3" t="n"/>
      <c r="O2360" s="2" t="n"/>
    </row>
    <row r="2361">
      <c r="A2361" s="2" t="n">
        <v>2360</v>
      </c>
      <c r="B2361" s="2" t="inlineStr">
        <is>
          <t>короткая</t>
        </is>
      </c>
      <c r="C2361" s="2" t="n">
        <v>9201</v>
      </c>
      <c r="D2361" s="3" t="inlineStr">
        <is>
          <t>Азиат</t>
        </is>
      </c>
      <c r="E2361" s="2" t="n">
        <v>1991</v>
      </c>
      <c r="F2361" s="2" t="inlineStr">
        <is>
          <t>кинофильм</t>
        </is>
      </c>
      <c r="G2361" s="2" t="n"/>
      <c r="H2361" s="2" t="n">
        <v>216</v>
      </c>
      <c r="I2361" s="2" t="inlineStr"/>
      <c r="J2361" s="2" t="inlineStr"/>
      <c r="K2361" s="3" t="inlineStr">
        <is>
          <t>Мафия убила родителей, жену и детей Рашида, прошедшего ад афганской войны. Потеряв самое дорогое, чудом оставшийся в живых, Азиат становится заклятым врагом головорезов, контролирующих торговлю оружием и наркотиками.</t>
        </is>
      </c>
      <c r="L2361" s="2" t="inlineStr">
        <is>
          <t>Кино_СССР сводный каталог.xlsx: список фильмов (доп.)</t>
        </is>
      </c>
      <c r="M2361" s="2">
        <f>HYPERLINK("https://ru.wikipedia.org/w/index.php?search=%D0%90%D0%B7%D0%B8%D0%B0%D1%82%201991%20%D1%84%D0%B8%D0%BB%D1%8C%D0%BC","искать")</f>
        <v/>
      </c>
      <c r="N2361" s="3" t="n"/>
      <c r="O2361" s="2" t="n"/>
    </row>
    <row r="2362">
      <c r="A2362" s="2" t="n">
        <v>2361</v>
      </c>
      <c r="B2362" s="2" t="inlineStr">
        <is>
          <t>короткая</t>
        </is>
      </c>
      <c r="C2362" s="2" t="n">
        <v>10748</v>
      </c>
      <c r="D2362" s="3" t="inlineStr">
        <is>
          <t>Истцы и ответчики</t>
        </is>
      </c>
      <c r="E2362" s="2" t="n">
        <v>1978</v>
      </c>
      <c r="F2362" s="2" t="inlineStr">
        <is>
          <t>фильм-спектакль</t>
        </is>
      </c>
      <c r="G2362" s="2" t="inlineStr">
        <is>
          <t>Главная редакция литературно-драматический программ ЦТ</t>
        </is>
      </c>
      <c r="H2362" s="2" t="n">
        <v>216</v>
      </c>
      <c r="I2362" s="2" t="inlineStr"/>
      <c r="J2362" s="2" t="inlineStr"/>
      <c r="K2362" s="3" t="inlineStr">
        <is>
          <t>По пьесе Н.Долининой.
Разбирая дело о разделе квартиры Трофимовых, судья Кавелин помогает им прийти к разумному разрешению конфликта и, может быть впервые, серьезно задумывается о проблемах в своей собственной семье.</t>
        </is>
      </c>
      <c r="L2362" s="2" t="inlineStr">
        <is>
          <t>https://www.kino-teatr.ru/teatr/movie/2781/annot/</t>
        </is>
      </c>
      <c r="M2362" s="2">
        <f>HYPERLINK("https://ru.wikipedia.org/w/index.php?search=%D0%98%D1%81%D1%82%D1%86%D1%8B%20%D0%B8%20%D0%BE%D1%82%D0%B2%D0%B5%D1%82%D1%87%D0%B8%D0%BA%D0%B8%201978%20%D1%84%D0%B8%D0%BB%D1%8C%D0%BC","искать")</f>
        <v/>
      </c>
      <c r="N2362" s="3" t="n"/>
      <c r="O2362" s="2" t="n"/>
    </row>
    <row r="2363">
      <c r="A2363" s="2" t="n">
        <v>2362</v>
      </c>
      <c r="B2363" s="2" t="inlineStr">
        <is>
          <t>короткая</t>
        </is>
      </c>
      <c r="C2363" s="2" t="n">
        <v>7175</v>
      </c>
      <c r="D2363" s="3" t="inlineStr">
        <is>
          <t>...И снова май!</t>
        </is>
      </c>
      <c r="E2363" s="2" t="n">
        <v>1968</v>
      </c>
      <c r="F2363" s="2" t="inlineStr">
        <is>
          <t>телефильм</t>
        </is>
      </c>
      <c r="G2363" s="2" t="n"/>
      <c r="H2363" s="2" t="n">
        <v>217</v>
      </c>
      <c r="I2363" s="2" t="inlineStr"/>
      <c r="J2363" s="2" t="inlineStr"/>
      <c r="K2363" s="3" t="inlineStr">
        <is>
          <t>Историко-приключенческий телефильм по мотивам повести С. Славича. Действие происходит в Саратове в 1908 году. О том, как группа большевиков в условиях полицейского террора сумела наладить выпуск подпольной литературы.</t>
        </is>
      </c>
      <c r="L2363" s="2" t="inlineStr">
        <is>
          <t>Кино_СССР сводный каталог.xlsx: список телефильмов</t>
        </is>
      </c>
      <c r="M2363" s="2">
        <f>HYPERLINK("https://ru.wikipedia.org/w/index.php?search=...%D0%98%20%D1%81%D0%BD%D0%BE%D0%B2%D0%B0%20%D0%BC%D0%B0%D0%B9%21%201968%20%D1%84%D0%B8%D0%BB%D1%8C%D0%BC","искать")</f>
        <v/>
      </c>
      <c r="N2363" s="3" t="n"/>
      <c r="O2363" s="2" t="n"/>
    </row>
    <row r="2364">
      <c r="A2364" s="2" t="n">
        <v>2363</v>
      </c>
      <c r="B2364" s="2" t="inlineStr">
        <is>
          <t>короткая</t>
        </is>
      </c>
      <c r="C2364" s="2" t="n">
        <v>7231</v>
      </c>
      <c r="D2364" s="3" t="inlineStr">
        <is>
          <t>Бабушки надвое сказали...</t>
        </is>
      </c>
      <c r="E2364" s="2" t="n">
        <v>1979</v>
      </c>
      <c r="F2364" s="2" t="inlineStr">
        <is>
          <t>телефильм</t>
        </is>
      </c>
      <c r="G2364" s="2" t="inlineStr">
        <is>
          <t>ТО «Экран»</t>
        </is>
      </c>
      <c r="H2364" s="2" t="n">
        <v>217</v>
      </c>
      <c r="I2364" s="2" t="inlineStr"/>
      <c r="J2364" s="2" t="inlineStr"/>
      <c r="K2364" s="3" t="inlineStr">
        <is>
          <t>О приключениях артистов эстрады Бориса Владимирова и Вадима Тонкова, встретившихся во время гастролей со своими героями, популярными персонажами советской эстрады 70—80-х — Вероникой Маврикиевной и Авдотьей Никитичной</t>
        </is>
      </c>
      <c r="L2364" s="2" t="inlineStr">
        <is>
          <t>Кино_СССР сводный каталог.xlsx: список телефильмов</t>
        </is>
      </c>
      <c r="M2364" s="2">
        <f>HYPERLINK("https://ru.wikipedia.org/w/index.php?search=%D0%91%D0%B0%D0%B1%D1%83%D1%88%D0%BA%D0%B8%20%D0%BD%D0%B0%D0%B4%D0%B2%D0%BE%D0%B5%20%D1%81%D0%BA%D0%B0%D0%B7%D0%B0%D0%BB%D0%B8...%201979%20%D1%84%D0%B8%D0%BB%D1%8C%D0%BC","искать")</f>
        <v/>
      </c>
      <c r="N2364" s="3" t="n"/>
      <c r="O2364" s="2" t="n"/>
    </row>
    <row r="2365">
      <c r="A2365" s="2" t="n">
        <v>2364</v>
      </c>
      <c r="B2365" s="2" t="inlineStr">
        <is>
          <t>короткая</t>
        </is>
      </c>
      <c r="C2365" s="2" t="n">
        <v>8164</v>
      </c>
      <c r="D2365" s="3" t="inlineStr">
        <is>
          <t>Портрет мадемуазель Таржи</t>
        </is>
      </c>
      <c r="E2365" s="2" t="n">
        <v>1991</v>
      </c>
      <c r="F2365" s="2" t="inlineStr">
        <is>
          <t>телефильм</t>
        </is>
      </c>
      <c r="G2365" s="2" t="n"/>
      <c r="H2365" s="2" t="n">
        <v>217</v>
      </c>
      <c r="I2365" s="2" t="inlineStr"/>
      <c r="J2365" s="2" t="inlineStr"/>
      <c r="K2365" s="3" t="inlineStr">
        <is>
          <t>Музыкальный водевиль по одноименной пьесе в стихах Ивана Елагина. Действие происходит в Париже в начале ХХ века. О молодых людях, журналисте Жаке и художнике Клоде, которые после многих перипетий находят свое счастье.</t>
        </is>
      </c>
      <c r="L2365" s="2" t="inlineStr">
        <is>
          <t>Кино_СССР сводный каталог.xlsx: список телефильмов</t>
        </is>
      </c>
      <c r="M2365" s="2">
        <f>HYPERLINK("https://ru.wikipedia.org/w/index.php?search=%D0%9F%D0%BE%D1%80%D1%82%D1%80%D0%B5%D1%82%20%D0%BC%D0%B0%D0%B4%D0%B5%D0%BC%D1%83%D0%B0%D0%B7%D0%B5%D0%BB%D1%8C%20%D0%A2%D0%B0%D1%80%D0%B6%D0%B8%201991%20%D1%84%D0%B8%D0%BB%D1%8C%D0%BC","искать")</f>
        <v/>
      </c>
      <c r="N2365" s="3" t="n"/>
      <c r="O2365" s="2" t="n"/>
    </row>
    <row r="2366">
      <c r="A2366" s="2" t="n">
        <v>2365</v>
      </c>
      <c r="B2366" s="2" t="inlineStr">
        <is>
          <t>короткая</t>
        </is>
      </c>
      <c r="C2366" s="2" t="n">
        <v>8492</v>
      </c>
      <c r="D2366" s="3" t="inlineStr">
        <is>
          <t>У меня есть лев</t>
        </is>
      </c>
      <c r="E2366" s="2" t="n">
        <v>1975</v>
      </c>
      <c r="F2366" s="2" t="inlineStr">
        <is>
          <t>телефильм</t>
        </is>
      </c>
      <c r="G2366" s="2" t="n"/>
      <c r="H2366" s="2" t="n">
        <v>217</v>
      </c>
      <c r="I2366" s="2" t="inlineStr"/>
      <c r="J2366" s="2" t="inlineStr"/>
      <c r="K2366" s="3" t="inlineStr">
        <is>
          <t>В основе телефильма — реальные факты из жизни семьи бакинского архитектора Берберова, которая в домашних условиях воспитывала льва Кинга. В роли льва — Кинг II, снявшийся также в фильме «Лев ушёл из дома» в 1977 году.</t>
        </is>
      </c>
      <c r="L2366" s="2" t="inlineStr">
        <is>
          <t>Кино_СССР сводный каталог.xlsx: список телефильмов</t>
        </is>
      </c>
      <c r="M2366" s="2">
        <f>HYPERLINK("https://ru.wikipedia.org/w/index.php?search=%D0%A3%20%D0%BC%D0%B5%D0%BD%D1%8F%20%D0%B5%D1%81%D1%82%D1%8C%20%D0%BB%D0%B5%D0%B2%201975%20%D1%84%D0%B8%D0%BB%D1%8C%D0%BC","искать")</f>
        <v/>
      </c>
      <c r="N2366" s="3" t="n"/>
      <c r="O2366" s="2" t="n"/>
    </row>
    <row r="2367">
      <c r="A2367" s="2" t="n">
        <v>2366</v>
      </c>
      <c r="B2367" s="2" t="inlineStr">
        <is>
          <t>короткая</t>
        </is>
      </c>
      <c r="C2367" s="2" t="n">
        <v>9537</v>
      </c>
      <c r="D2367" s="3" t="inlineStr">
        <is>
          <t>Очарованный химик</t>
        </is>
      </c>
      <c r="E2367" s="2" t="n">
        <v>1935</v>
      </c>
      <c r="F2367" s="2" t="inlineStr">
        <is>
          <t>кинофильм</t>
        </is>
      </c>
      <c r="G2367" s="2" t="n"/>
      <c r="H2367" s="2" t="n">
        <v>217</v>
      </c>
      <c r="I2367" s="2" t="inlineStr"/>
      <c r="J2367" s="2" t="inlineStr"/>
      <c r="K2367" s="3" t="inlineStr">
        <is>
          <t>Герой картины - молодой чудаковатый инженер, приезжающий на работу в провинцию и изобретающий там "небьющееся стекло". Работа над фильмом велась долго и трудно. В начале 1937 года попытки спасти фильм были прекращены.</t>
        </is>
      </c>
      <c r="L2367" s="2" t="inlineStr">
        <is>
          <t>Кино_СССР сводный каталог.xlsx: список фильмов (доп.)</t>
        </is>
      </c>
      <c r="M2367" s="2">
        <f>HYPERLINK("https://ru.wikipedia.org/w/index.php?search=%D0%9E%D1%87%D0%B0%D1%80%D0%BE%D0%B2%D0%B0%D0%BD%D0%BD%D1%8B%D0%B9%20%D1%85%D0%B8%D0%BC%D0%B8%D0%BA%201935%20%D1%84%D0%B8%D0%BB%D1%8C%D0%BC","искать")</f>
        <v/>
      </c>
      <c r="N2367" s="3" t="n"/>
      <c r="O2367" s="2" t="n"/>
    </row>
    <row r="2368">
      <c r="A2368" s="2" t="n">
        <v>2367</v>
      </c>
      <c r="B2368" s="2" t="inlineStr">
        <is>
          <t>короткая</t>
        </is>
      </c>
      <c r="C2368" s="2" t="n">
        <v>9670</v>
      </c>
      <c r="D2368" s="3" t="inlineStr">
        <is>
          <t>Стару-ха-рмса</t>
        </is>
      </c>
      <c r="E2368" s="2" t="n">
        <v>1991</v>
      </c>
      <c r="F2368" s="2" t="inlineStr">
        <is>
          <t>кинофильм</t>
        </is>
      </c>
      <c r="G2368" s="2" t="n"/>
      <c r="H2368" s="2" t="n">
        <v>217</v>
      </c>
      <c r="I2368" s="2" t="inlineStr"/>
      <c r="J2368" s="2" t="inlineStr"/>
      <c r="K2368" s="3" t="inlineStr">
        <is>
          <t>Современная киноверсия повести Д.Хармса “Старуха”. Фильм решен в условной пародийной манере. Некая старуха вторгается в жилище одинокого литератора, умирает и становится наваждением, от которого невозможно избавиться.</t>
        </is>
      </c>
      <c r="L2368" s="2" t="inlineStr">
        <is>
          <t>Кино_СССР сводный каталог.xlsx: список фильмов (доп.)</t>
        </is>
      </c>
      <c r="M2368" s="2">
        <f>HYPERLINK("https://ru.wikipedia.org/w/index.php?search=%D0%A1%D1%82%D0%B0%D1%80%D1%83-%D1%85%D0%B0-%D1%80%D0%BC%D1%81%D0%B0%201991%20%D1%84%D0%B8%D0%BB%D1%8C%D0%BC","искать")</f>
        <v/>
      </c>
      <c r="N2368" s="3" t="n"/>
      <c r="O2368" s="2" t="n"/>
    </row>
    <row r="2369">
      <c r="A2369" s="2" t="n">
        <v>2368</v>
      </c>
      <c r="B2369" s="2" t="inlineStr">
        <is>
          <t>короткая</t>
        </is>
      </c>
      <c r="C2369" s="2" t="n">
        <v>10135</v>
      </c>
      <c r="D2369" s="3" t="inlineStr">
        <is>
          <t>Чёрный, как я</t>
        </is>
      </c>
      <c r="E2369" s="2" t="n">
        <v>1964</v>
      </c>
      <c r="F2369" s="2" t="inlineStr">
        <is>
          <t>фильм-спектакль</t>
        </is>
      </c>
      <c r="G2369" s="2" t="inlineStr">
        <is>
          <t>Центральное телевидение</t>
        </is>
      </c>
      <c r="H2369" s="2" t="n">
        <v>217</v>
      </c>
      <c r="I2369" s="2" t="inlineStr"/>
      <c r="J2369" s="2" t="inlineStr"/>
      <c r="K2369" s="3" t="inlineStr">
        <is>
          <t>По одноименной книге американского журналиста Джона Гриффина (1961).
В форме дневника автор описывает свое путешествие по южным штатам США, окрасив кожу в черный цвет, чтобы прочувствовать социальное положение негров.</t>
        </is>
      </c>
      <c r="L2369" s="2" t="inlineStr">
        <is>
          <t>https://www.kino-teatr.ru/teatr/movie/129530/annot/</t>
        </is>
      </c>
      <c r="M2369" s="2">
        <f>HYPERLINK("https://ru.wikipedia.org/w/index.php?search=%D0%A7%D1%91%D1%80%D0%BD%D1%8B%D0%B9%2C%20%D0%BA%D0%B0%D0%BA%20%D1%8F%201964%20%D1%84%D0%B8%D0%BB%D1%8C%D0%BC","искать")</f>
        <v/>
      </c>
      <c r="N2369" s="3" t="n"/>
      <c r="O2369" s="2" t="n"/>
    </row>
    <row r="2370">
      <c r="A2370" s="2" t="n">
        <v>2369</v>
      </c>
      <c r="B2370" s="2" t="inlineStr">
        <is>
          <t>короткая</t>
        </is>
      </c>
      <c r="C2370" s="2" t="n">
        <v>8931</v>
      </c>
      <c r="D2370" s="3" t="inlineStr">
        <is>
          <t>Плащаница Александра Невского</t>
        </is>
      </c>
      <c r="E2370" s="2" t="n">
        <v>1991</v>
      </c>
      <c r="F2370" s="2" t="inlineStr">
        <is>
          <t>кинофильм</t>
        </is>
      </c>
      <c r="G2370" s="2" t="n"/>
      <c r="H2370" s="2" t="n">
        <v>218</v>
      </c>
      <c r="I2370" s="2" t="inlineStr"/>
      <c r="J2370" s="2" t="inlineStr"/>
      <c r="K2370" s="3" t="inlineStr">
        <is>
          <t>После кражи плащаницы Александра Невского Василию Копылову снится князь, преследующий его с мечом. Освободившись из тюрьмы, Василий решает найти реликвию и вернуть её церкви, не зная, что ему вынесен смертный приговор.</t>
        </is>
      </c>
      <c r="L2370" s="2" t="inlineStr">
        <is>
          <t>Кино_СССР сводный каталог.xlsx: список фильмов (доп.)</t>
        </is>
      </c>
      <c r="M2370" s="2">
        <f>HYPERLINK("https://ru.wikipedia.org/w/index.php?search=%D0%9F%D0%BB%D0%B0%D1%89%D0%B0%D0%BD%D0%B8%D1%86%D0%B0%20%D0%90%D0%BB%D0%B5%D0%BA%D1%81%D0%B0%D0%BD%D0%B4%D1%80%D0%B0%20%D0%9D%D0%B5%D0%B2%D1%81%D0%BA%D0%BE%D0%B3%D0%BE%201991%20%D1%84%D0%B8%D0%BB%D1%8C%D0%BC","искать")</f>
        <v/>
      </c>
      <c r="N2370" s="3" t="n"/>
      <c r="O2370" s="2" t="n"/>
    </row>
    <row r="2371">
      <c r="A2371" s="2" t="n">
        <v>2370</v>
      </c>
      <c r="B2371" s="2" t="inlineStr">
        <is>
          <t>короткая</t>
        </is>
      </c>
      <c r="C2371" s="2" t="n">
        <v>9154</v>
      </c>
      <c r="D2371" s="3" t="inlineStr">
        <is>
          <t>Чегери</t>
        </is>
      </c>
      <c r="E2371" s="2" t="n">
        <v>1980</v>
      </c>
      <c r="F2371" s="2" t="inlineStr">
        <is>
          <t>кинофильм</t>
        </is>
      </c>
      <c r="G2371" s="2" t="n"/>
      <c r="H2371" s="2" t="n">
        <v>218</v>
      </c>
      <c r="I2371" s="2" t="inlineStr"/>
      <c r="J2371" s="2" t="inlineStr"/>
      <c r="K2371" s="3" t="inlineStr">
        <is>
          <t>По одноименной повести Ахмедхана Абу-Бакара. Молодой агроном Самур мечтает вывести новый скороспелый сорт кукурузы. Несмотря на трудности и комические ситуации, ему не только удается задуманное, он находит свою любовь.</t>
        </is>
      </c>
      <c r="L2371" s="2" t="inlineStr">
        <is>
          <t>Кино_СССР сводный каталог.xlsx: список фильмов (доп.)</t>
        </is>
      </c>
      <c r="M2371" s="2">
        <f>HYPERLINK("https://ru.wikipedia.org/w/index.php?search=%D0%A7%D0%B5%D0%B3%D0%B5%D1%80%D0%B8%201980%20%D1%84%D0%B8%D0%BB%D1%8C%D0%BC","искать")</f>
        <v/>
      </c>
      <c r="N2371" s="3" t="n"/>
      <c r="O2371" s="2" t="n"/>
    </row>
    <row r="2372">
      <c r="A2372" s="2" t="n">
        <v>2371</v>
      </c>
      <c r="B2372" s="2" t="inlineStr">
        <is>
          <t>короткая</t>
        </is>
      </c>
      <c r="C2372" s="2" t="n">
        <v>10816</v>
      </c>
      <c r="D2372" s="3" t="inlineStr">
        <is>
          <t>Повесть об одной любви</t>
        </is>
      </c>
      <c r="E2372" s="2" t="n">
        <v>1979</v>
      </c>
      <c r="F2372" s="2" t="inlineStr">
        <is>
          <t>фильм-спектакль</t>
        </is>
      </c>
      <c r="G2372" s="2" t="inlineStr">
        <is>
          <t>Центральное телевидение</t>
        </is>
      </c>
      <c r="H2372" s="2" t="n">
        <v>218</v>
      </c>
      <c r="I2372" s="2" t="inlineStr"/>
      <c r="J2372" s="2" t="inlineStr"/>
      <c r="K2372" s="3" t="inlineStr">
        <is>
          <t>По одноименной повести А.Тоболяка в постановке московского драматического театра им. Станиславского. О молодоженах Сергее и Кате, которые уезжают работать на Север; о том, как любовь помогает им преодолевать трудности.</t>
        </is>
      </c>
      <c r="L2372" s="2" t="inlineStr">
        <is>
          <t>https://www.kino-teatr.ru/teatr/movie/93020/annot/</t>
        </is>
      </c>
      <c r="M2372" s="2">
        <f>HYPERLINK("https://ru.wikipedia.org/w/index.php?search=%D0%9F%D0%BE%D0%B2%D0%B5%D1%81%D1%82%D1%8C%20%D0%BE%D0%B1%20%D0%BE%D0%B4%D0%BD%D0%BE%D0%B9%20%D0%BB%D1%8E%D0%B1%D0%B2%D0%B8%201979%20%D1%84%D0%B8%D0%BB%D1%8C%D0%BC","искать")</f>
        <v/>
      </c>
      <c r="N2372" s="3" t="n"/>
      <c r="O2372" s="2" t="n"/>
    </row>
    <row r="2373">
      <c r="A2373" s="2" t="n">
        <v>2372</v>
      </c>
      <c r="B2373" s="2" t="inlineStr">
        <is>
          <t>короткая</t>
        </is>
      </c>
      <c r="C2373" s="2" t="n">
        <v>11045</v>
      </c>
      <c r="D2373" s="3" t="inlineStr">
        <is>
          <t>Чинарский манифест</t>
        </is>
      </c>
      <c r="E2373" s="2" t="n">
        <v>1984</v>
      </c>
      <c r="F2373" s="2" t="inlineStr">
        <is>
          <t>фильм-спектакль</t>
        </is>
      </c>
      <c r="G2373" s="2" t="n"/>
      <c r="H2373" s="2" t="n">
        <v>218</v>
      </c>
      <c r="I2373" s="2" t="inlineStr"/>
      <c r="J2373" s="2" t="inlineStr"/>
      <c r="K2373" s="3" t="inlineStr">
        <is>
          <t>Спектакль Шекинского драматического театра по одноименной пьесе А.Чхеидзе.
После того, как в колхозе сменилось семь председателей, Бадри Ломидзе пришёл к секретарю райкома партии с просьбой назначить его председателем.</t>
        </is>
      </c>
      <c r="L2373" s="2" t="inlineStr">
        <is>
          <t>https://www.kino-teatr.ru/teatr/movie/178715/annot/</t>
        </is>
      </c>
      <c r="M2373" s="2">
        <f>HYPERLINK("https://ru.wikipedia.org/w/index.php?search=%D0%A7%D0%B8%D0%BD%D0%B0%D1%80%D1%81%D0%BA%D0%B8%D0%B9%20%D0%BC%D0%B0%D0%BD%D0%B8%D1%84%D0%B5%D1%81%D1%82%201984%20%D1%84%D0%B8%D0%BB%D1%8C%D0%BC","искать")</f>
        <v/>
      </c>
      <c r="N2373" s="3" t="n"/>
      <c r="O2373" s="2" t="n"/>
    </row>
    <row r="2374">
      <c r="A2374" s="2" t="n">
        <v>2373</v>
      </c>
      <c r="B2374" s="2" t="inlineStr">
        <is>
          <t>короткая</t>
        </is>
      </c>
      <c r="C2374" s="2" t="n">
        <v>7250</v>
      </c>
      <c r="D2374" s="3" t="inlineStr">
        <is>
          <t>Берега</t>
        </is>
      </c>
      <c r="E2374" s="2" t="n">
        <v>1977</v>
      </c>
      <c r="F2374" s="2" t="inlineStr">
        <is>
          <t>телефильм</t>
        </is>
      </c>
      <c r="G2374" s="2" t="inlineStr">
        <is>
          <t>Грузия-фильм</t>
        </is>
      </c>
      <c r="H2374" s="2" t="n">
        <v>219</v>
      </c>
      <c r="I2374" s="2" t="inlineStr"/>
      <c r="J2374" s="2" t="inlineStr"/>
      <c r="K2374" s="3" t="inlineStr">
        <is>
          <t>დათა თუთაშხია Телесериал по роману Ч. Амирэджиба «Дата Туташхиа». Много лет человек по имени Дата Туташхиа скитался по миру. Он пытался делать добро, но убедившись, что оно не дает добрых всходов, разочаровался в людях.</t>
        </is>
      </c>
      <c r="L2374" s="2" t="inlineStr">
        <is>
          <t>Кино_СССР сводный каталог.xlsx: список телефильмов</t>
        </is>
      </c>
      <c r="M2374" s="2">
        <f>HYPERLINK("https://ru.wikipedia.org/w/index.php?search=%D0%91%D0%B5%D1%80%D0%B5%D0%B3%D0%B0%201977%20%D1%84%D0%B8%D0%BB%D1%8C%D0%BC","искать")</f>
        <v/>
      </c>
      <c r="N2374" s="3" t="n"/>
      <c r="O2374" s="2" t="n"/>
    </row>
    <row r="2375">
      <c r="A2375" s="2" t="n">
        <v>2374</v>
      </c>
      <c r="B2375" s="2" t="inlineStr">
        <is>
          <t>короткая</t>
        </is>
      </c>
      <c r="C2375" s="2" t="n">
        <v>9123</v>
      </c>
      <c r="D2375" s="3" t="inlineStr">
        <is>
          <t>Удержись в седле</t>
        </is>
      </c>
      <c r="E2375" s="2" t="n">
        <v>1987</v>
      </c>
      <c r="F2375" s="2" t="inlineStr">
        <is>
          <t>кинофильм</t>
        </is>
      </c>
      <c r="G2375" s="2" t="n"/>
      <c r="H2375" s="2" t="n">
        <v>219</v>
      </c>
      <c r="I2375" s="2" t="inlineStr"/>
      <c r="J2375" s="2" t="inlineStr"/>
      <c r="K2375" s="3" t="inlineStr">
        <is>
          <t>Мальчик Нурдин провел летние каникулы в горах у деда-табунщика. Он научился ездить верхом, участвовал в скачках, проявил смелость, отправившись с местными ребятами в пещеру за мумие, чтобы вылечить заболевшего товарища.</t>
        </is>
      </c>
      <c r="L2375" s="2" t="inlineStr">
        <is>
          <t>Кино_СССР сводный каталог.xlsx: список фильмов (доп.)</t>
        </is>
      </c>
      <c r="M2375" s="2">
        <f>HYPERLINK("https://ru.wikipedia.org/w/index.php?search=%D0%A3%D0%B4%D0%B5%D1%80%D0%B6%D0%B8%D1%81%D1%8C%20%D0%B2%20%D1%81%D0%B5%D0%B4%D0%BB%D0%B5%201987%20%D1%84%D0%B8%D0%BB%D1%8C%D0%BC","искать")</f>
        <v/>
      </c>
      <c r="N2375" s="3" t="n"/>
      <c r="O2375" s="2" t="n"/>
    </row>
    <row r="2376">
      <c r="A2376" s="2" t="n">
        <v>2375</v>
      </c>
      <c r="B2376" s="2" t="inlineStr">
        <is>
          <t>короткая</t>
        </is>
      </c>
      <c r="C2376" s="2" t="n">
        <v>9400</v>
      </c>
      <c r="D2376" s="3" t="inlineStr">
        <is>
          <t>История одной бильярдной команды</t>
        </is>
      </c>
      <c r="E2376" s="2" t="n">
        <v>1988</v>
      </c>
      <c r="F2376" s="2" t="inlineStr">
        <is>
          <t>кинофильм</t>
        </is>
      </c>
      <c r="G2376" s="2" t="n"/>
      <c r="H2376" s="2" t="n">
        <v>219</v>
      </c>
      <c r="I2376" s="2" t="inlineStr"/>
      <c r="J2376" s="2" t="inlineStr"/>
      <c r="K2376" s="3" t="inlineStr">
        <is>
          <t>Действие этой притчи происходит в обусловленном месте условного государства, куда попадает ссыльный Пачо. Герой делает все для того, чтобы уберечь еще целомудренное население от тлетворного влияния общества потребления.</t>
        </is>
      </c>
      <c r="L2376" s="2" t="inlineStr">
        <is>
          <t>Кино_СССР сводный каталог.xlsx: список фильмов (доп.)</t>
        </is>
      </c>
      <c r="M2376" s="2">
        <f>HYPERLINK("https://ru.wikipedia.org/w/index.php?search=%D0%98%D1%81%D1%82%D0%BE%D1%80%D0%B8%D1%8F%20%D0%BE%D0%B4%D0%BD%D0%BE%D0%B9%20%D0%B1%D0%B8%D0%BB%D1%8C%D1%8F%D1%80%D0%B4%D0%BD%D0%BE%D0%B9%20%D0%BA%D0%BE%D0%BC%D0%B0%D0%BD%D0%B4%D1%8B%201988%20%D1%84%D0%B8%D0%BB%D1%8C%D0%BC","искать")</f>
        <v/>
      </c>
      <c r="N2376" s="3" t="n"/>
      <c r="O2376" s="2" t="n"/>
    </row>
    <row r="2377">
      <c r="A2377" s="2" t="n">
        <v>2376</v>
      </c>
      <c r="B2377" s="2" t="inlineStr">
        <is>
          <t>короткая</t>
        </is>
      </c>
      <c r="C2377" s="2" t="n">
        <v>10048</v>
      </c>
      <c r="D2377" s="3" t="inlineStr">
        <is>
          <t>Каждому своё</t>
        </is>
      </c>
      <c r="E2377" s="2" t="n">
        <v>1990</v>
      </c>
      <c r="F2377" s="2" t="inlineStr">
        <is>
          <t>кинофильм</t>
        </is>
      </c>
      <c r="G2377" s="2" t="inlineStr">
        <is>
          <t>Таллиннфильм</t>
        </is>
      </c>
      <c r="H2377" s="2" t="n">
        <v>219</v>
      </c>
      <c r="I2377" s="2" t="inlineStr"/>
      <c r="J2377" s="2" t="inlineStr"/>
      <c r="K2377" s="3" t="inlineStr">
        <is>
          <t>Эстония в бурную эпоху перемен. Гражданин А, скромный нерешительный человек, с большим трудом и внутренним страхом вписывается в изменившееся реалии окружающего мира. И постоянно попадает в различные абсурдные ситуации.</t>
        </is>
      </c>
      <c r="L2377" s="2" t="inlineStr">
        <is>
          <t>https://www.kino-teatr.ru/short/movie/sov/102373/annot/</t>
        </is>
      </c>
      <c r="M2377" s="2">
        <f>HYPERLINK("https://ru.wikipedia.org/w/index.php?search=%D0%9A%D0%B0%D0%B6%D0%B4%D0%BE%D0%BC%D1%83%20%D1%81%D0%B2%D0%BE%D1%91%201990%20%D1%84%D0%B8%D0%BB%D1%8C%D0%BC","искать")</f>
        <v/>
      </c>
      <c r="N2377" s="3" t="n"/>
      <c r="O2377" s="2" t="n"/>
    </row>
    <row r="2378">
      <c r="A2378" s="2" t="n">
        <v>2377</v>
      </c>
      <c r="B2378" s="2" t="inlineStr">
        <is>
          <t>короткая</t>
        </is>
      </c>
      <c r="C2378" s="2" t="n">
        <v>10130</v>
      </c>
      <c r="D2378" s="3" t="inlineStr">
        <is>
          <t>Соучастие в убийстве</t>
        </is>
      </c>
      <c r="E2378" s="2" t="n">
        <v>1964</v>
      </c>
      <c r="F2378" s="2" t="inlineStr">
        <is>
          <t>фильм-спектакль</t>
        </is>
      </c>
      <c r="G2378" s="2" t="inlineStr">
        <is>
          <t>Главная редакция литературно-драматических программ</t>
        </is>
      </c>
      <c r="H2378" s="2" t="n">
        <v>219</v>
      </c>
      <c r="I2378" s="2" t="inlineStr"/>
      <c r="J2378" s="2" t="inlineStr"/>
      <c r="K2378" s="3" t="inlineStr">
        <is>
          <t>По одноименному роману Джуды Уотена в постановке Театра им. Е. Вахтангова.
Бет Тайсон убита в своем особняке. Старший инспектор Филдс, инспектор Брамелл и сыщик Филберт представляют три разные версии этого преступления.</t>
        </is>
      </c>
      <c r="L2378" s="2" t="inlineStr">
        <is>
          <t>https://www.kino-teatr.ru/teatr/movie/81580/annot/</t>
        </is>
      </c>
      <c r="M2378" s="2">
        <f>HYPERLINK("https://ru.wikipedia.org/w/index.php?search=%D0%A1%D0%BE%D1%83%D1%87%D0%B0%D1%81%D1%82%D0%B8%D0%B5%20%D0%B2%20%D1%83%D0%B1%D0%B8%D0%B9%D1%81%D1%82%D0%B2%D0%B5%201964%20%D1%84%D0%B8%D0%BB%D1%8C%D0%BC","искать")</f>
        <v/>
      </c>
      <c r="N2378" s="3" t="n"/>
      <c r="O2378" s="2" t="n"/>
    </row>
    <row r="2379">
      <c r="A2379" s="2" t="n">
        <v>2378</v>
      </c>
      <c r="B2379" s="2" t="inlineStr">
        <is>
          <t>короткая</t>
        </is>
      </c>
      <c r="C2379" s="2" t="n">
        <v>7419</v>
      </c>
      <c r="D2379" s="3" t="inlineStr">
        <is>
          <t>Выгодный контракт</t>
        </is>
      </c>
      <c r="E2379" s="2" t="n">
        <v>1979</v>
      </c>
      <c r="F2379" s="2" t="inlineStr">
        <is>
          <t>телефильм</t>
        </is>
      </c>
      <c r="G2379" s="2" t="inlineStr">
        <is>
          <t>к/с им. Довженко</t>
        </is>
      </c>
      <c r="H2379" s="2" t="n">
        <v>220</v>
      </c>
      <c r="I2379" s="2" t="inlineStr"/>
      <c r="J2379" s="2" t="inlineStr"/>
      <c r="K2379" s="3" t="inlineStr">
        <is>
          <t>Сотрудники Одесского уголовного розыска и КГБ совместными усилиями ведут слежку за особо опасными преступниками-валютчиками, которых использует иностранная фирма, пытающаяся навязать Внешторгу невыгодную для СССР сделку.</t>
        </is>
      </c>
      <c r="L2379" s="2" t="inlineStr">
        <is>
          <t>Кино_СССР сводный каталог.xlsx: список телефильмов</t>
        </is>
      </c>
      <c r="M2379" s="2">
        <f>HYPERLINK("https://ru.wikipedia.org/w/index.php?search=%D0%92%D1%8B%D0%B3%D0%BE%D0%B4%D0%BD%D1%8B%D0%B9%20%D0%BA%D0%BE%D0%BD%D1%82%D1%80%D0%B0%D0%BA%D1%82%201979%20%D1%84%D0%B8%D0%BB%D1%8C%D0%BC","искать")</f>
        <v/>
      </c>
      <c r="N2379" s="3" t="n"/>
      <c r="O2379" s="2" t="n"/>
    </row>
    <row r="2380">
      <c r="A2380" s="2" t="n">
        <v>2379</v>
      </c>
      <c r="B2380" s="2" t="inlineStr">
        <is>
          <t>короткая</t>
        </is>
      </c>
      <c r="C2380" s="2" t="n">
        <v>7619</v>
      </c>
      <c r="D2380" s="3" t="inlineStr">
        <is>
          <t>Завещание старого мастера</t>
        </is>
      </c>
      <c r="E2380" s="2" t="n">
        <v>1972</v>
      </c>
      <c r="F2380" s="2" t="inlineStr">
        <is>
          <t>телефильм</t>
        </is>
      </c>
      <c r="G2380" s="2" t="n"/>
      <c r="H2380" s="2" t="n">
        <v>220</v>
      </c>
      <c r="I2380" s="2" t="inlineStr"/>
      <c r="J2380" s="2" t="inlineStr"/>
      <c r="K2380" s="3" t="inlineStr">
        <is>
          <t>По повестям Камила Икрамова «Улица оружейников» и «Круглая печать». Школьники находят старую тетрадь, которую их учитель унаследовал от деда. История находки знакомит детей с прошлым его семьи и революционными событиями.</t>
        </is>
      </c>
      <c r="L2380" s="2" t="inlineStr">
        <is>
          <t>Кино_СССР сводный каталог.xlsx: список телефильмов</t>
        </is>
      </c>
      <c r="M2380" s="2">
        <f>HYPERLINK("https://ru.wikipedia.org/w/index.php?search=%D0%97%D0%B0%D0%B2%D0%B5%D1%89%D0%B0%D0%BD%D0%B8%D0%B5%20%D1%81%D1%82%D0%B0%D1%80%D0%BE%D0%B3%D0%BE%20%D0%BC%D0%B0%D1%81%D1%82%D0%B5%D1%80%D0%B0%201972%20%D1%84%D0%B8%D0%BB%D1%8C%D0%BC","искать")</f>
        <v/>
      </c>
      <c r="N2380" s="3" t="n"/>
      <c r="O2380" s="2" t="n"/>
    </row>
    <row r="2381">
      <c r="A2381" s="2" t="n">
        <v>2380</v>
      </c>
      <c r="B2381" s="2" t="inlineStr">
        <is>
          <t>короткая</t>
        </is>
      </c>
      <c r="C2381" s="2" t="n">
        <v>8084</v>
      </c>
      <c r="D2381" s="3" t="inlineStr">
        <is>
          <t>Певучая Россия</t>
        </is>
      </c>
      <c r="E2381" s="2" t="n">
        <v>1986</v>
      </c>
      <c r="F2381" s="2" t="inlineStr">
        <is>
          <t>телефильм</t>
        </is>
      </c>
      <c r="G2381" s="2" t="n"/>
      <c r="H2381" s="2" t="n">
        <v>220</v>
      </c>
      <c r="I2381" s="2" t="inlineStr"/>
      <c r="J2381" s="2" t="inlineStr"/>
      <c r="K2381" s="3" t="inlineStr">
        <is>
          <t>Фильм рассказывает об основателе первого русского крестьянского хора М. Е. Пятницком, о его жизни, трагической любви и других фактах биографии. В картине нашла отражение музыкальная жизнь России дореволюционного периода.</t>
        </is>
      </c>
      <c r="L2381" s="2" t="inlineStr">
        <is>
          <t>Кино_СССР сводный каталог.xlsx: список телефильмов</t>
        </is>
      </c>
      <c r="M2381" s="2">
        <f>HYPERLINK("https://ru.wikipedia.org/w/index.php?search=%D0%9F%D0%B5%D0%B2%D1%83%D1%87%D0%B0%D1%8F%20%D0%A0%D0%BE%D1%81%D1%81%D0%B8%D1%8F%201986%20%D1%84%D0%B8%D0%BB%D1%8C%D0%BC","искать")</f>
        <v/>
      </c>
      <c r="N2381" s="3" t="n"/>
      <c r="O2381" s="2" t="n"/>
    </row>
    <row r="2382">
      <c r="A2382" s="2" t="n">
        <v>2381</v>
      </c>
      <c r="B2382" s="2" t="inlineStr">
        <is>
          <t>короткая</t>
        </is>
      </c>
      <c r="C2382" s="2" t="n">
        <v>9431</v>
      </c>
      <c r="D2382" s="3" t="inlineStr">
        <is>
          <t>Конец Нахаловки</t>
        </is>
      </c>
      <c r="E2382" s="2" t="n">
        <v>1931</v>
      </c>
      <c r="F2382" s="2" t="inlineStr">
        <is>
          <t>кинофильм</t>
        </is>
      </c>
      <c r="G2382" s="2" t="n"/>
      <c r="H2382" s="2" t="n">
        <v>220</v>
      </c>
      <c r="I2382" s="2" t="inlineStr"/>
      <c r="J2382" s="2" t="inlineStr"/>
      <c r="K2382" s="3" t="inlineStr">
        <is>
          <t>О борьбе передовых рабочих, посланцев Ленинграда, за превращение отстающей текстильной фабрики в передовое социалистическое предприятие. В фильме снимались непрофессионалы: имена в титрах не указаны. Фильм не сохранился.</t>
        </is>
      </c>
      <c r="L2382" s="2" t="inlineStr">
        <is>
          <t>Кино_СССР сводный каталог.xlsx: список фильмов (доп.)</t>
        </is>
      </c>
      <c r="M2382" s="2">
        <f>HYPERLINK("https://ru.wikipedia.org/w/index.php?search=%D0%9A%D0%BE%D0%BD%D0%B5%D1%86%20%D0%9D%D0%B0%D1%85%D0%B0%D0%BB%D0%BE%D0%B2%D0%BA%D0%B8%201931%20%D1%84%D0%B8%D0%BB%D1%8C%D0%BC","искать")</f>
        <v/>
      </c>
      <c r="N2382" s="3" t="n"/>
      <c r="O2382" s="2" t="n"/>
    </row>
    <row r="2383">
      <c r="A2383" s="2" t="n">
        <v>2382</v>
      </c>
      <c r="B2383" s="2" t="inlineStr">
        <is>
          <t>короткая</t>
        </is>
      </c>
      <c r="C2383" s="2" t="n">
        <v>9625</v>
      </c>
      <c r="D2383" s="3" t="inlineStr">
        <is>
          <t>Романтик</t>
        </is>
      </c>
      <c r="E2383" s="2" t="n">
        <v>1989</v>
      </c>
      <c r="F2383" s="2" t="inlineStr">
        <is>
          <t>кинофильм</t>
        </is>
      </c>
      <c r="G2383" s="2" t="n"/>
      <c r="H2383" s="2" t="n">
        <v>220</v>
      </c>
      <c r="I2383" s="2" t="inlineStr"/>
      <c r="J2383" s="2" t="inlineStr"/>
      <c r="K2383" s="3" t="inlineStr">
        <is>
          <t>Драматическая история молодого парня, который за высокое вознаграждение согласился отстреливать бездомных одичавших собак, но был за это сурово наказан. Его мечта уехать с Севера и вернуться домой так и не осуществилась.</t>
        </is>
      </c>
      <c r="L2383" s="2" t="inlineStr">
        <is>
          <t>Кино_СССР сводный каталог.xlsx: список фильмов (доп.)</t>
        </is>
      </c>
      <c r="M2383" s="2">
        <f>HYPERLINK("https://ru.wikipedia.org/w/index.php?search=%D0%A0%D0%BE%D0%BC%D0%B0%D0%BD%D1%82%D0%B8%D0%BA%201989%20%D1%84%D0%B8%D0%BB%D1%8C%D0%BC","искать")</f>
        <v/>
      </c>
      <c r="N2383" s="3" t="n"/>
      <c r="O2383" s="2" t="n"/>
    </row>
    <row r="2384">
      <c r="A2384" s="2" t="n">
        <v>2383</v>
      </c>
      <c r="B2384" s="2" t="inlineStr">
        <is>
          <t>короткая</t>
        </is>
      </c>
      <c r="C2384" s="2" t="n">
        <v>10237</v>
      </c>
      <c r="D2384" s="3" t="inlineStr">
        <is>
          <t>Возвращение</t>
        </is>
      </c>
      <c r="E2384" s="2" t="n">
        <v>1968</v>
      </c>
      <c r="F2384" s="2" t="inlineStr">
        <is>
          <t>фильм-спектакль</t>
        </is>
      </c>
      <c r="G2384" s="2" t="inlineStr">
        <is>
          <t>Главная редакция лит-драматических программ</t>
        </is>
      </c>
      <c r="H2384" s="2" t="n">
        <v>220</v>
      </c>
      <c r="I2384" s="2" t="inlineStr"/>
      <c r="J2384" s="2" t="inlineStr"/>
      <c r="K2384" s="3" t="inlineStr">
        <is>
          <t>По одноименному рассказу А.Платонова в постановке Академического театра им. Евгения Вахтангова.
Вернулся солдат после окончания войны домой. И теперь нужно заново привыкать к мирной жизни, жене, детям, выросшим без него.</t>
        </is>
      </c>
      <c r="L2384" s="2" t="inlineStr">
        <is>
          <t>https://www.kino-teatr.ru/teatr/movie/81521/annot/</t>
        </is>
      </c>
      <c r="M2384" s="2">
        <f>HYPERLINK("https://ru.wikipedia.org/w/index.php?search=%D0%92%D0%BE%D0%B7%D0%B2%D1%80%D0%B0%D1%89%D0%B5%D0%BD%D0%B8%D0%B5%201968%20%D1%84%D0%B8%D0%BB%D1%8C%D0%BC","искать")</f>
        <v/>
      </c>
      <c r="N2384" s="3" t="n"/>
      <c r="O2384" s="2" t="n"/>
    </row>
    <row r="2385">
      <c r="A2385" s="2" t="n">
        <v>2384</v>
      </c>
      <c r="B2385" s="2" t="inlineStr">
        <is>
          <t>короткая</t>
        </is>
      </c>
      <c r="C2385" s="2" t="n">
        <v>10667</v>
      </c>
      <c r="D2385" s="3" t="inlineStr">
        <is>
          <t>Признание</t>
        </is>
      </c>
      <c r="E2385" s="2" t="n">
        <v>1976</v>
      </c>
      <c r="F2385" s="2" t="inlineStr">
        <is>
          <t>фильм-спектакль</t>
        </is>
      </c>
      <c r="G2385" s="2" t="inlineStr">
        <is>
          <t>Гл. ред. лит-драм программ, Подборки фильмов, фильмы о Ленине</t>
        </is>
      </c>
      <c r="H2385" s="2" t="n">
        <v>220</v>
      </c>
      <c r="I2385" s="2" t="inlineStr"/>
      <c r="J2385" s="2" t="inlineStr"/>
      <c r="K2385" s="3" t="inlineStr">
        <is>
          <t>По одноименной пьесе С.Дангулова в постановке Государственного академического Малого театра. Действие происходит в первые месяцы после Октябрьской революции. О борьбе Ленина за международное признание молодой республики.</t>
        </is>
      </c>
      <c r="L2385" s="2" t="inlineStr">
        <is>
          <t>https://www.kino-teatr.ru/teatr/movie/81152/annot/</t>
        </is>
      </c>
      <c r="M2385" s="2">
        <f>HYPERLINK("https://ru.wikipedia.org/w/index.php?search=%D0%9F%D1%80%D0%B8%D0%B7%D0%BD%D0%B0%D0%BD%D0%B8%D0%B5%201976%20%D1%84%D0%B8%D0%BB%D1%8C%D0%BC","искать")</f>
        <v/>
      </c>
      <c r="N2385" s="3" t="n"/>
      <c r="O2385" s="2" t="n"/>
    </row>
    <row r="2386">
      <c r="A2386" s="2" t="n">
        <v>2385</v>
      </c>
      <c r="B2386" s="2" t="inlineStr">
        <is>
          <t>короткая</t>
        </is>
      </c>
      <c r="C2386" s="2" t="n">
        <v>10796</v>
      </c>
      <c r="D2386" s="3" t="inlineStr">
        <is>
          <t>Возвращение на круги своя</t>
        </is>
      </c>
      <c r="E2386" s="2" t="n">
        <v>1979</v>
      </c>
      <c r="F2386" s="2" t="inlineStr">
        <is>
          <t>фильм-спектакль</t>
        </is>
      </c>
      <c r="G2386" s="2" t="n"/>
      <c r="H2386" s="2" t="n">
        <v>220</v>
      </c>
      <c r="I2386" s="2" t="inlineStr"/>
      <c r="J2386" s="2" t="inlineStr"/>
      <c r="K2386" s="3" t="inlineStr">
        <is>
          <t>Спектакль Малого театра по произведению Иона Друце.
Запись 1979 года. Постановка Бориса Равенских.
О последнем годе жизни Льва Николаевича Толстого, разногласиях в семье, конфликтах с детьми и женой, о его уходе из дома.</t>
        </is>
      </c>
      <c r="L2386" s="2" t="inlineStr">
        <is>
          <t>https://www.kino-teatr.ru/teatr/movie/14268/annot/</t>
        </is>
      </c>
      <c r="M2386" s="2">
        <f>HYPERLINK("https://ru.wikipedia.org/w/index.php?search=%D0%92%D0%BE%D0%B7%D0%B2%D1%80%D0%B0%D1%89%D0%B5%D0%BD%D0%B8%D0%B5%20%D0%BD%D0%B0%20%D0%BA%D1%80%D1%83%D0%B3%D0%B8%20%D1%81%D0%B2%D0%BE%D1%8F%201979%20%D1%84%D0%B8%D0%BB%D1%8C%D0%BC","искать")</f>
        <v/>
      </c>
      <c r="N2386" s="3" t="n"/>
      <c r="O2386" s="2" t="n"/>
    </row>
    <row r="2387">
      <c r="A2387" s="2" t="n">
        <v>2386</v>
      </c>
      <c r="B2387" s="2" t="inlineStr">
        <is>
          <t>короткая</t>
        </is>
      </c>
      <c r="C2387" s="2" t="n">
        <v>11149</v>
      </c>
      <c r="D2387" s="3" t="inlineStr">
        <is>
          <t>Десять дней, которые потрясли мир</t>
        </is>
      </c>
      <c r="E2387" s="2" t="n">
        <v>1987</v>
      </c>
      <c r="F2387" s="2" t="inlineStr">
        <is>
          <t>фильм-спектакль</t>
        </is>
      </c>
      <c r="G2387" s="2" t="inlineStr">
        <is>
          <t>Главная редакция литературно-драматических программ ЦТ</t>
        </is>
      </c>
      <c r="H2387" s="2" t="n">
        <v>220</v>
      </c>
      <c r="I2387" s="2" t="inlineStr"/>
      <c r="J2387" s="2" t="inlineStr"/>
      <c r="K2387" s="3" t="inlineStr">
        <is>
          <t>По мотивам одноименной книги Джона Рида о событиях октября 1917 года.
Народное представление в двух частях с пантомимой, буффонадой и стрельбой в исполнении труппы Театра драмы и комедии на Таганке.
Телеверсия 1987 года.</t>
        </is>
      </c>
      <c r="L2387" s="2" t="inlineStr">
        <is>
          <t>https://www.kino-teatr.ru/teatr/movie/1781/annot/</t>
        </is>
      </c>
      <c r="M2387" s="2">
        <f>HYPERLINK("https://ru.wikipedia.org/w/index.php?search=%D0%94%D0%B5%D1%81%D1%8F%D1%82%D1%8C%20%D0%B4%D0%BD%D0%B5%D0%B9%2C%20%D0%BA%D0%BE%D1%82%D0%BE%D1%80%D1%8B%D0%B5%20%D0%BF%D0%BE%D1%82%D1%80%D1%8F%D1%81%D0%BB%D0%B8%20%D0%BC%D0%B8%D1%80%201987%20%D1%84%D0%B8%D0%BB%D1%8C%D0%BC","искать")</f>
        <v/>
      </c>
      <c r="N2387" s="3" t="n"/>
      <c r="O2387" s="2" t="n"/>
    </row>
    <row r="2388">
      <c r="A2388" s="2" t="n">
        <v>2387</v>
      </c>
      <c r="B2388" s="2" t="inlineStr">
        <is>
          <t>короткая</t>
        </is>
      </c>
      <c r="C2388" s="2" t="n">
        <v>7859</v>
      </c>
      <c r="D2388" s="3" t="inlineStr">
        <is>
          <t>Мегрэ и человек на скамейке</t>
        </is>
      </c>
      <c r="E2388" s="2" t="n">
        <v>1973</v>
      </c>
      <c r="F2388" s="2" t="inlineStr">
        <is>
          <t>телефильм</t>
        </is>
      </c>
      <c r="G2388" s="2" t="n"/>
      <c r="H2388" s="2" t="n">
        <v>221</v>
      </c>
      <c r="I2388" s="2" t="inlineStr"/>
      <c r="J2388" s="2" t="inlineStr"/>
      <c r="K2388" s="3" t="inlineStr">
        <is>
          <t>По одноименному роману Жоржа Сименона. Расследуя убийство жителя предместья Луи Туре, Мегрэ (Борис Тенин) сталкивается с равнодушием и жестокостью людей, окружавших Луи в последние годы. Диагноз и приговор — виноваты все.</t>
        </is>
      </c>
      <c r="L2388" s="2" t="inlineStr">
        <is>
          <t>Кино_СССР сводный каталог.xlsx: список телефильмов</t>
        </is>
      </c>
      <c r="M2388" s="2">
        <f>HYPERLINK("https://ru.wikipedia.org/w/index.php?search=%D0%9C%D0%B5%D0%B3%D1%80%D1%8D%20%D0%B8%20%D1%87%D0%B5%D0%BB%D0%BE%D0%B2%D0%B5%D0%BA%20%D0%BD%D0%B0%20%D1%81%D0%BA%D0%B0%D0%BC%D0%B5%D0%B9%D0%BA%D0%B5%201973%20%D1%84%D0%B8%D0%BB%D1%8C%D0%BC","искать")</f>
        <v/>
      </c>
      <c r="N2388" s="3" t="n"/>
      <c r="O2388" s="2" t="n"/>
    </row>
    <row r="2389">
      <c r="A2389" s="2" t="n">
        <v>2388</v>
      </c>
      <c r="B2389" s="2" t="inlineStr">
        <is>
          <t>короткая</t>
        </is>
      </c>
      <c r="C2389" s="2" t="n">
        <v>7915</v>
      </c>
      <c r="D2389" s="3" t="inlineStr">
        <is>
          <t>Мустанг-иноходец</t>
        </is>
      </c>
      <c r="E2389" s="2" t="n">
        <v>1975</v>
      </c>
      <c r="F2389" s="2" t="inlineStr">
        <is>
          <t>телефильм</t>
        </is>
      </c>
      <c r="G2389" s="2" t="n"/>
      <c r="H2389" s="2" t="n">
        <v>221</v>
      </c>
      <c r="I2389" s="2" t="inlineStr"/>
      <c r="J2389" s="2" t="inlineStr"/>
      <c r="K2389" s="3" t="inlineStr">
        <is>
          <t>Телефильм снят по мотивам одноименного рассказа Э.Сэтона-Томпсона. История дикого коня Мустанга, его подружки Солли и их жеребенка. О гармонии нетронутой природы. О жестоких человеческих законах, разрушающих эту гармонию.</t>
        </is>
      </c>
      <c r="L2389" s="2" t="inlineStr">
        <is>
          <t>Кино_СССР сводный каталог.xlsx: список телефильмов</t>
        </is>
      </c>
      <c r="M2389" s="2">
        <f>HYPERLINK("https://ru.wikipedia.org/w/index.php?search=%D0%9C%D1%83%D1%81%D1%82%D0%B0%D0%BD%D0%B3-%D0%B8%D0%BD%D0%BE%D1%85%D0%BE%D0%B4%D0%B5%D1%86%201975%20%D1%84%D0%B8%D0%BB%D1%8C%D0%BC","искать")</f>
        <v/>
      </c>
      <c r="N2389" s="3" t="n"/>
      <c r="O2389" s="2" t="n"/>
    </row>
    <row r="2390">
      <c r="A2390" s="2" t="n">
        <v>2389</v>
      </c>
      <c r="B2390" s="2" t="inlineStr">
        <is>
          <t>короткая</t>
        </is>
      </c>
      <c r="C2390" s="2" t="n">
        <v>10997</v>
      </c>
      <c r="D2390" s="3" t="inlineStr">
        <is>
          <t>Метелица</t>
        </is>
      </c>
      <c r="E2390" s="2" t="n">
        <v>1983</v>
      </c>
      <c r="F2390" s="2" t="inlineStr">
        <is>
          <t>фильм-спектакль</t>
        </is>
      </c>
      <c r="G2390" s="2" t="inlineStr">
        <is>
          <t>Главная редакция литературно-драматических программ ЦТ</t>
        </is>
      </c>
      <c r="H2390" s="2" t="n">
        <v>221</v>
      </c>
      <c r="I2390" s="2" t="inlineStr"/>
      <c r="J2390" s="2" t="inlineStr"/>
      <c r="K2390" s="3" t="inlineStr">
        <is>
          <t>Из цикла "По Вашему письму".
Год назад семья Алены переехала к бабушке Марьяше. И весь год не утихали споры между бабушкой и отцом Алены о принципах воспитания девочки, завершившиеся крупной ссорой. Марьяша решает уехать.</t>
        </is>
      </c>
      <c r="L2390" s="2" t="inlineStr">
        <is>
          <t>https://www.kino-teatr.ru/teatr/movie/14656/annot/</t>
        </is>
      </c>
      <c r="M2390" s="2">
        <f>HYPERLINK("https://ru.wikipedia.org/w/index.php?search=%D0%9C%D0%B5%D1%82%D0%B5%D0%BB%D0%B8%D1%86%D0%B0%201983%20%D1%84%D0%B8%D0%BB%D1%8C%D0%BC","искать")</f>
        <v/>
      </c>
      <c r="N2390" s="3" t="n"/>
      <c r="O2390" s="2" t="n"/>
    </row>
    <row r="2391">
      <c r="A2391" s="2" t="n">
        <v>2390</v>
      </c>
      <c r="B2391" s="2" t="inlineStr">
        <is>
          <t>короткая</t>
        </is>
      </c>
      <c r="C2391" s="2" t="n">
        <v>7641</v>
      </c>
      <c r="D2391" s="3" t="inlineStr">
        <is>
          <t>Здравствуйте, я приехал!</t>
        </is>
      </c>
      <c r="E2391" s="2" t="n">
        <v>1979</v>
      </c>
      <c r="F2391" s="2" t="inlineStr">
        <is>
          <t>телефильм</t>
        </is>
      </c>
      <c r="G2391" s="2" t="n"/>
      <c r="H2391" s="2" t="n">
        <v>222</v>
      </c>
      <c r="I2391" s="2" t="inlineStr"/>
      <c r="J2391" s="2" t="inlineStr"/>
      <c r="K2391" s="3" t="inlineStr">
        <is>
          <t>Телефильм. Выпускник технического вуза попадает на работу в отдел снабжения крупного завода. Увлеченный герой не скучает, а вполне успешно внедряет в хозяйство завода последние достижения электронно-вычислительной техники.</t>
        </is>
      </c>
      <c r="L2391" s="2" t="inlineStr">
        <is>
          <t>Кино_СССР сводный каталог.xlsx: список телефильмов</t>
        </is>
      </c>
      <c r="M2391" s="2">
        <f>HYPERLINK("https://ru.wikipedia.org/w/index.php?search=%D0%97%D0%B4%D1%80%D0%B0%D0%B2%D1%81%D1%82%D0%B2%D1%83%D0%B9%D1%82%D0%B5%2C%20%D1%8F%20%D0%BF%D1%80%D0%B8%D0%B5%D1%85%D0%B0%D0%BB%21%201979%20%D1%84%D0%B8%D0%BB%D1%8C%D0%BC","искать")</f>
        <v/>
      </c>
      <c r="N2391" s="3" t="n"/>
      <c r="O2391" s="2" t="n"/>
    </row>
    <row r="2392">
      <c r="A2392" s="2" t="n">
        <v>2391</v>
      </c>
      <c r="B2392" s="2" t="inlineStr">
        <is>
          <t>короткая</t>
        </is>
      </c>
      <c r="C2392" s="2" t="n">
        <v>8440</v>
      </c>
      <c r="D2392" s="3" t="inlineStr">
        <is>
          <t>Танкодром</t>
        </is>
      </c>
      <c r="E2392" s="2" t="n">
        <v>1981</v>
      </c>
      <c r="F2392" s="2" t="inlineStr">
        <is>
          <t>телефильм</t>
        </is>
      </c>
      <c r="G2392" s="2" t="n"/>
      <c r="H2392" s="2" t="n">
        <v>222</v>
      </c>
      <c r="I2392" s="2" t="inlineStr"/>
      <c r="J2392" s="2" t="inlineStr"/>
      <c r="K2392" s="3" t="inlineStr">
        <is>
          <t>О создании в конструкторском бюро Министерства обороны новейших приборов ночного видения. В центре фильма — образ молодого командира танковой роты капитана Сергея Кольцова, физика по образованию, испытывающего эти системы.</t>
        </is>
      </c>
      <c r="L2392" s="2" t="inlineStr">
        <is>
          <t>Кино_СССР сводный каталог.xlsx: список телефильмов</t>
        </is>
      </c>
      <c r="M2392" s="2">
        <f>HYPERLINK("https://ru.wikipedia.org/w/index.php?search=%D0%A2%D0%B0%D0%BD%D0%BA%D0%BE%D0%B4%D1%80%D0%BE%D0%BC%201981%20%D1%84%D0%B8%D0%BB%D1%8C%D0%BC","искать")</f>
        <v/>
      </c>
      <c r="N2392" s="3" t="n"/>
      <c r="O2392" s="2" t="n"/>
    </row>
    <row r="2393">
      <c r="A2393" s="2" t="n">
        <v>2392</v>
      </c>
      <c r="B2393" s="2" t="inlineStr">
        <is>
          <t>короткая</t>
        </is>
      </c>
      <c r="C2393" s="2" t="n">
        <v>8442</v>
      </c>
      <c r="D2393" s="3" t="inlineStr">
        <is>
          <t>Таня</t>
        </is>
      </c>
      <c r="E2393" s="2" t="n">
        <v>1974</v>
      </c>
      <c r="F2393" s="2" t="inlineStr">
        <is>
          <t>телефильм</t>
        </is>
      </c>
      <c r="G2393" s="2" t="n"/>
      <c r="H2393" s="2" t="n">
        <v>222</v>
      </c>
      <c r="I2393" s="2" t="inlineStr"/>
      <c r="J2393" s="2" t="inlineStr"/>
      <c r="K2393" s="3" t="inlineStr">
        <is>
          <t>По одноименной пьесе Алексея Арбузова. Oн и Oнa, довoeнныe гoды, им тpyднo, Oн yчитcя, oнa тoжe. Oн мeчтaeт cтaть клaccным инжeнepoм, Oнa paди нeгo yxoдит из мeдинcтитyтa, чтoбы oблeгчить eмy yчeбy и ocyщecтвить eгo мeчтy.</t>
        </is>
      </c>
      <c r="L2393" s="2" t="inlineStr">
        <is>
          <t>Кино_СССР сводный каталог.xlsx: список телефильмов</t>
        </is>
      </c>
      <c r="M2393" s="2">
        <f>HYPERLINK("https://ru.wikipedia.org/w/index.php?search=%D0%A2%D0%B0%D0%BD%D1%8F%201974%20%D1%84%D0%B8%D0%BB%D1%8C%D0%BC","искать")</f>
        <v/>
      </c>
      <c r="N2393" s="3" t="n"/>
      <c r="O2393" s="2" t="n"/>
    </row>
    <row r="2394">
      <c r="A2394" s="2" t="n">
        <v>2393</v>
      </c>
      <c r="B2394" s="2" t="inlineStr">
        <is>
          <t>короткая</t>
        </is>
      </c>
      <c r="C2394" s="2" t="n">
        <v>8487</v>
      </c>
      <c r="D2394" s="3" t="inlineStr">
        <is>
          <t>Трудные этажи</t>
        </is>
      </c>
      <c r="E2394" s="2" t="n">
        <v>1974</v>
      </c>
      <c r="F2394" s="2" t="inlineStr">
        <is>
          <t>телефильм</t>
        </is>
      </c>
      <c r="G2394" s="2" t="n"/>
      <c r="H2394" s="2" t="n">
        <v>222</v>
      </c>
      <c r="I2394" s="2" t="inlineStr"/>
      <c r="J2394" s="2" t="inlineStr"/>
      <c r="K2394" s="3" t="inlineStr">
        <is>
          <t>Сериал о трудовых буднях строителей. Герой картины - главный инженер строительного треста - в своей работе старается пробудить у каждого члена трудового коллектива ответственное и творческое отношение к своим обязанностям.</t>
        </is>
      </c>
      <c r="L2394" s="2" t="inlineStr">
        <is>
          <t>Кино_СССР сводный каталог.xlsx: список телефильмов</t>
        </is>
      </c>
      <c r="M2394" s="2">
        <f>HYPERLINK("https://ru.wikipedia.org/w/index.php?search=%D0%A2%D1%80%D1%83%D0%B4%D0%BD%D1%8B%D0%B5%20%D1%8D%D1%82%D0%B0%D0%B6%D0%B8%201974%20%D1%84%D0%B8%D0%BB%D1%8C%D0%BC","искать")</f>
        <v/>
      </c>
      <c r="N2394" s="3" t="n"/>
      <c r="O2394" s="2" t="n"/>
    </row>
    <row r="2395">
      <c r="A2395" s="2" t="n">
        <v>2394</v>
      </c>
      <c r="B2395" s="2" t="inlineStr">
        <is>
          <t>короткая</t>
        </is>
      </c>
      <c r="C2395" s="2" t="n">
        <v>9304</v>
      </c>
      <c r="D2395" s="3" t="inlineStr">
        <is>
          <t>Гибель во имя рождения</t>
        </is>
      </c>
      <c r="E2395" s="2" t="n">
        <v>1988</v>
      </c>
      <c r="F2395" s="2" t="inlineStr">
        <is>
          <t>кинофильм</t>
        </is>
      </c>
      <c r="G2395" s="2" t="n"/>
      <c r="H2395" s="2" t="n">
        <v>222</v>
      </c>
      <c r="I2395" s="2" t="inlineStr"/>
      <c r="J2395" s="2" t="inlineStr"/>
      <c r="K2395" s="3" t="inlineStr">
        <is>
          <t>Действие фильма происходит в тридцатые годы в Киргизии, куда приезжает русский коневод Красин, чтобы открыть здесь первый советский конезавод и вывести новую породу лошадей, скрестив донских аргамаков и местных карабаиров.</t>
        </is>
      </c>
      <c r="L2395" s="2" t="inlineStr">
        <is>
          <t>Кино_СССР сводный каталог.xlsx: список фильмов (доп.)</t>
        </is>
      </c>
      <c r="M2395" s="2">
        <f>HYPERLINK("https://ru.wikipedia.org/w/index.php?search=%D0%93%D0%B8%D0%B1%D0%B5%D0%BB%D1%8C%20%D0%B2%D0%BE%20%D0%B8%D0%BC%D1%8F%20%D1%80%D0%BE%D0%B6%D0%B4%D0%B5%D0%BD%D0%B8%D1%8F%201988%20%D1%84%D0%B8%D0%BB%D1%8C%D0%BC","искать")</f>
        <v/>
      </c>
      <c r="N2395" s="3" t="n"/>
      <c r="O2395" s="2" t="n"/>
    </row>
    <row r="2396">
      <c r="A2396" s="2" t="n">
        <v>2395</v>
      </c>
      <c r="B2396" s="2" t="inlineStr">
        <is>
          <t>короткая</t>
        </is>
      </c>
      <c r="C2396" s="2" t="n">
        <v>10402</v>
      </c>
      <c r="D2396" s="3" t="inlineStr">
        <is>
          <t>Легкая командировка</t>
        </is>
      </c>
      <c r="E2396" s="2" t="n">
        <v>1971</v>
      </c>
      <c r="F2396" s="2" t="inlineStr">
        <is>
          <t>фильм-спектакль</t>
        </is>
      </c>
      <c r="G2396" s="2" t="inlineStr">
        <is>
          <t>Гл. ред. лит.-драм. программ</t>
        </is>
      </c>
      <c r="H2396" s="2" t="n">
        <v>222</v>
      </c>
      <c r="I2396" s="2" t="inlineStr"/>
      <c r="J2396" s="2" t="inlineStr"/>
      <c r="K2396" s="3" t="inlineStr">
        <is>
          <t>По повести А.Знаменского "Осина на дороге".
В совхоз направлен журналист районной газеты разобраться с письмом, в котором обвинен директор. Выясняется, что хороший человек и руководитель оклеветан кляузником и шантажистом.</t>
        </is>
      </c>
      <c r="L2396" s="2" t="inlineStr">
        <is>
          <t>https://www.kino-teatr.ru/teatr/movie/93052/annot/</t>
        </is>
      </c>
      <c r="M2396" s="2">
        <f>HYPERLINK("https://ru.wikipedia.org/w/index.php?search=%D0%9B%D0%B5%D0%B3%D0%BA%D0%B0%D1%8F%20%D0%BA%D0%BE%D0%BC%D0%B0%D0%BD%D0%B4%D0%B8%D1%80%D0%BE%D0%B2%D0%BA%D0%B0%201971%20%D1%84%D0%B8%D0%BB%D1%8C%D0%BC","искать")</f>
        <v/>
      </c>
      <c r="N2396" s="3" t="n"/>
      <c r="O2396" s="2" t="n"/>
    </row>
    <row r="2397">
      <c r="A2397" s="2" t="n">
        <v>2396</v>
      </c>
      <c r="B2397" s="2" t="inlineStr">
        <is>
          <t>короткая</t>
        </is>
      </c>
      <c r="C2397" s="2" t="n">
        <v>9175</v>
      </c>
      <c r="D2397" s="3" t="inlineStr">
        <is>
          <t>Шестьдесят беглецов</t>
        </is>
      </c>
      <c r="E2397" s="2" t="n">
        <v>1991</v>
      </c>
      <c r="F2397" s="2" t="inlineStr">
        <is>
          <t>кинофильм</t>
        </is>
      </c>
      <c r="G2397" s="2" t="n"/>
      <c r="H2397" s="2" t="n">
        <v>223</v>
      </c>
      <c r="I2397" s="2" t="inlineStr"/>
      <c r="J2397" s="2" t="inlineStr"/>
      <c r="K2397" s="3" t="inlineStr">
        <is>
          <t>Историческая кинодрама. В 1880-х годах тувинские араты восстали против нойонов-поработителей. Восстание было жестоко подавлено. С этнографической точностью в фильме воссозданы патриархальный быт тувинцев, их нравы и обычаи.</t>
        </is>
      </c>
      <c r="L2397" s="2" t="inlineStr">
        <is>
          <t>Кино_СССР сводный каталог.xlsx: список фильмов (доп.)</t>
        </is>
      </c>
      <c r="M2397" s="2">
        <f>HYPERLINK("https://ru.wikipedia.org/w/index.php?search=%D0%A8%D0%B5%D1%81%D1%82%D1%8C%D0%B4%D0%B5%D1%81%D1%8F%D1%82%20%D0%B1%D0%B5%D0%B3%D0%BB%D0%B5%D1%86%D0%BE%D0%B2%201991%20%D1%84%D0%B8%D0%BB%D1%8C%D0%BC","искать")</f>
        <v/>
      </c>
      <c r="N2397" s="3" t="n"/>
      <c r="O2397" s="2" t="n"/>
    </row>
    <row r="2398">
      <c r="A2398" s="2" t="n">
        <v>2397</v>
      </c>
      <c r="B2398" s="2" t="inlineStr">
        <is>
          <t>короткая</t>
        </is>
      </c>
      <c r="C2398" s="2" t="n">
        <v>9721</v>
      </c>
      <c r="D2398" s="3" t="inlineStr">
        <is>
          <t>Фатали-хан</t>
        </is>
      </c>
      <c r="E2398" s="2" t="n">
        <v>1947</v>
      </c>
      <c r="F2398" s="2" t="inlineStr">
        <is>
          <t>кинофильм</t>
        </is>
      </c>
      <c r="G2398" s="2" t="n"/>
      <c r="H2398" s="2" t="n">
        <v>223</v>
      </c>
      <c r="I2398" s="2" t="inlineStr"/>
      <c r="J2398" s="2" t="inlineStr"/>
      <c r="K2398" s="3" t="inlineStr">
        <is>
          <t>Исторический фильм о борьбе в XVIII веке молодого правителя Кубинского ханства Фатали-хана, стремившегося объединить разрозненные ханства в единое Азербайджанское государство. В 1958 году была слелана новая редакция фильма.</t>
        </is>
      </c>
      <c r="L2398" s="2" t="inlineStr">
        <is>
          <t>Кино_СССР сводный каталог.xlsx: список фильмов (доп.)</t>
        </is>
      </c>
      <c r="M2398" s="2">
        <f>HYPERLINK("https://ru.wikipedia.org/w/index.php?search=%D0%A4%D0%B0%D1%82%D0%B0%D0%BB%D0%B8-%D1%85%D0%B0%D0%BD%201947%20%D1%84%D0%B8%D0%BB%D1%8C%D0%BC","искать")</f>
        <v/>
      </c>
      <c r="N2398" s="3" t="n"/>
      <c r="O2398" s="2" t="n"/>
    </row>
    <row r="2399">
      <c r="A2399" s="2" t="n">
        <v>2398</v>
      </c>
      <c r="B2399" s="2" t="inlineStr">
        <is>
          <t>короткая</t>
        </is>
      </c>
      <c r="C2399" s="2" t="n">
        <v>9924</v>
      </c>
      <c r="D2399" s="3" t="inlineStr">
        <is>
          <t>Встреча проездом</t>
        </is>
      </c>
      <c r="E2399" s="2" t="n">
        <v>1977</v>
      </c>
      <c r="F2399" s="2" t="inlineStr">
        <is>
          <t>телефильм</t>
        </is>
      </c>
      <c r="G2399" s="2" t="inlineStr">
        <is>
          <t>Северо-Осетинская студия ТВ</t>
        </is>
      </c>
      <c r="H2399" s="2" t="n">
        <v>223</v>
      </c>
      <c r="I2399" s="2" t="inlineStr"/>
      <c r="J2399" s="2" t="inlineStr"/>
      <c r="K2399" s="3" t="inlineStr">
        <is>
          <t>Прошло три года со дня последней их встречи. Она спокойна, уверена и счастлива, потому что у нее растет сын, их сын. Ей предстоит командировка и она надеется, что они снова встретятся, пусть даже эта встреча будет проездом.</t>
        </is>
      </c>
      <c r="L2399" s="2" t="inlineStr">
        <is>
          <t>https://www.kino-teatr.ru/short/movie/sov/92504/annot/</t>
        </is>
      </c>
      <c r="M2399" s="2">
        <f>HYPERLINK("https://ru.wikipedia.org/w/index.php?search=%D0%92%D1%81%D1%82%D1%80%D0%B5%D1%87%D0%B0%20%D0%BF%D1%80%D0%BE%D0%B5%D0%B7%D0%B4%D0%BE%D0%BC%201977%20%D1%84%D0%B8%D0%BB%D1%8C%D0%BC","искать")</f>
        <v/>
      </c>
      <c r="N2399" s="3" t="n"/>
      <c r="O2399" s="2" t="n"/>
    </row>
    <row r="2400">
      <c r="A2400" s="2" t="n">
        <v>2399</v>
      </c>
      <c r="B2400" s="2" t="inlineStr">
        <is>
          <t>короткая</t>
        </is>
      </c>
      <c r="C2400" s="2" t="n">
        <v>10299</v>
      </c>
      <c r="D2400" s="3" t="inlineStr">
        <is>
          <t>Всегда на марше</t>
        </is>
      </c>
      <c r="E2400" s="2" t="n">
        <v>1969</v>
      </c>
      <c r="F2400" s="2" t="inlineStr">
        <is>
          <t>фильм-спектакль</t>
        </is>
      </c>
      <c r="G2400" s="2" t="inlineStr">
        <is>
          <t>Центральное телевидение</t>
        </is>
      </c>
      <c r="H2400" s="2" t="n">
        <v>223</v>
      </c>
      <c r="I2400" s="2" t="inlineStr"/>
      <c r="J2400" s="2" t="inlineStr"/>
      <c r="K2400" s="3" t="inlineStr">
        <is>
          <t>По мотивам одноименной повести Леонида Радищева.
Действие происходит в первые годы советской власти. Группу комсомольцев после тяжелых боев отправляют на отдых. Однако вскоре им пришлось вступить в борьбу с контрреволюцией.</t>
        </is>
      </c>
      <c r="L2400" s="2" t="inlineStr">
        <is>
          <t>https://www.kino-teatr.ru/teatr/movie/9413/annot/</t>
        </is>
      </c>
      <c r="M2400" s="2">
        <f>HYPERLINK("https://ru.wikipedia.org/w/index.php?search=%D0%92%D1%81%D0%B5%D0%B3%D0%B4%D0%B0%20%D0%BD%D0%B0%20%D0%BC%D0%B0%D1%80%D1%88%D0%B5%201969%20%D1%84%D0%B8%D0%BB%D1%8C%D0%BC","искать")</f>
        <v/>
      </c>
      <c r="N2400" s="3" t="n"/>
      <c r="O2400" s="2" t="n"/>
    </row>
    <row r="2401">
      <c r="A2401" s="2" t="n">
        <v>2400</v>
      </c>
      <c r="B2401" s="2" t="inlineStr">
        <is>
          <t>короткая</t>
        </is>
      </c>
      <c r="C2401" s="2" t="n">
        <v>10417</v>
      </c>
      <c r="D2401" s="3" t="inlineStr">
        <is>
          <t>Семейное счастье</t>
        </is>
      </c>
      <c r="E2401" s="2" t="n">
        <v>1971</v>
      </c>
      <c r="F2401" s="2" t="inlineStr">
        <is>
          <t>фильм-спектакль</t>
        </is>
      </c>
      <c r="G2401" s="2" t="inlineStr">
        <is>
          <t>Центральное телевидение</t>
        </is>
      </c>
      <c r="H2401" s="2" t="n">
        <v>223</v>
      </c>
      <c r="I2401" s="2" t="inlineStr"/>
      <c r="J2401" s="2" t="inlineStr"/>
      <c r="K2401" s="3" t="inlineStr">
        <is>
          <t>По мотивам одноименного романа Л.Н. Толстого.
История любви молодой девушки к другу своего покойного отца, её опекуну, затем их женитьбы и первых нескольких лет их супружеской жизни, включающих некоторое охлаждение и ссоры.</t>
        </is>
      </c>
      <c r="L2401" s="2" t="inlineStr">
        <is>
          <t>https://www.kino-teatr.ru/teatr/movie/100742/annot/</t>
        </is>
      </c>
      <c r="M2401" s="2">
        <f>HYPERLINK("https://ru.wikipedia.org/w/index.php?search=%D0%A1%D0%B5%D0%BC%D0%B5%D0%B9%D0%BD%D0%BE%D0%B5%20%D1%81%D1%87%D0%B0%D1%81%D1%82%D1%8C%D0%B5%201971%20%D1%84%D0%B8%D0%BB%D1%8C%D0%BC","искать")</f>
        <v/>
      </c>
      <c r="N2401" s="3" t="n"/>
      <c r="O2401" s="2" t="n"/>
    </row>
    <row r="2402">
      <c r="A2402" s="2" t="n">
        <v>2401</v>
      </c>
      <c r="B2402" s="2" t="inlineStr">
        <is>
          <t>короткая</t>
        </is>
      </c>
      <c r="C2402" s="2" t="n">
        <v>10469</v>
      </c>
      <c r="D2402" s="3" t="inlineStr">
        <is>
          <t>Свободный час</t>
        </is>
      </c>
      <c r="E2402" s="2" t="n">
        <v>1972</v>
      </c>
      <c r="F2402" s="2" t="inlineStr">
        <is>
          <t>фильм-спектакль</t>
        </is>
      </c>
      <c r="G2402" s="2" t="inlineStr">
        <is>
          <t>Центральное телевидение</t>
        </is>
      </c>
      <c r="H2402" s="2" t="n">
        <v>223</v>
      </c>
      <c r="I2402" s="2" t="inlineStr"/>
      <c r="J2402" s="2" t="inlineStr"/>
      <c r="K2402" s="3" t="inlineStr">
        <is>
          <t>У преподавателя литературы - Дмитрия Алексеевича - есть свободный час между уроками. Но и в это время его продолжают волновать проблемы учеников, их взаимоотношения с родителями. У настоящего учителя нет свободного времени.</t>
        </is>
      </c>
      <c r="L2402" s="2" t="inlineStr">
        <is>
          <t>https://www.kino-teatr.ru/teatr/movie/79904/annot/</t>
        </is>
      </c>
      <c r="M2402" s="2">
        <f>HYPERLINK("https://ru.wikipedia.org/w/index.php?search=%D0%A1%D0%B2%D0%BE%D0%B1%D0%BE%D0%B4%D0%BD%D1%8B%D0%B9%20%D1%87%D0%B0%D1%81%201972%20%D1%84%D0%B8%D0%BB%D1%8C%D0%BC","искать")</f>
        <v/>
      </c>
      <c r="N2402" s="3" t="n"/>
      <c r="O2402" s="2" t="n"/>
    </row>
    <row r="2403">
      <c r="A2403" s="2" t="n">
        <v>2402</v>
      </c>
      <c r="B2403" s="2" t="inlineStr">
        <is>
          <t>короткая</t>
        </is>
      </c>
      <c r="C2403" s="2" t="n">
        <v>11293</v>
      </c>
      <c r="D2403" s="3" t="inlineStr">
        <is>
          <t>Али-Баба и сорок разбойников (фильм-балет)</t>
        </is>
      </c>
      <c r="E2403" s="2" t="n">
        <v>1990</v>
      </c>
      <c r="F2403" s="2" t="inlineStr">
        <is>
          <t>фильм-спектакль</t>
        </is>
      </c>
      <c r="G2403" s="2" t="inlineStr">
        <is>
          <t>"Грузия-телефильм", Словацкое телевидение, ТВ-2000</t>
        </is>
      </c>
      <c r="H2403" s="2" t="n">
        <v>223</v>
      </c>
      <c r="I2403" s="2" t="inlineStr"/>
      <c r="J2403" s="2" t="inlineStr"/>
      <c r="K2403" s="3" t="inlineStr">
        <is>
          <t>Музыкальный художественный фильм-балет по мотивам восточных сказок Шахразады, о веселом чудоковатом бедняке Али-Бабе который работая лесорубом, неожиданно узнает, где разбойники прячут свои сокровища и сказочно обогащается.</t>
        </is>
      </c>
      <c r="L2403" s="2" t="inlineStr">
        <is>
          <t>https://www.kino-teatr.ru/teatr/movie/15364/annot/</t>
        </is>
      </c>
      <c r="M2403" s="2">
        <f>HYPERLINK("https://ru.wikipedia.org/w/index.php?search=%D0%90%D0%BB%D0%B8-%D0%91%D0%B0%D0%B1%D0%B0%20%D0%B8%20%D1%81%D0%BE%D1%80%D0%BE%D0%BA%20%D1%80%D0%B0%D0%B7%D0%B1%D0%BE%D0%B9%D0%BD%D0%B8%D0%BA%D0%BE%D0%B2%20%28%D1%84%D0%B8%D0%BB%D1%8C%D0%BC-%D0%B1%D0%B0%D0%BB%D0%B5%D1%82%29%201990%20%D1%84%D0%B8%D0%BB%D1%8C%D0%BC","искать")</f>
        <v/>
      </c>
      <c r="N2403" s="3" t="n"/>
      <c r="O2403" s="2" t="n"/>
    </row>
    <row r="2404">
      <c r="A2404" s="2" t="n">
        <v>2403</v>
      </c>
      <c r="B2404" s="2" t="inlineStr">
        <is>
          <t>короткая</t>
        </is>
      </c>
      <c r="C2404" s="2" t="n">
        <v>7249</v>
      </c>
      <c r="D2404" s="3" t="inlineStr">
        <is>
          <t>Берег его жизни</t>
        </is>
      </c>
      <c r="E2404" s="2" t="n">
        <v>1984</v>
      </c>
      <c r="F2404" s="2" t="inlineStr">
        <is>
          <t>телефильм</t>
        </is>
      </c>
      <c r="G2404" s="2" t="n"/>
      <c r="H2404" s="2" t="n">
        <v>224</v>
      </c>
      <c r="I2404" s="2" t="inlineStr"/>
      <c r="J2404" s="2" t="inlineStr"/>
      <c r="K2404" s="3" t="inlineStr">
        <is>
          <t>Фильм рассказывает историю жизни величайшего русского учёного, исследователя, путешественника и первопроходца Николая Николаевича Миклухо-Маклая. В фильме показаны самые интересные моменты из жизни учёного и его путешествий.</t>
        </is>
      </c>
      <c r="L2404" s="2" t="inlineStr">
        <is>
          <t>Кино_СССР сводный каталог.xlsx: список телефильмов</t>
        </is>
      </c>
      <c r="M2404" s="2">
        <f>HYPERLINK("https://ru.wikipedia.org/w/index.php?search=%D0%91%D0%B5%D1%80%D0%B5%D0%B3%20%D0%B5%D0%B3%D0%BE%20%D0%B6%D0%B8%D0%B7%D0%BD%D0%B8%201984%20%D1%84%D0%B8%D0%BB%D1%8C%D0%BC","искать")</f>
        <v/>
      </c>
      <c r="N2404" s="3" t="n"/>
      <c r="O2404" s="2" t="n"/>
    </row>
    <row r="2405">
      <c r="A2405" s="2" t="n">
        <v>2404</v>
      </c>
      <c r="B2405" s="2" t="inlineStr">
        <is>
          <t>короткая</t>
        </is>
      </c>
      <c r="C2405" s="2" t="n">
        <v>7741</v>
      </c>
      <c r="D2405" s="3" t="inlineStr">
        <is>
          <t>Колхидская баллада</t>
        </is>
      </c>
      <c r="E2405" s="2" t="n">
        <v>1974</v>
      </c>
      <c r="F2405" s="2" t="inlineStr">
        <is>
          <t>телефильм</t>
        </is>
      </c>
      <c r="G2405" s="2" t="n"/>
      <c r="H2405" s="2" t="n">
        <v>224</v>
      </c>
      <c r="I2405" s="2" t="inlineStr"/>
      <c r="J2405" s="2" t="inlineStr"/>
      <c r="K2405" s="3" t="inlineStr">
        <is>
          <t>კოლხური ბალადა События фильма разворачиваются в одном из уголков Грузии начала ХIХ века. О борьбе грузинского крестьянства против местных феодалов и их приспешников. В центре фильма - образ простого крестьянина Джото Алания.</t>
        </is>
      </c>
      <c r="L2405" s="2" t="inlineStr">
        <is>
          <t>Кино_СССР сводный каталог.xlsx: список телефильмов</t>
        </is>
      </c>
      <c r="M2405" s="2">
        <f>HYPERLINK("https://ru.wikipedia.org/w/index.php?search=%D0%9A%D0%BE%D0%BB%D1%85%D0%B8%D0%B4%D1%81%D0%BA%D0%B0%D1%8F%20%D0%B1%D0%B0%D0%BB%D0%BB%D0%B0%D0%B4%D0%B0%201974%20%D1%84%D0%B8%D0%BB%D1%8C%D0%BC","искать")</f>
        <v/>
      </c>
      <c r="N2405" s="3" t="n"/>
      <c r="O2405" s="2" t="n"/>
    </row>
    <row r="2406">
      <c r="A2406" s="2" t="n">
        <v>2405</v>
      </c>
      <c r="B2406" s="2" t="inlineStr">
        <is>
          <t>короткая</t>
        </is>
      </c>
      <c r="C2406" s="2" t="n">
        <v>7980</v>
      </c>
      <c r="D2406" s="3" t="inlineStr">
        <is>
          <t>Неизвестный, которого знали все</t>
        </is>
      </c>
      <c r="E2406" s="2" t="n">
        <v>1972</v>
      </c>
      <c r="F2406" s="2" t="inlineStr">
        <is>
          <t>телефильм</t>
        </is>
      </c>
      <c r="G2406" s="2" t="n"/>
      <c r="H2406" s="2" t="n">
        <v>224</v>
      </c>
      <c r="I2406" s="2" t="inlineStr"/>
      <c r="J2406" s="2" t="inlineStr"/>
      <c r="K2406" s="3" t="inlineStr">
        <is>
          <t>Главный герой картины - человек, в годы Великой Отечественной войны участвовавший в киевском подполье, и обвиненный затем в сотрудничестве с гестапо. Он доказывает свою невиновность и разоблачает настоящего изменника Родины.</t>
        </is>
      </c>
      <c r="L2406" s="2" t="inlineStr">
        <is>
          <t>Кино_СССР сводный каталог.xlsx: список телефильмов</t>
        </is>
      </c>
      <c r="M2406" s="2">
        <f>HYPERLINK("https://ru.wikipedia.org/w/index.php?search=%D0%9D%D0%B5%D0%B8%D0%B7%D0%B2%D0%B5%D1%81%D1%82%D0%BD%D1%8B%D0%B9%2C%20%D0%BA%D0%BE%D1%82%D0%BE%D1%80%D0%BE%D0%B3%D0%BE%20%D0%B7%D0%BD%D0%B0%D0%BB%D0%B8%20%D0%B2%D1%81%D0%B5%201972%20%D1%84%D0%B8%D0%BB%D1%8C%D0%BC","искать")</f>
        <v/>
      </c>
      <c r="N2406" s="3" t="n"/>
      <c r="O2406" s="2" t="n"/>
    </row>
    <row r="2407">
      <c r="A2407" s="2" t="n">
        <v>2406</v>
      </c>
      <c r="B2407" s="2" t="inlineStr">
        <is>
          <t>короткая</t>
        </is>
      </c>
      <c r="C2407" s="2" t="n">
        <v>9019</v>
      </c>
      <c r="D2407" s="3" t="inlineStr">
        <is>
          <t>Рок-н-ролл для принцесс</t>
        </is>
      </c>
      <c r="E2407" s="2" t="n">
        <v>1990</v>
      </c>
      <c r="F2407" s="2" t="inlineStr">
        <is>
          <t>кинофильм</t>
        </is>
      </c>
      <c r="G2407" s="2" t="inlineStr">
        <is>
          <t>Одесская к/с</t>
        </is>
      </c>
      <c r="H2407" s="2" t="n">
        <v>224</v>
      </c>
      <c r="I2407" s="2" t="inlineStr"/>
      <c r="J2407" s="2" t="inlineStr"/>
      <c r="K2407" s="3" t="inlineStr">
        <is>
          <t>Музыкальный фильм-сказка. В некотором царстве, мармеладном государстве решили король и королева женить принца и устроили для этого конкурс принцесс, превратившийся в конкурс рок-н-ролла. Победила в конкурсе, конечно, любовь.</t>
        </is>
      </c>
      <c r="L2407" s="2" t="inlineStr">
        <is>
          <t>Кино_СССР сводный каталог.xlsx: список фильмов (доп.)</t>
        </is>
      </c>
      <c r="M2407" s="2">
        <f>HYPERLINK("https://ru.wikipedia.org/w/index.php?search=%D0%A0%D0%BE%D0%BA-%D0%BD-%D1%80%D0%BE%D0%BB%D0%BB%20%D0%B4%D0%BB%D1%8F%20%D0%BF%D1%80%D0%B8%D0%BD%D1%86%D0%B5%D1%81%D1%81%201990%20%D1%84%D0%B8%D0%BB%D1%8C%D0%BC","искать")</f>
        <v/>
      </c>
      <c r="N2407" s="3" t="n"/>
      <c r="O2407" s="2" t="n"/>
    </row>
    <row r="2408">
      <c r="A2408" s="2" t="n">
        <v>2407</v>
      </c>
      <c r="B2408" s="2" t="inlineStr">
        <is>
          <t>короткая</t>
        </is>
      </c>
      <c r="C2408" s="2" t="n">
        <v>10051</v>
      </c>
      <c r="D2408" s="3" t="inlineStr">
        <is>
          <t>Шуры-муры</t>
        </is>
      </c>
      <c r="E2408" s="2" t="n">
        <v>1990</v>
      </c>
      <c r="F2408" s="2" t="inlineStr">
        <is>
          <t>кинофильм</t>
        </is>
      </c>
      <c r="G2408" s="2" t="inlineStr">
        <is>
          <t>Таллиннфильм</t>
        </is>
      </c>
      <c r="H2408" s="2" t="n">
        <v>224</v>
      </c>
      <c r="I2408" s="2" t="inlineStr"/>
      <c r="J2408" s="2" t="inlineStr"/>
      <c r="K2408" s="3" t="inlineStr">
        <is>
          <t>Короткометражный детский фильм по мотивам новеллы эстонского писателя Марта Кивастика.
Трогательная история первого романтического и почти неосознанного чувства десятилетнего мальчика Яануса к своей юной подруге-соседке Эве.</t>
        </is>
      </c>
      <c r="L2408" s="2" t="inlineStr">
        <is>
          <t>https://www.kino-teatr.ru/short/movie/sov/91279/annot/</t>
        </is>
      </c>
      <c r="M2408" s="2">
        <f>HYPERLINK("https://ru.wikipedia.org/w/index.php?search=%D0%A8%D1%83%D1%80%D1%8B-%D0%BC%D1%83%D1%80%D1%8B%201990%20%D1%84%D0%B8%D0%BB%D1%8C%D0%BC","искать")</f>
        <v/>
      </c>
      <c r="N2408" s="3" t="n"/>
      <c r="O2408" s="2" t="n"/>
    </row>
    <row r="2409">
      <c r="A2409" s="2" t="n">
        <v>2408</v>
      </c>
      <c r="B2409" s="2" t="inlineStr">
        <is>
          <t>короткая</t>
        </is>
      </c>
      <c r="C2409" s="2" t="n">
        <v>8468</v>
      </c>
      <c r="D2409" s="3" t="inlineStr">
        <is>
          <t>Тревожная ночь</t>
        </is>
      </c>
      <c r="E2409" s="2" t="n">
        <v>1958</v>
      </c>
      <c r="F2409" s="2" t="inlineStr">
        <is>
          <t>телефильм</t>
        </is>
      </c>
      <c r="G2409" s="2" t="n"/>
      <c r="H2409" s="2" t="n">
        <v>225</v>
      </c>
      <c r="I2409" s="2" t="inlineStr"/>
      <c r="J2409" s="2" t="inlineStr"/>
      <c r="K2409" s="3" t="inlineStr">
        <is>
          <t>В одну из ночей октября 1917 года в семье Стародубцевых сталкиваются разные взгляды на революцию. Анна не понимает участия своего мужа в контрреволюционном заговоре, тогда как ее младшая сестра Мария поддерживает большевиков.</t>
        </is>
      </c>
      <c r="L2409" s="2" t="inlineStr">
        <is>
          <t>Кино_СССР сводный каталог.xlsx: список телефильмов</t>
        </is>
      </c>
      <c r="M2409" s="2">
        <f>HYPERLINK("https://ru.wikipedia.org/w/index.php?search=%D0%A2%D1%80%D0%B5%D0%B2%D0%BE%D0%B6%D0%BD%D0%B0%D1%8F%20%D0%BD%D0%BE%D1%87%D1%8C%201958%20%D1%84%D0%B8%D0%BB%D1%8C%D0%BC","искать")</f>
        <v/>
      </c>
      <c r="N2409" s="3" t="n"/>
      <c r="O2409" s="2" t="n"/>
    </row>
    <row r="2410">
      <c r="A2410" s="2" t="n">
        <v>2409</v>
      </c>
      <c r="B2410" s="2" t="inlineStr">
        <is>
          <t>короткая</t>
        </is>
      </c>
      <c r="C2410" s="2" t="n">
        <v>8913</v>
      </c>
      <c r="D2410" s="3" t="inlineStr">
        <is>
          <t>Очарованный странник</t>
        </is>
      </c>
      <c r="E2410" s="2" t="n">
        <v>1990</v>
      </c>
      <c r="F2410" s="2" t="inlineStr">
        <is>
          <t>кинофильм</t>
        </is>
      </c>
      <c r="G2410" s="2" t="inlineStr">
        <is>
          <t>Мосфильм</t>
        </is>
      </c>
      <c r="H2410" s="2" t="n">
        <v>225</v>
      </c>
      <c r="I2410" s="2" t="inlineStr"/>
      <c r="J2410" s="2" t="inlineStr"/>
      <c r="K2410" s="3" t="inlineStr">
        <is>
          <t>Экранизация повести Николая Лескова. Во время путешествия на пароходе Иван Флягин рассказывает попутчикам о пережитых испытаниях: бегстве из крепостной неволи, плене у татар и любви, ради которой он совершал тяжёлые поступки.</t>
        </is>
      </c>
      <c r="L2410" s="2" t="inlineStr">
        <is>
          <t>Кино_СССР сводный каталог.xlsx: список фильмов (доп.)</t>
        </is>
      </c>
      <c r="M2410" s="2">
        <f>HYPERLINK("https://ru.wikipedia.org/w/index.php?search=%D0%9E%D1%87%D0%B0%D1%80%D0%BE%D0%B2%D0%B0%D0%BD%D0%BD%D1%8B%D0%B9%20%D1%81%D1%82%D1%80%D0%B0%D0%BD%D0%BD%D0%B8%D0%BA%201990%20%D1%84%D0%B8%D0%BB%D1%8C%D0%BC","искать")</f>
        <v/>
      </c>
      <c r="N2410" s="3" t="n"/>
      <c r="O2410" s="2" t="n"/>
    </row>
    <row r="2411">
      <c r="A2411" s="2" t="n">
        <v>2410</v>
      </c>
      <c r="B2411" s="2" t="inlineStr">
        <is>
          <t>короткая</t>
        </is>
      </c>
      <c r="C2411" s="2" t="n">
        <v>9106</v>
      </c>
      <c r="D2411" s="3" t="inlineStr">
        <is>
          <t>Топинамбуры</t>
        </is>
      </c>
      <c r="E2411" s="2" t="n">
        <v>1987</v>
      </c>
      <c r="F2411" s="2" t="inlineStr">
        <is>
          <t>кинофильм</t>
        </is>
      </c>
      <c r="G2411" s="2" t="n"/>
      <c r="H2411" s="2" t="n">
        <v>225</v>
      </c>
      <c r="I2411" s="2" t="inlineStr"/>
      <c r="J2411" s="2" t="inlineStr"/>
      <c r="K2411" s="3" t="inlineStr">
        <is>
          <t>Музыкальный фильм по мотивам рассказов Н. Носова. Увлекательные приключения двух мальчуганов-проказников Миши Козлова и Коли Синицына. Песни к фильму исполняет Большой детский хор Центрального телевидения и Всесоюзного радио.</t>
        </is>
      </c>
      <c r="L2411" s="2" t="inlineStr">
        <is>
          <t>Кино_СССР сводный каталог.xlsx: список фильмов (доп.)</t>
        </is>
      </c>
      <c r="M2411" s="2">
        <f>HYPERLINK("https://ru.wikipedia.org/w/index.php?search=%D0%A2%D0%BE%D0%BF%D0%B8%D0%BD%D0%B0%D0%BC%D0%B1%D1%83%D1%80%D1%8B%201987%20%D1%84%D0%B8%D0%BB%D1%8C%D0%BC","искать")</f>
        <v/>
      </c>
      <c r="N2411" s="3" t="n"/>
      <c r="O2411" s="2" t="n"/>
    </row>
    <row r="2412">
      <c r="A2412" s="2" t="n">
        <v>2411</v>
      </c>
      <c r="B2412" s="2" t="inlineStr">
        <is>
          <t>короткая</t>
        </is>
      </c>
      <c r="C2412" s="2" t="n">
        <v>9193</v>
      </c>
      <c r="D2412" s="3" t="inlineStr">
        <is>
          <t>Veniks. Половые щетки</t>
        </is>
      </c>
      <c r="E2412" s="2" t="n">
        <v>1991</v>
      </c>
      <c r="F2412" s="2" t="inlineStr">
        <is>
          <t>кинофильм</t>
        </is>
      </c>
      <c r="G2412" s="2" t="n"/>
      <c r="H2412" s="2" t="n">
        <v>225</v>
      </c>
      <c r="I2412" s="2" t="inlineStr"/>
      <c r="J2412" s="2" t="inlineStr"/>
      <c r="K2412" s="3" t="inlineStr">
        <is>
          <t>По мотивам фарса К.Манье. Лирическая комедия о бедном парижском художнике, который в результате аферы с половыми щетками и обнаженной натурой неожиданно становится миллионером и женится на очаровательной эмигрантке из России.</t>
        </is>
      </c>
      <c r="L2412" s="2" t="inlineStr">
        <is>
          <t>Кино_СССР сводный каталог.xlsx: список фильмов (доп.)</t>
        </is>
      </c>
      <c r="M2412" s="2">
        <f>HYPERLINK("https://ru.wikipedia.org/w/index.php?search=Veniks.%20%D0%9F%D0%BE%D0%BB%D0%BE%D0%B2%D1%8B%D0%B5%20%D1%89%D0%B5%D1%82%D0%BA%D0%B8%201991%20%D1%84%D0%B8%D0%BB%D1%8C%D0%BC","искать")</f>
        <v/>
      </c>
      <c r="N2412" s="3" t="n"/>
      <c r="O2412" s="2" t="n"/>
    </row>
    <row r="2413">
      <c r="A2413" s="2" t="n">
        <v>2412</v>
      </c>
      <c r="B2413" s="2" t="inlineStr">
        <is>
          <t>короткая</t>
        </is>
      </c>
      <c r="C2413" s="2" t="n">
        <v>10017</v>
      </c>
      <c r="D2413" s="3" t="inlineStr">
        <is>
          <t>... а шарик летит</t>
        </is>
      </c>
      <c r="E2413" s="2" t="n">
        <v>1987</v>
      </c>
      <c r="F2413" s="2" t="inlineStr">
        <is>
          <t>телефильм</t>
        </is>
      </c>
      <c r="G2413" s="2" t="inlineStr">
        <is>
          <t>Одесская киностудия</t>
        </is>
      </c>
      <c r="H2413" s="2" t="n">
        <v>225</v>
      </c>
      <c r="I2413" s="2" t="inlineStr"/>
      <c r="J2413" s="2" t="inlineStr"/>
      <c r="K2413" s="3" t="inlineStr">
        <is>
          <t>Телефильм.
Девочка Женя стремится быть лидером среди подростков: она на головокружительной высоте переходит с одной крыши на другую, ничего, кроме мышей, не боится... Фильм рассказывает об одном дне девочки - дне ее рождения.</t>
        </is>
      </c>
      <c r="L2413" s="2" t="inlineStr">
        <is>
          <t>https://www.kino-teatr.ru/short/movie/sov/80744/annot/</t>
        </is>
      </c>
      <c r="M2413" s="2">
        <f>HYPERLINK("https://ru.wikipedia.org/w/index.php?search=...%20%D0%B0%20%D1%88%D0%B0%D1%80%D0%B8%D0%BA%20%D0%BB%D0%B5%D1%82%D0%B8%D1%82%201987%20%D1%84%D0%B8%D0%BB%D1%8C%D0%BC","искать")</f>
        <v/>
      </c>
      <c r="N2413" s="3" t="n"/>
      <c r="O2413" s="2" t="n"/>
    </row>
    <row r="2414">
      <c r="A2414" s="2" t="n">
        <v>2413</v>
      </c>
      <c r="B2414" s="2" t="inlineStr">
        <is>
          <t>короткая</t>
        </is>
      </c>
      <c r="C2414" s="2" t="n">
        <v>7950</v>
      </c>
      <c r="D2414" s="3" t="inlineStr">
        <is>
          <t>Нас водила молодость...</t>
        </is>
      </c>
      <c r="E2414" s="2" t="n">
        <v>1986</v>
      </c>
      <c r="F2414" s="2" t="inlineStr">
        <is>
          <t>телефильм</t>
        </is>
      </c>
      <c r="G2414" s="2" t="n"/>
      <c r="H2414" s="2" t="n">
        <v>226</v>
      </c>
      <c r="I2414" s="2" t="inlineStr"/>
      <c r="J2414" s="2" t="inlineStr"/>
      <c r="K2414" s="3" t="inlineStr">
        <is>
          <t>Телесериал по мотивам повестей Григория Мирошниченко «Юнармия» и «Именем революции». О ребятах из рабочего поселка Невинка, создавших боевой отряд в помощь Красной Армии. Действие происходит в годы Гражданской войны на Кубани.</t>
        </is>
      </c>
      <c r="L2414" s="2" t="inlineStr">
        <is>
          <t>Кино_СССР сводный каталог.xlsx: список телефильмов</t>
        </is>
      </c>
      <c r="M2414" s="2">
        <f>HYPERLINK("https://ru.wikipedia.org/w/index.php?search=%D0%9D%D0%B0%D1%81%20%D0%B2%D0%BE%D0%B4%D0%B8%D0%BB%D0%B0%20%D0%BC%D0%BE%D0%BB%D0%BE%D0%B4%D0%BE%D1%81%D1%82%D1%8C...%201986%20%D1%84%D0%B8%D0%BB%D1%8C%D0%BC","искать")</f>
        <v/>
      </c>
      <c r="N2414" s="3" t="n"/>
      <c r="O2414" s="2" t="n"/>
    </row>
    <row r="2415">
      <c r="A2415" s="2" t="n">
        <v>2414</v>
      </c>
      <c r="B2415" s="2" t="inlineStr">
        <is>
          <t>короткая</t>
        </is>
      </c>
      <c r="C2415" s="2" t="n">
        <v>8193</v>
      </c>
      <c r="D2415" s="3" t="inlineStr">
        <is>
          <t>Претендент</t>
        </is>
      </c>
      <c r="E2415" s="2" t="n">
        <v>1987</v>
      </c>
      <c r="F2415" s="2" t="inlineStr">
        <is>
          <t>телефильм</t>
        </is>
      </c>
      <c r="G2415" s="2" t="n"/>
      <c r="H2415" s="2" t="n">
        <v>226</v>
      </c>
      <c r="I2415" s="2" t="inlineStr"/>
      <c r="J2415" s="2" t="inlineStr"/>
      <c r="K2415" s="3" t="inlineStr">
        <is>
          <t>Тележурналисту поручают подготовить передачу о знаменитом ведущем Тони Брэдли, погибшем в автокатастрофе. Собирая материал, он приходит к выводу, что смерть телезвезды была неслучайной. По роману Эла Моргана «Великий человек».</t>
        </is>
      </c>
      <c r="L2415" s="2" t="inlineStr">
        <is>
          <t>Кино_СССР сводный каталог.xlsx: список телефильмов</t>
        </is>
      </c>
      <c r="M2415" s="2">
        <f>HYPERLINK("https://ru.wikipedia.org/w/index.php?search=%D0%9F%D1%80%D0%B5%D1%82%D0%B5%D0%BD%D0%B4%D0%B5%D0%BD%D1%82%201987%20%D1%84%D0%B8%D0%BB%D1%8C%D0%BC","искать")</f>
        <v/>
      </c>
      <c r="N2415" s="3" t="n"/>
      <c r="O2415" s="2" t="n"/>
    </row>
    <row r="2416">
      <c r="A2416" s="2" t="n">
        <v>2415</v>
      </c>
      <c r="B2416" s="2" t="inlineStr">
        <is>
          <t>короткая</t>
        </is>
      </c>
      <c r="C2416" s="2" t="n">
        <v>8611</v>
      </c>
      <c r="D2416" s="3" t="inlineStr">
        <is>
          <t>Я и мои соседи</t>
        </is>
      </c>
      <c r="E2416" s="2" t="n">
        <v>1973</v>
      </c>
      <c r="F2416" s="2" t="inlineStr">
        <is>
          <t>телефильм</t>
        </is>
      </c>
      <c r="G2416" s="2" t="n"/>
      <c r="H2416" s="2" t="n">
        <v>226</v>
      </c>
      <c r="I2416" s="2" t="inlineStr"/>
      <c r="J2416" s="2" t="inlineStr"/>
      <c r="K2416" s="3" t="inlineStr">
        <is>
          <t>Ученик машиниста Гоги любит Тинико. Каждый раз, проезжая мимо ее дома, он надеется увидеть девушку в окне. Но отец никуда не отпускает Тинико одну. И все-таки молодым удается встретиться, обманув бдительного строгого родителя.</t>
        </is>
      </c>
      <c r="L2416" s="2" t="inlineStr">
        <is>
          <t>Кино_СССР сводный каталог.xlsx: список телефильмов</t>
        </is>
      </c>
      <c r="M2416" s="2">
        <f>HYPERLINK("https://ru.wikipedia.org/w/index.php?search=%D0%AF%20%D0%B8%20%D0%BC%D0%BE%D0%B8%20%D1%81%D0%BE%D1%81%D0%B5%D0%B4%D0%B8%201973%20%D1%84%D0%B8%D0%BB%D1%8C%D0%BC","искать")</f>
        <v/>
      </c>
      <c r="N2416" s="3" t="n"/>
      <c r="O2416" s="2" t="n"/>
    </row>
    <row r="2417">
      <c r="A2417" s="2" t="n">
        <v>2416</v>
      </c>
      <c r="B2417" s="2" t="inlineStr">
        <is>
          <t>короткая</t>
        </is>
      </c>
      <c r="C2417" s="2" t="n">
        <v>8987</v>
      </c>
      <c r="D2417" s="3" t="inlineStr">
        <is>
          <t>Прорыв</t>
        </is>
      </c>
      <c r="E2417" s="2" t="n">
        <v>1991</v>
      </c>
      <c r="F2417" s="2" t="inlineStr">
        <is>
          <t>кинофильм</t>
        </is>
      </c>
      <c r="G2417" s="2" t="n"/>
      <c r="H2417" s="2" t="n">
        <v>226</v>
      </c>
      <c r="I2417" s="2" t="inlineStr"/>
      <c r="J2417" s="2" t="inlineStr"/>
      <c r="K2417" s="3" t="inlineStr">
        <is>
          <t>История одной экстремальной ситуации на южной границе нашей страны, возникшей в результате контрабандной переброски крупной партии наркотиков. Фильм посвящается 100-летию со дня учреждения Отдельного корпуса Пограничной стражи</t>
        </is>
      </c>
      <c r="L2417" s="2" t="inlineStr">
        <is>
          <t>Кино_СССР сводный каталог.xlsx: список фильмов (доп.)</t>
        </is>
      </c>
      <c r="M2417" s="2">
        <f>HYPERLINK("https://ru.wikipedia.org/w/index.php?search=%D0%9F%D1%80%D0%BE%D1%80%D1%8B%D0%B2%201991%20%D1%84%D0%B8%D0%BB%D1%8C%D0%BC","искать")</f>
        <v/>
      </c>
      <c r="N2417" s="3" t="n"/>
      <c r="O2417" s="2" t="n"/>
    </row>
    <row r="2418">
      <c r="A2418" s="2" t="n">
        <v>2417</v>
      </c>
      <c r="B2418" s="2" t="inlineStr">
        <is>
          <t>короткая</t>
        </is>
      </c>
      <c r="C2418" s="2" t="n">
        <v>7721</v>
      </c>
      <c r="D2418" s="3" t="inlineStr">
        <is>
          <t>Карусель</t>
        </is>
      </c>
      <c r="E2418" s="2" t="n">
        <v>1983</v>
      </c>
      <c r="F2418" s="2" t="inlineStr">
        <is>
          <t>телефильм</t>
        </is>
      </c>
      <c r="G2418" s="2" t="n"/>
      <c r="H2418" s="2" t="n">
        <v>227</v>
      </c>
      <c r="I2418" s="2" t="inlineStr"/>
      <c r="J2418" s="2" t="inlineStr"/>
      <c r="K2418" s="3" t="inlineStr">
        <is>
          <t>Телефильм. Случайное знакомство скульптора Анны и химика Льва вполне может перерасти в глубокое чувство. Но с быстротой крутящейся карусели сменяют друг друга комические ситуации, которые то отдаляют, то сближают героев фильма.</t>
        </is>
      </c>
      <c r="L2418" s="2" t="inlineStr">
        <is>
          <t>Кино_СССР сводный каталог.xlsx: список телефильмов</t>
        </is>
      </c>
      <c r="M2418" s="2">
        <f>HYPERLINK("https://ru.wikipedia.org/w/index.php?search=%D0%9A%D0%B0%D1%80%D1%83%D1%81%D0%B5%D0%BB%D1%8C%201983%20%D1%84%D0%B8%D0%BB%D1%8C%D0%BC","искать")</f>
        <v/>
      </c>
      <c r="N2418" s="3" t="n"/>
      <c r="O2418" s="2" t="n"/>
    </row>
    <row r="2419">
      <c r="A2419" s="2" t="n">
        <v>2418</v>
      </c>
      <c r="B2419" s="2" t="inlineStr">
        <is>
          <t>короткая</t>
        </is>
      </c>
      <c r="C2419" s="2" t="n">
        <v>8160</v>
      </c>
      <c r="D2419" s="3" t="inlineStr">
        <is>
          <t>Понедельник - день обычный</t>
        </is>
      </c>
      <c r="E2419" s="2" t="n">
        <v>1984</v>
      </c>
      <c r="F2419" s="2" t="inlineStr">
        <is>
          <t>телефильм</t>
        </is>
      </c>
      <c r="G2419" s="2" t="n"/>
      <c r="H2419" s="2" t="n">
        <v>227</v>
      </c>
      <c r="I2419" s="2" t="inlineStr"/>
      <c r="J2419" s="2" t="inlineStr"/>
      <c r="K2419" s="3" t="inlineStr">
        <is>
          <t>Телефильм. Киноповесть об обычном рабочем дне председателя горисполкома Рамаза Павловича Авалиани. К нему на прием приходят разные люди, с разными целями и всем он старается помочь, вникнуть во все просьбы, разрешить все споры.</t>
        </is>
      </c>
      <c r="L2419" s="2" t="inlineStr">
        <is>
          <t>Кино_СССР сводный каталог.xlsx: список телефильмов</t>
        </is>
      </c>
      <c r="M2419" s="2">
        <f>HYPERLINK("https://ru.wikipedia.org/w/index.php?search=%D0%9F%D0%BE%D0%BD%D0%B5%D0%B4%D0%B5%D0%BB%D1%8C%D0%BD%D0%B8%D0%BA%20-%20%D0%B4%D0%B5%D0%BD%D1%8C%20%D0%BE%D0%B1%D1%8B%D1%87%D0%BD%D1%8B%D0%B9%201984%20%D1%84%D0%B8%D0%BB%D1%8C%D0%BC","искать")</f>
        <v/>
      </c>
      <c r="N2419" s="3" t="n"/>
      <c r="O2419" s="2" t="n"/>
    </row>
    <row r="2420">
      <c r="A2420" s="2" t="n">
        <v>2419</v>
      </c>
      <c r="B2420" s="2" t="inlineStr">
        <is>
          <t>короткая</t>
        </is>
      </c>
      <c r="C2420" s="2" t="n">
        <v>9501</v>
      </c>
      <c r="D2420" s="3" t="inlineStr">
        <is>
          <t>Нелюбовь</t>
        </is>
      </c>
      <c r="E2420" s="2" t="n">
        <v>1991</v>
      </c>
      <c r="F2420" s="2" t="inlineStr">
        <is>
          <t>кинофильм</t>
        </is>
      </c>
      <c r="G2420" s="2" t="n"/>
      <c r="H2420" s="2" t="n">
        <v>227</v>
      </c>
      <c r="I2420" s="2" t="inlineStr"/>
      <c r="J2420" s="2" t="inlineStr"/>
      <c r="K2420" s="3" t="inlineStr">
        <is>
          <t>В центре мелодраматического сюжета история девушки, оказавшейся в непростой ситуации. Она встречается одновременно с двумя мужчинами: знаменитым фотографом и студентом. Нелюбовь героини к обоим делает их несчастными. И ее тоже.</t>
        </is>
      </c>
      <c r="L2420" s="2" t="inlineStr">
        <is>
          <t>Кино_СССР сводный каталог.xlsx: список фильмов (доп.)</t>
        </is>
      </c>
      <c r="M2420" s="2">
        <f>HYPERLINK("https://ru.wikipedia.org/w/index.php?search=%D0%9D%D0%B5%D0%BB%D1%8E%D0%B1%D0%BE%D0%B2%D1%8C%201991%20%D1%84%D0%B8%D0%BB%D1%8C%D0%BC","искать")</f>
        <v/>
      </c>
      <c r="N2420" s="3" t="n"/>
      <c r="O2420" s="2" t="n"/>
    </row>
    <row r="2421">
      <c r="A2421" s="2" t="n">
        <v>2420</v>
      </c>
      <c r="B2421" s="2" t="inlineStr">
        <is>
          <t>короткая</t>
        </is>
      </c>
      <c r="C2421" s="2" t="n">
        <v>11173</v>
      </c>
      <c r="D2421" s="3" t="inlineStr">
        <is>
          <t>На дне</t>
        </is>
      </c>
      <c r="E2421" s="2" t="n">
        <v>1987</v>
      </c>
      <c r="F2421" s="2" t="inlineStr">
        <is>
          <t>фильм-спектакль</t>
        </is>
      </c>
      <c r="G2421" s="2" t="inlineStr">
        <is>
          <t>Арменфильм</t>
        </is>
      </c>
      <c r="H2421" s="2" t="n">
        <v>227</v>
      </c>
      <c r="I2421" s="2" t="inlineStr"/>
      <c r="J2421" s="2" t="inlineStr"/>
      <c r="K2421" s="3" t="inlineStr">
        <is>
          <t>По мотивам одноименной пьесы М.Горького.
Действие разворачивается “на дне” общества, в ночлежке, разнохарактерные обитатели которой ведут каждодневную борьбу за существование, перемежающуюся с отчаянными спорами о смысле жизни.</t>
        </is>
      </c>
      <c r="L2421" s="2" t="inlineStr">
        <is>
          <t>https://www.kino-teatr.ru/teatr/movie/11073/annot/</t>
        </is>
      </c>
      <c r="M2421" s="2">
        <f>HYPERLINK("https://ru.wikipedia.org/w/index.php?search=%D0%9D%D0%B0%20%D0%B4%D0%BD%D0%B5%201987%20%D1%84%D0%B8%D0%BB%D1%8C%D0%BC","искать")</f>
        <v/>
      </c>
      <c r="N2421" s="3" t="n"/>
      <c r="O2421" s="2" t="n"/>
    </row>
    <row r="2422">
      <c r="A2422" s="2" t="n">
        <v>2421</v>
      </c>
      <c r="B2422" s="2" t="inlineStr">
        <is>
          <t>короткая</t>
        </is>
      </c>
      <c r="C2422" s="2" t="n">
        <v>11292</v>
      </c>
      <c r="D2422" s="3" t="inlineStr">
        <is>
          <t>Юбилейное танго</t>
        </is>
      </c>
      <c r="E2422" s="2" t="n">
        <v>1989</v>
      </c>
      <c r="F2422" s="2" t="inlineStr">
        <is>
          <t>фильм-спектакль</t>
        </is>
      </c>
      <c r="G2422" s="2" t="inlineStr">
        <is>
          <t>Главная редакция литературно-драматических программ ЦТ</t>
        </is>
      </c>
      <c r="H2422" s="2" t="n">
        <v>227</v>
      </c>
      <c r="I2422" s="2" t="inlineStr"/>
      <c r="J2422" s="2" t="inlineStr"/>
      <c r="K2422" s="3" t="inlineStr">
        <is>
          <t>Начальник цеха Шухов, возглавив госприемку на своем заводе, вскоре зазнался, стал высокомерно относиться к товарищам по работе, "вызывать на ковер" подчиненных. Вот почему на его 50-летие никто из приглашенных коллег не пришел.</t>
        </is>
      </c>
      <c r="L2422" s="2" t="inlineStr">
        <is>
          <t>https://www.kino-teatr.ru/teatr/movie/15456/annot/</t>
        </is>
      </c>
      <c r="M2422" s="2">
        <f>HYPERLINK("https://ru.wikipedia.org/w/index.php?search=%D0%AE%D0%B1%D0%B8%D0%BB%D0%B5%D0%B9%D0%BD%D0%BE%D0%B5%20%D1%82%D0%B0%D0%BD%D0%B3%D0%BE%201989%20%D1%84%D0%B8%D0%BB%D1%8C%D0%BC","искать")</f>
        <v/>
      </c>
      <c r="N2422" s="3" t="n"/>
      <c r="O2422" s="2" t="n"/>
    </row>
    <row r="2423">
      <c r="A2423" s="2" t="n">
        <v>2422</v>
      </c>
      <c r="B2423" s="2" t="inlineStr">
        <is>
          <t>короткая</t>
        </is>
      </c>
      <c r="C2423" s="2" t="n">
        <v>7257</v>
      </c>
      <c r="D2423" s="3" t="inlineStr">
        <is>
          <t>Боба и слон</t>
        </is>
      </c>
      <c r="E2423" s="2" t="n">
        <v>1972</v>
      </c>
      <c r="F2423" s="2" t="inlineStr">
        <is>
          <t>телефильм</t>
        </is>
      </c>
      <c r="G2423" s="2" t="n"/>
      <c r="H2423" s="2" t="n">
        <v>228</v>
      </c>
      <c r="I2423" s="2" t="inlineStr"/>
      <c r="J2423" s="2" t="inlineStr"/>
      <c r="K2423" s="3" t="inlineStr">
        <is>
          <t>История о том, как из ленинградского зоопарка ушёл слон, а пятилетний мальчик, мама которого торгует мороженым в парке, подружился с беглецом и помог взрослым возвратить пропажу. В фильме звучит знаменитая детская песня о слоне.</t>
        </is>
      </c>
      <c r="L2423" s="2" t="inlineStr">
        <is>
          <t>Кино_СССР сводный каталог.xlsx: список телефильмов</t>
        </is>
      </c>
      <c r="M2423" s="2">
        <f>HYPERLINK("https://ru.wikipedia.org/w/index.php?search=%D0%91%D0%BE%D0%B1%D0%B0%20%D0%B8%20%D1%81%D0%BB%D0%BE%D0%BD%201972%20%D1%84%D0%B8%D0%BB%D1%8C%D0%BC","искать")</f>
        <v/>
      </c>
      <c r="N2423" s="3" t="n"/>
      <c r="O2423" s="2" t="n"/>
    </row>
    <row r="2424">
      <c r="A2424" s="2" t="n">
        <v>2423</v>
      </c>
      <c r="B2424" s="2" t="inlineStr">
        <is>
          <t>короткая</t>
        </is>
      </c>
      <c r="C2424" s="2" t="n">
        <v>7781</v>
      </c>
      <c r="D2424" s="3" t="inlineStr">
        <is>
          <t>Куда исчез Фоменко?</t>
        </is>
      </c>
      <c r="E2424" s="2" t="n">
        <v>1981</v>
      </c>
      <c r="F2424" s="2" t="inlineStr">
        <is>
          <t>телефильм</t>
        </is>
      </c>
      <c r="G2424" s="2" t="n"/>
      <c r="H2424" s="2" t="n">
        <v>228</v>
      </c>
      <c r="I2424" s="2" t="inlineStr"/>
      <c r="J2424" s="2" t="inlineStr"/>
      <c r="K2424" s="3" t="inlineStr">
        <is>
          <t>Телефильм. Когда на производстве и дома поняли, что Фоменко сбежал от жизни и надоевших обстоятельств, то семья и дружный товарищеский коллектив, осознав недостатки и согласовав действия двух сторон, пришли на помощь друг другу.</t>
        </is>
      </c>
      <c r="L2424" s="2" t="inlineStr">
        <is>
          <t>Кино_СССР сводный каталог.xlsx: список телефильмов</t>
        </is>
      </c>
      <c r="M2424" s="2">
        <f>HYPERLINK("https://ru.wikipedia.org/w/index.php?search=%D0%9A%D1%83%D0%B4%D0%B0%20%D0%B8%D1%81%D1%87%D0%B5%D0%B7%20%D0%A4%D0%BE%D0%BC%D0%B5%D0%BD%D0%BA%D0%BE%3F%201981%20%D1%84%D0%B8%D0%BB%D1%8C%D0%BC","искать")</f>
        <v/>
      </c>
      <c r="N2424" s="3" t="n"/>
      <c r="O2424" s="2" t="n"/>
    </row>
    <row r="2425">
      <c r="A2425" s="2" t="n">
        <v>2424</v>
      </c>
      <c r="B2425" s="2" t="inlineStr">
        <is>
          <t>короткая</t>
        </is>
      </c>
      <c r="C2425" s="2" t="n">
        <v>8243</v>
      </c>
      <c r="D2425" s="3" t="inlineStr">
        <is>
          <t>Пуск</t>
        </is>
      </c>
      <c r="E2425" s="2" t="n">
        <v>1978</v>
      </c>
      <c r="F2425" s="2" t="inlineStr">
        <is>
          <t>телефильм</t>
        </is>
      </c>
      <c r="G2425" s="2" t="n"/>
      <c r="H2425" s="2" t="n">
        <v>228</v>
      </c>
      <c r="I2425" s="2" t="inlineStr"/>
      <c r="J2425" s="2" t="inlineStr"/>
      <c r="K2425" s="3" t="inlineStr">
        <is>
          <t>По пьесе Геннадия Бокарева. На заводе «Автодизель» готовят к пуску автоматическую линию по выпуску моторов. Неустранённые недоделки и работа в авральном режиме заставляют рабочих и инженеров разбираться в причинах происходящего.</t>
        </is>
      </c>
      <c r="L2425" s="2" t="inlineStr">
        <is>
          <t>Кино_СССР сводный каталог.xlsx: список телефильмов</t>
        </is>
      </c>
      <c r="M2425" s="2">
        <f>HYPERLINK("https://ru.wikipedia.org/w/index.php?search=%D0%9F%D1%83%D1%81%D0%BA%201978%20%D1%84%D0%B8%D0%BB%D1%8C%D0%BC","искать")</f>
        <v/>
      </c>
      <c r="N2425" s="3" t="n"/>
      <c r="O2425" s="2" t="n"/>
    </row>
    <row r="2426">
      <c r="A2426" s="2" t="n">
        <v>2425</v>
      </c>
      <c r="B2426" s="2" t="inlineStr">
        <is>
          <t>короткая</t>
        </is>
      </c>
      <c r="C2426" s="2" t="n">
        <v>8499</v>
      </c>
      <c r="D2426" s="3" t="inlineStr">
        <is>
          <t>Украли зебру</t>
        </is>
      </c>
      <c r="E2426" s="2" t="n">
        <v>1972</v>
      </c>
      <c r="F2426" s="2" t="inlineStr">
        <is>
          <t>телефильм</t>
        </is>
      </c>
      <c r="G2426" s="2" t="n"/>
      <c r="H2426" s="2" t="n">
        <v>228</v>
      </c>
      <c r="I2426" s="2" t="inlineStr"/>
      <c r="J2426" s="2" t="inlineStr"/>
      <c r="K2426" s="3" t="inlineStr">
        <is>
          <t>Фильм состоит из трех новелл: "Пирог с бананом", "Наводнение в буфете", "Заговор на конюшне", рассказывающих о забавных приключениях обезьянки Дони, ее новых знакомых шимпанзе Зиты и Микки, а также других дрессированных животных</t>
        </is>
      </c>
      <c r="L2426" s="2" t="inlineStr">
        <is>
          <t>Кино_СССР сводный каталог.xlsx: список телефильмов</t>
        </is>
      </c>
      <c r="M2426" s="2">
        <f>HYPERLINK("https://ru.wikipedia.org/w/index.php?search=%D0%A3%D0%BA%D1%80%D0%B0%D0%BB%D0%B8%20%D0%B7%D0%B5%D0%B1%D1%80%D1%83%201972%20%D1%84%D0%B8%D0%BB%D1%8C%D0%BC","искать")</f>
        <v/>
      </c>
      <c r="N2426" s="3" t="n"/>
      <c r="O2426" s="2" t="n"/>
    </row>
    <row r="2427">
      <c r="A2427" s="2" t="n">
        <v>2426</v>
      </c>
      <c r="B2427" s="2" t="inlineStr">
        <is>
          <t>короткая</t>
        </is>
      </c>
      <c r="C2427" s="2" t="n">
        <v>8840</v>
      </c>
      <c r="D2427" s="3" t="inlineStr">
        <is>
          <t>Мне не забыть, не простить</t>
        </is>
      </c>
      <c r="E2427" s="2" t="n">
        <v>1990</v>
      </c>
      <c r="F2427" s="2" t="inlineStr">
        <is>
          <t>кинофильм</t>
        </is>
      </c>
      <c r="G2427" s="2" t="n"/>
      <c r="H2427" s="2" t="n">
        <v>228</v>
      </c>
      <c r="I2427" s="2" t="inlineStr"/>
      <c r="J2427" s="2" t="inlineStr"/>
      <c r="K2427" s="3" t="inlineStr">
        <is>
          <t>Дочери героя фильма срочно необходима помощь квалифицированного врача. В руках у него заветный адрес. Та, к которой он уже мчится через весь город, его узнает сразу. Но сейчас она — акушер-гинеколог, и ей предстоит тяжелая ночь.</t>
        </is>
      </c>
      <c r="L2427" s="2" t="inlineStr">
        <is>
          <t>Кино_СССР сводный каталог.xlsx: список фильмов (доп.)</t>
        </is>
      </c>
      <c r="M2427" s="2">
        <f>HYPERLINK("https://ru.wikipedia.org/w/index.php?search=%D0%9C%D0%BD%D0%B5%20%D0%BD%D0%B5%20%D0%B7%D0%B0%D0%B1%D1%8B%D1%82%D1%8C%2C%20%D0%BD%D0%B5%20%D0%BF%D1%80%D0%BE%D1%81%D1%82%D0%B8%D1%82%D1%8C%201990%20%D1%84%D0%B8%D0%BB%D1%8C%D0%BC","искать")</f>
        <v/>
      </c>
      <c r="N2427" s="3" t="n"/>
      <c r="O2427" s="2" t="n"/>
    </row>
    <row r="2428">
      <c r="A2428" s="2" t="n">
        <v>2427</v>
      </c>
      <c r="B2428" s="2" t="inlineStr">
        <is>
          <t>короткая</t>
        </is>
      </c>
      <c r="C2428" s="2" t="n">
        <v>9951</v>
      </c>
      <c r="D2428" s="3" t="inlineStr">
        <is>
          <t>Гость</t>
        </is>
      </c>
      <c r="E2428" s="2" t="n">
        <v>1980</v>
      </c>
      <c r="F2428" s="2" t="inlineStr">
        <is>
          <t>кинофильм</t>
        </is>
      </c>
      <c r="G2428" s="2" t="inlineStr">
        <is>
          <t>Одесская киностудия</t>
        </is>
      </c>
      <c r="H2428" s="2" t="n">
        <v>228</v>
      </c>
      <c r="I2428" s="2" t="inlineStr"/>
      <c r="J2428" s="2" t="inlineStr"/>
      <c r="K2428" s="3" t="inlineStr">
        <is>
          <t>В новогоднюю ночь собралась небольшая компания. Неожиданный звонок прервал веселье. За дверью стоял сосед, которого хозяева недолюбливали. Выключили свет, сделав вид, что дома никого нет. Через некоторое время всех охватил стыд.</t>
        </is>
      </c>
      <c r="L2428" s="2" t="inlineStr">
        <is>
          <t>https://www.kino-teatr.ru/short/movie/sov/1491/annot/</t>
        </is>
      </c>
      <c r="M2428" s="2">
        <f>HYPERLINK("https://ru.wikipedia.org/w/index.php?search=%D0%93%D0%BE%D1%81%D1%82%D1%8C%201980%20%D1%84%D0%B8%D0%BB%D1%8C%D0%BC","искать")</f>
        <v/>
      </c>
      <c r="N2428" s="3" t="n"/>
      <c r="O2428" s="2" t="n"/>
    </row>
    <row r="2429">
      <c r="A2429" s="2" t="n">
        <v>2428</v>
      </c>
      <c r="B2429" s="2" t="inlineStr">
        <is>
          <t>короткая</t>
        </is>
      </c>
      <c r="C2429" s="2" t="n">
        <v>11074</v>
      </c>
      <c r="D2429" s="3" t="inlineStr">
        <is>
          <t>Пять романсов в старом доме</t>
        </is>
      </c>
      <c r="E2429" s="2" t="n">
        <v>1985</v>
      </c>
      <c r="F2429" s="2" t="inlineStr">
        <is>
          <t>фильм-спектакль</t>
        </is>
      </c>
      <c r="G2429" s="2" t="inlineStr">
        <is>
          <t>Ленинградское телевидение</t>
        </is>
      </c>
      <c r="H2429" s="2" t="n">
        <v>228</v>
      </c>
      <c r="I2429" s="2" t="inlineStr"/>
      <c r="J2429" s="2" t="inlineStr"/>
      <c r="K2429" s="3" t="inlineStr">
        <is>
          <t>По пьесе Владимира Арро.
Шуточное ли дело – ремонт в старом доме, более 100 лет служившим кровом для многих и разных судеб и поколений. И порой случайное знакомство с давней историей может в корне изменить привычный уклад жизни.</t>
        </is>
      </c>
      <c r="L2429" s="2" t="inlineStr">
        <is>
          <t>https://www.kino-teatr.ru/teatr/movie/124005/annot/</t>
        </is>
      </c>
      <c r="M2429" s="2">
        <f>HYPERLINK("https://ru.wikipedia.org/w/index.php?search=%D0%9F%D1%8F%D1%82%D1%8C%20%D1%80%D0%BE%D0%BC%D0%B0%D0%BD%D1%81%D0%BE%D0%B2%20%D0%B2%20%D1%81%D1%82%D0%B0%D1%80%D0%BE%D0%BC%20%D0%B4%D0%BE%D0%BC%D0%B5%201985%20%D1%84%D0%B8%D0%BB%D1%8C%D0%BC","искать")</f>
        <v/>
      </c>
      <c r="N2429" s="3" t="n"/>
      <c r="O2429" s="2" t="n"/>
    </row>
    <row r="2430">
      <c r="A2430" s="2" t="n">
        <v>2429</v>
      </c>
      <c r="B2430" s="2" t="inlineStr">
        <is>
          <t>короткая</t>
        </is>
      </c>
      <c r="C2430" s="2" t="n">
        <v>8196</v>
      </c>
      <c r="D2430" s="3" t="inlineStr">
        <is>
          <t>Привет с фронта</t>
        </is>
      </c>
      <c r="E2430" s="2" t="n">
        <v>1983</v>
      </c>
      <c r="F2430" s="2" t="inlineStr">
        <is>
          <t>телефильм</t>
        </is>
      </c>
      <c r="G2430" s="2" t="n"/>
      <c r="H2430" s="2" t="n">
        <v>229</v>
      </c>
      <c r="I2430" s="2" t="inlineStr"/>
      <c r="J2430" s="2" t="inlineStr"/>
      <c r="K2430" s="3" t="inlineStr">
        <is>
          <t>Действие фильма происходит в годы Великой Отечественной войны. Раненый солдат Юра полюбил медсестру Нину, но так и не решился ей признаться. Из первого письма Нина узнала о его любви - и ждала новых писем, не зная, что Юра погиб.</t>
        </is>
      </c>
      <c r="L2430" s="2" t="inlineStr">
        <is>
          <t>Кино_СССР сводный каталог.xlsx: список телефильмов</t>
        </is>
      </c>
      <c r="M2430" s="2">
        <f>HYPERLINK("https://ru.wikipedia.org/w/index.php?search=%D0%9F%D1%80%D0%B8%D0%B2%D0%B5%D1%82%20%D1%81%20%D1%84%D1%80%D0%BE%D0%BD%D1%82%D0%B0%201983%20%D1%84%D0%B8%D0%BB%D1%8C%D0%BC","искать")</f>
        <v/>
      </c>
      <c r="N2430" s="3" t="n"/>
      <c r="O2430" s="2" t="n"/>
    </row>
    <row r="2431">
      <c r="A2431" s="2" t="n">
        <v>2430</v>
      </c>
      <c r="B2431" s="2" t="inlineStr">
        <is>
          <t>короткая</t>
        </is>
      </c>
      <c r="C2431" s="2" t="n">
        <v>8438</v>
      </c>
      <c r="D2431" s="3" t="inlineStr">
        <is>
          <t>Талант</t>
        </is>
      </c>
      <c r="E2431" s="2" t="n">
        <v>1977</v>
      </c>
      <c r="F2431" s="2" t="inlineStr">
        <is>
          <t>телефильм</t>
        </is>
      </c>
      <c r="G2431" s="2" t="n"/>
      <c r="H2431" s="2" t="n">
        <v>229</v>
      </c>
      <c r="I2431" s="2" t="inlineStr"/>
      <c r="J2431" s="2" t="inlineStr"/>
      <c r="K2431" s="3" t="inlineStr">
        <is>
          <t>По мотивам романа Александра Бека "Жизнь Бережкова". Герой фильма — талантливый авиаконструктор Бережков, начинает свою карьеру с нуля и в итоге становится главным конструктором. Между этими событиями — годы и годы трудной жизни.</t>
        </is>
      </c>
      <c r="L2431" s="2" t="inlineStr">
        <is>
          <t>Кино_СССР сводный каталог.xlsx: список телефильмов</t>
        </is>
      </c>
      <c r="M2431" s="2">
        <f>HYPERLINK("https://ru.wikipedia.org/w/index.php?search=%D0%A2%D0%B0%D0%BB%D0%B0%D0%BD%D1%82%201977%20%D1%84%D0%B8%D0%BB%D1%8C%D0%BC","искать")</f>
        <v/>
      </c>
      <c r="N2431" s="3" t="n"/>
      <c r="O2431" s="2" t="n"/>
    </row>
    <row r="2432">
      <c r="A2432" s="2" t="n">
        <v>2431</v>
      </c>
      <c r="B2432" s="2" t="inlineStr">
        <is>
          <t>короткая</t>
        </is>
      </c>
      <c r="C2432" s="2" t="n">
        <v>8453</v>
      </c>
      <c r="D2432" s="3" t="inlineStr">
        <is>
          <t>Тимур и его команда</t>
        </is>
      </c>
      <c r="E2432" s="2" t="n">
        <v>1976</v>
      </c>
      <c r="F2432" s="2" t="inlineStr">
        <is>
          <t>телефильм</t>
        </is>
      </c>
      <c r="G2432" s="2" t="inlineStr">
        <is>
          <t>Одесская киностудия (по заказу «Гостелерадио СССР»)</t>
        </is>
      </c>
      <c r="H2432" s="2" t="n">
        <v>229</v>
      </c>
      <c r="I2432" s="2" t="inlineStr"/>
      <c r="J2432" s="2" t="inlineStr"/>
      <c r="K2432" s="3" t="inlineStr">
        <is>
          <t>По одноименному произведению Аркадия Гайдара. О патриотическом начинании группы пионеров во главе с племянником командира Красной Армии Гараевым - Тимуром. Ребята решили оказывать помощь, охранять и защищать семьи красноармейцев.</t>
        </is>
      </c>
      <c r="L2432" s="2" t="inlineStr">
        <is>
          <t>Кино_СССР сводный каталог.xlsx: список телефильмов</t>
        </is>
      </c>
      <c r="M2432" s="2">
        <f>HYPERLINK("https://ru.wikipedia.org/w/index.php?search=%D0%A2%D0%B8%D0%BC%D1%83%D1%80%20%D0%B8%20%D0%B5%D0%B3%D0%BE%20%D0%BA%D0%BE%D0%BC%D0%B0%D0%BD%D0%B4%D0%B0%201976%20%D1%84%D0%B8%D0%BB%D1%8C%D0%BC","искать")</f>
        <v/>
      </c>
      <c r="N2432" s="3" t="n"/>
      <c r="O2432" s="2" t="n"/>
    </row>
    <row r="2433">
      <c r="A2433" s="2" t="n">
        <v>2432</v>
      </c>
      <c r="B2433" s="2" t="inlineStr">
        <is>
          <t>короткая</t>
        </is>
      </c>
      <c r="C2433" s="2" t="n">
        <v>8831</v>
      </c>
      <c r="D2433" s="3" t="inlineStr">
        <is>
          <t>Мёртвые без погребения, или Охота на крыс</t>
        </is>
      </c>
      <c r="E2433" s="2" t="n">
        <v>1991</v>
      </c>
      <c r="F2433" s="2" t="inlineStr">
        <is>
          <t>кинофильм</t>
        </is>
      </c>
      <c r="G2433" s="2" t="n"/>
      <c r="H2433" s="2" t="n">
        <v>229</v>
      </c>
      <c r="I2433" s="2" t="inlineStr"/>
      <c r="J2433" s="2" t="inlineStr"/>
      <c r="K2433" s="3" t="inlineStr">
        <is>
          <t>Фильм состоит из двух новелл. Первая, по рассказу Сартра: пять человек становятся жертвами нелепого случая и нуждаются в защите. В своем несчастье каждый обвиняет остальных четверых... В основе второй новеллы - любовный поединок.</t>
        </is>
      </c>
      <c r="L2433" s="2" t="inlineStr">
        <is>
          <t>Кино_СССР сводный каталог.xlsx: список фильмов (доп.)</t>
        </is>
      </c>
      <c r="M2433" s="2">
        <f>HYPERLINK("https://ru.wikipedia.org/w/index.php?search=%D0%9C%D1%91%D1%80%D1%82%D0%B2%D1%8B%D0%B5%20%D0%B1%D0%B5%D0%B7%20%D0%BF%D0%BE%D0%B3%D1%80%D0%B5%D0%B1%D0%B5%D0%BD%D0%B8%D1%8F%2C%20%D0%B8%D0%BB%D0%B8%20%D0%9E%D1%85%D0%BE%D1%82%D0%B0%20%D0%BD%D0%B0%20%D0%BA%D1%80%D1%8B%D1%81%201991%20%D1%84%D0%B8%D0%BB%D1%8C%D0%BC","искать")</f>
        <v/>
      </c>
      <c r="N2433" s="3" t="n"/>
      <c r="O2433" s="2" t="n"/>
    </row>
    <row r="2434">
      <c r="A2434" s="2" t="n">
        <v>2433</v>
      </c>
      <c r="B2434" s="2" t="inlineStr">
        <is>
          <t>короткая</t>
        </is>
      </c>
      <c r="C2434" s="2" t="n">
        <v>9866</v>
      </c>
      <c r="D2434" s="3" t="inlineStr">
        <is>
          <t>Фотография</t>
        </is>
      </c>
      <c r="E2434" s="2" t="n">
        <v>1969</v>
      </c>
      <c r="F2434" s="2" t="inlineStr">
        <is>
          <t>телефильм</t>
        </is>
      </c>
      <c r="G2434" s="2" t="inlineStr">
        <is>
          <t>студия т/ф “Ереван”</t>
        </is>
      </c>
      <c r="H2434" s="2" t="n">
        <v>229</v>
      </c>
      <c r="I2434" s="2" t="inlineStr"/>
      <c r="J2434" s="2" t="inlineStr"/>
      <c r="K2434" s="3" t="inlineStr">
        <is>
          <t>Сын Авага присылает с фронта свою фотографию и просит родных также сфотографироваться и прислать ему снимок. Но следом за фотографией приходит похоронка, и когда вся родня собирается перед фотоаппаратом, только Аваг знает правду.</t>
        </is>
      </c>
      <c r="L2434" s="2" t="inlineStr">
        <is>
          <t>https://www.kino-teatr.ru/short/movie/sov/15371/annot/</t>
        </is>
      </c>
      <c r="M2434" s="2">
        <f>HYPERLINK("https://ru.wikipedia.org/w/index.php?search=%D0%A4%D0%BE%D1%82%D0%BE%D0%B3%D1%80%D0%B0%D1%84%D0%B8%D1%8F%201969%20%D1%84%D0%B8%D0%BB%D1%8C%D0%BC","искать")</f>
        <v/>
      </c>
      <c r="N2434" s="3" t="n"/>
      <c r="O2434" s="2" t="n"/>
    </row>
    <row r="2435">
      <c r="A2435" s="2" t="n">
        <v>2434</v>
      </c>
      <c r="B2435" s="2" t="inlineStr">
        <is>
          <t>короткая</t>
        </is>
      </c>
      <c r="C2435" s="2" t="n">
        <v>10312</v>
      </c>
      <c r="D2435" s="3" t="inlineStr">
        <is>
          <t>Конец "Чёрных рыцарей"</t>
        </is>
      </c>
      <c r="E2435" s="2" t="n">
        <v>1969</v>
      </c>
      <c r="F2435" s="2" t="inlineStr">
        <is>
          <t>фильм-спектакль</t>
        </is>
      </c>
      <c r="G2435" s="2" t="inlineStr">
        <is>
          <t>Центральное телевидение</t>
        </is>
      </c>
      <c r="H2435" s="2" t="n">
        <v>229</v>
      </c>
      <c r="I2435" s="2" t="inlineStr"/>
      <c r="J2435" s="2" t="inlineStr"/>
      <c r="K2435" s="3" t="inlineStr">
        <is>
          <t>По мотивам одноименной повести Ивана Лебедева.
О разоблачении советскими разведчиками неонацистской организации "Черные рыцари", которая пыталась возродить фашистское движение в Европе. Действие происходит в 1956 году во Франции.</t>
        </is>
      </c>
      <c r="L2435" s="2" t="inlineStr">
        <is>
          <t>https://www.kino-teatr.ru/teatr/movie/92985/annot/</t>
        </is>
      </c>
      <c r="M2435" s="2">
        <f>HYPERLINK("https://ru.wikipedia.org/w/index.php?search=%D0%9A%D0%BE%D0%BD%D0%B5%D1%86%20%22%D0%A7%D1%91%D1%80%D0%BD%D1%8B%D1%85%20%D1%80%D1%8B%D1%86%D0%B0%D1%80%D0%B5%D0%B9%22%201969%20%D1%84%D0%B8%D0%BB%D1%8C%D0%BC","искать")</f>
        <v/>
      </c>
      <c r="N2435" s="3" t="n"/>
      <c r="O2435" s="2" t="n"/>
    </row>
    <row r="2436">
      <c r="A2436" s="2" t="n">
        <v>2435</v>
      </c>
      <c r="B2436" s="2" t="inlineStr">
        <is>
          <t>короткая</t>
        </is>
      </c>
      <c r="C2436" s="2" t="n">
        <v>7534</v>
      </c>
      <c r="D2436" s="3" t="inlineStr">
        <is>
          <t>Долгое эхо</t>
        </is>
      </c>
      <c r="E2436" s="2" t="n">
        <v>1983</v>
      </c>
      <c r="F2436" s="2" t="inlineStr">
        <is>
          <t>телефильм</t>
        </is>
      </c>
      <c r="G2436" s="2" t="n"/>
      <c r="H2436" s="2" t="n">
        <v>230</v>
      </c>
      <c r="I2436" s="2" t="inlineStr"/>
      <c r="J2436" s="2" t="inlineStr"/>
      <c r="K2436" s="3" t="inlineStr">
        <is>
          <t>По повести А.Михайленко "Обелиск". Фильм о чувстве долга молодых людей перед теми, кто во время Великой Отечественной войны отдал свои жизни. Молодому скульптору поручили высечь на памятнике имена жителей села, погибших за Родину.</t>
        </is>
      </c>
      <c r="L2436" s="2" t="inlineStr">
        <is>
          <t>Кино_СССР сводный каталог.xlsx: список телефильмов</t>
        </is>
      </c>
      <c r="M2436" s="2">
        <f>HYPERLINK("https://ru.wikipedia.org/w/index.php?search=%D0%94%D0%BE%D0%BB%D0%B3%D0%BE%D0%B5%20%D1%8D%D1%85%D0%BE%201983%20%D1%84%D0%B8%D0%BB%D1%8C%D0%BC","искать")</f>
        <v/>
      </c>
      <c r="N2436" s="3" t="n"/>
      <c r="O2436" s="2" t="n"/>
    </row>
    <row r="2437">
      <c r="A2437" s="2" t="n">
        <v>2436</v>
      </c>
      <c r="B2437" s="2" t="inlineStr">
        <is>
          <t>короткая</t>
        </is>
      </c>
      <c r="C2437" s="2" t="n">
        <v>8076</v>
      </c>
      <c r="D2437" s="3" t="inlineStr">
        <is>
          <t>Пакет</t>
        </is>
      </c>
      <c r="E2437" s="2" t="n">
        <v>1965</v>
      </c>
      <c r="F2437" s="2" t="inlineStr">
        <is>
          <t>телефильм</t>
        </is>
      </c>
      <c r="G2437" s="2" t="n"/>
      <c r="H2437" s="2" t="n">
        <v>230</v>
      </c>
      <c r="I2437" s="2" t="inlineStr"/>
      <c r="J2437" s="2" t="inlineStr"/>
      <c r="K2437" s="3" t="inlineStr">
        <is>
          <t>По одноименной повести Л.Пантелеева. Действие фильма происходит в годы гражданской войны. Красноармеец Трофимов (Валерий Золотухин) получает задание доставить донесение С.М.Буденному. В пути герой попадает в плен к белогвардейцам.</t>
        </is>
      </c>
      <c r="L2437" s="2" t="inlineStr">
        <is>
          <t>Кино_СССР сводный каталог.xlsx: список телефильмов</t>
        </is>
      </c>
      <c r="M2437" s="2">
        <f>HYPERLINK("https://ru.wikipedia.org/w/index.php?search=%D0%9F%D0%B0%D0%BA%D0%B5%D1%82%201965%20%D1%84%D0%B8%D0%BB%D1%8C%D0%BC","искать")</f>
        <v/>
      </c>
      <c r="N2437" s="3" t="n"/>
      <c r="O2437" s="2" t="n"/>
    </row>
    <row r="2438">
      <c r="A2438" s="2" t="n">
        <v>2437</v>
      </c>
      <c r="B2438" s="2" t="inlineStr">
        <is>
          <t>короткая</t>
        </is>
      </c>
      <c r="C2438" s="2" t="n">
        <v>9110</v>
      </c>
      <c r="D2438" s="3" t="inlineStr">
        <is>
          <t>Три дня</t>
        </is>
      </c>
      <c r="E2438" s="2" t="n">
        <v>1991</v>
      </c>
      <c r="F2438" s="2" t="inlineStr">
        <is>
          <t>кинофильм</t>
        </is>
      </c>
      <c r="G2438" s="2" t="n"/>
      <c r="H2438" s="2" t="n">
        <v>230</v>
      </c>
      <c r="I2438" s="2" t="inlineStr"/>
      <c r="J2438" s="2" t="inlineStr"/>
      <c r="K2438" s="3" t="inlineStr">
        <is>
          <t>Антиистория двух молодых людей, отправившихся на три дня в «ничью землю», их встречи с персонажами чужого города-монстра. Через поток растянутых мгновений приходит познание круговорота жизни, где все — гармония противоположностей.</t>
        </is>
      </c>
      <c r="L2438" s="2" t="inlineStr">
        <is>
          <t>Кино_СССР сводный каталог.xlsx: список фильмов (доп.)</t>
        </is>
      </c>
      <c r="M2438" s="2">
        <f>HYPERLINK("https://ru.wikipedia.org/w/index.php?search=%D0%A2%D1%80%D0%B8%20%D0%B4%D0%BD%D1%8F%201991%20%D1%84%D0%B8%D0%BB%D1%8C%D0%BC","искать")</f>
        <v/>
      </c>
      <c r="N2438" s="3" t="n"/>
      <c r="O2438" s="2" t="n"/>
    </row>
    <row r="2439">
      <c r="A2439" s="2" t="n">
        <v>2438</v>
      </c>
      <c r="B2439" s="2" t="inlineStr">
        <is>
          <t>короткая</t>
        </is>
      </c>
      <c r="C2439" s="2" t="n">
        <v>9153</v>
      </c>
      <c r="D2439" s="3" t="inlineStr">
        <is>
          <t>Чардаш Монти</t>
        </is>
      </c>
      <c r="E2439" s="2" t="n">
        <v>1989</v>
      </c>
      <c r="F2439" s="2" t="inlineStr">
        <is>
          <t>кинофильм</t>
        </is>
      </c>
      <c r="G2439" s="2" t="n"/>
      <c r="H2439" s="2" t="n">
        <v>230</v>
      </c>
      <c r="I2439" s="2" t="inlineStr"/>
      <c r="J2439" s="2" t="inlineStr"/>
      <c r="K2439" s="3" t="inlineStr">
        <is>
          <t>Экранизация книги Вилиама Шикулы "Chrúst". В центре фильма судьба руководителя цыганского ансамбля Бунко. Кровная месть, музыка, человеческие судьбы - все переплелось в этой музыкальной драме. Действие происходит в Южной Словакии.</t>
        </is>
      </c>
      <c r="L2439" s="2" t="inlineStr">
        <is>
          <t>Кино_СССР сводный каталог.xlsx: список фильмов (доп.)</t>
        </is>
      </c>
      <c r="M2439" s="2">
        <f>HYPERLINK("https://ru.wikipedia.org/w/index.php?search=%D0%A7%D0%B0%D1%80%D0%B4%D0%B0%D1%88%20%D0%9C%D0%BE%D0%BD%D1%82%D0%B8%201989%20%D1%84%D0%B8%D0%BB%D1%8C%D0%BC","искать")</f>
        <v/>
      </c>
      <c r="N2439" s="3" t="n"/>
      <c r="O2439" s="2" t="n"/>
    </row>
    <row r="2440">
      <c r="A2440" s="2" t="n">
        <v>2439</v>
      </c>
      <c r="B2440" s="2" t="inlineStr">
        <is>
          <t>короткая</t>
        </is>
      </c>
      <c r="C2440" s="2" t="n">
        <v>9262</v>
      </c>
      <c r="D2440" s="3" t="inlineStr">
        <is>
          <t>В русском стиле</t>
        </is>
      </c>
      <c r="E2440" s="2" t="n">
        <v>1991</v>
      </c>
      <c r="F2440" s="2" t="inlineStr">
        <is>
          <t>кинофильм</t>
        </is>
      </c>
      <c r="G2440" s="2" t="inlineStr">
        <is>
          <t>Одесская киностудия; Творческое объединение «Пари»</t>
        </is>
      </c>
      <c r="H2440" s="2" t="n">
        <v>230</v>
      </c>
      <c r="I2440" s="2" t="inlineStr"/>
      <c r="J2440" s="2" t="inlineStr"/>
      <c r="K2440" s="3" t="inlineStr">
        <is>
          <t>Пропажа пятнадцатилетней дочери и равнодушное отношение к этому факту органов милиции толкнуло героя фильма на самостоятельные поиски. Встреча с Анной (ее играет певица Лайма Вайкуле) привела к интересной и благополучной развязке.</t>
        </is>
      </c>
      <c r="L2440" s="2" t="inlineStr">
        <is>
          <t>Кино_СССР сводный каталог.xlsx: список фильмов (доп.)</t>
        </is>
      </c>
      <c r="M2440" s="2">
        <f>HYPERLINK("https://ru.wikipedia.org/w/index.php?search=%D0%92%20%D1%80%D1%83%D1%81%D1%81%D0%BA%D0%BE%D0%BC%20%D1%81%D1%82%D0%B8%D0%BB%D0%B5%201991%20%D1%84%D0%B8%D0%BB%D1%8C%D0%BC","искать")</f>
        <v/>
      </c>
      <c r="N2440" s="3" t="n"/>
      <c r="O2440" s="2" t="n"/>
    </row>
    <row r="2441">
      <c r="A2441" s="2" t="n">
        <v>2440</v>
      </c>
      <c r="B2441" s="2" t="inlineStr">
        <is>
          <t>короткая</t>
        </is>
      </c>
      <c r="C2441" s="2" t="n">
        <v>10190</v>
      </c>
      <c r="D2441" s="3" t="inlineStr">
        <is>
          <t>День рождения Курочкина</t>
        </is>
      </c>
      <c r="E2441" s="2" t="n">
        <v>1967</v>
      </c>
      <c r="F2441" s="2" t="inlineStr">
        <is>
          <t>фильм-спектакль</t>
        </is>
      </c>
      <c r="G2441" s="2" t="inlineStr">
        <is>
          <t>Центральное телевидение</t>
        </is>
      </c>
      <c r="H2441" s="2" t="n">
        <v>230</v>
      </c>
      <c r="I2441" s="2" t="inlineStr"/>
      <c r="J2441" s="2" t="inlineStr"/>
      <c r="K2441" s="3" t="inlineStr">
        <is>
          <t>Вернувшись в пустую квартиру после работы, Курочкин вспоминает, что у него сегодня день рождения. Петр Иванович наливает в бокалы вино и вспоминает молодость, друзей, с которыми воевал, жену, которая не смогла с ним ужиться, дочь.</t>
        </is>
      </c>
      <c r="L2441" s="2" t="inlineStr">
        <is>
          <t>https://www.kino-teatr.ru/teatr/movie/136425/annot/</t>
        </is>
      </c>
      <c r="M2441" s="2">
        <f>HYPERLINK("https://ru.wikipedia.org/w/index.php?search=%D0%94%D0%B5%D0%BD%D1%8C%20%D1%80%D0%BE%D0%B6%D0%B4%D0%B5%D0%BD%D0%B8%D1%8F%20%D0%9A%D1%83%D1%80%D0%BE%D1%87%D0%BA%D0%B8%D0%BD%D0%B0%201967%20%D1%84%D0%B8%D0%BB%D1%8C%D0%BC","искать")</f>
        <v/>
      </c>
      <c r="N2441" s="3" t="n"/>
      <c r="O2441" s="2" t="n"/>
    </row>
    <row r="2442">
      <c r="A2442" s="2" t="n">
        <v>2441</v>
      </c>
      <c r="B2442" s="2" t="inlineStr">
        <is>
          <t>короткая</t>
        </is>
      </c>
      <c r="C2442" s="2" t="n">
        <v>7179</v>
      </c>
      <c r="D2442" s="3" t="inlineStr">
        <is>
          <t>2-Леонид-2</t>
        </is>
      </c>
      <c r="E2442" s="2" t="n">
        <v>1970</v>
      </c>
      <c r="F2442" s="2" t="inlineStr">
        <is>
          <t>телефильм</t>
        </is>
      </c>
      <c r="G2442" s="2" t="n"/>
      <c r="H2442" s="2" t="n">
        <v>231</v>
      </c>
      <c r="I2442" s="2" t="inlineStr"/>
      <c r="J2442" s="2" t="inlineStr"/>
      <c r="K2442" s="3" t="inlineStr">
        <is>
          <t>Фильм построен на классических цирковых репризах известного мима Леонида Енгибарова. Игровой сюжет следует за перипетиями внутреннего состояния главного героя, которое становится творческим импульсом к созданию и исполнению реприз.</t>
        </is>
      </c>
      <c r="L2442" s="2" t="inlineStr">
        <is>
          <t>Кино_СССР сводный каталог.xlsx: список телефильмов</t>
        </is>
      </c>
      <c r="M2442" s="2">
        <f>HYPERLINK("https://ru.wikipedia.org/w/index.php?search=2-%D0%9B%D0%B5%D0%BE%D0%BD%D0%B8%D0%B4-2%201970%20%D1%84%D0%B8%D0%BB%D1%8C%D0%BC","искать")</f>
        <v/>
      </c>
      <c r="N2442" s="3" t="n"/>
      <c r="O2442" s="2" t="n"/>
    </row>
    <row r="2443">
      <c r="A2443" s="2" t="n">
        <v>2442</v>
      </c>
      <c r="B2443" s="2" t="inlineStr">
        <is>
          <t>короткая</t>
        </is>
      </c>
      <c r="C2443" s="2" t="n">
        <v>8073</v>
      </c>
      <c r="D2443" s="3" t="inlineStr">
        <is>
          <t>Охотник за браконьерами</t>
        </is>
      </c>
      <c r="E2443" s="2" t="n">
        <v>1975</v>
      </c>
      <c r="F2443" s="2" t="inlineStr">
        <is>
          <t>телефильм</t>
        </is>
      </c>
      <c r="G2443" s="2" t="n"/>
      <c r="H2443" s="2" t="n">
        <v>231</v>
      </c>
      <c r="I2443" s="2" t="inlineStr"/>
      <c r="J2443" s="2" t="inlineStr"/>
      <c r="K2443" s="3" t="inlineStr">
        <is>
          <t>Телефильм. Школьник Вася и его маленькая сестра Клаша живут на берегу живописного озера, в котором разводят форель. С помощью своих друзей, собаки Колчана и лошади Стрелки ребята задерживают браконьеров. По мотивам повести Е.Рысса.</t>
        </is>
      </c>
      <c r="L2443" s="2" t="inlineStr">
        <is>
          <t>Кино_СССР сводный каталог.xlsx: список телефильмов</t>
        </is>
      </c>
      <c r="M2443" s="2">
        <f>HYPERLINK("https://ru.wikipedia.org/w/index.php?search=%D0%9E%D1%85%D0%BE%D1%82%D0%BD%D0%B8%D0%BA%20%D0%B7%D0%B0%20%D0%B1%D1%80%D0%B0%D0%BA%D0%BE%D0%BD%D1%8C%D0%B5%D1%80%D0%B0%D0%BC%D0%B8%201975%20%D1%84%D0%B8%D0%BB%D1%8C%D0%BC","искать")</f>
        <v/>
      </c>
      <c r="N2443" s="3" t="n"/>
      <c r="O2443" s="2" t="n"/>
    </row>
    <row r="2444">
      <c r="A2444" s="2" t="n">
        <v>2443</v>
      </c>
      <c r="B2444" s="2" t="inlineStr">
        <is>
          <t>короткая</t>
        </is>
      </c>
      <c r="C2444" s="2" t="n">
        <v>9116</v>
      </c>
      <c r="D2444" s="3" t="inlineStr">
        <is>
          <t>Турандот</t>
        </is>
      </c>
      <c r="E2444" s="2" t="n">
        <v>1989</v>
      </c>
      <c r="F2444" s="2" t="inlineStr">
        <is>
          <t>кинофильм</t>
        </is>
      </c>
      <c r="G2444" s="2" t="n"/>
      <c r="H2444" s="2" t="n">
        <v>231</v>
      </c>
      <c r="I2444" s="2" t="inlineStr"/>
      <c r="J2444" s="2" t="inlineStr"/>
      <c r="K2444" s="3" t="inlineStr">
        <is>
          <t>В основе сюжета современной притчи о любви, долге и чистоте помыслов — творческий процесс оперной театральной труппы, работающей над постановкой одного из сложнейших произведений музыкальной классики — оперы Дж. Пуччини "Турандот".</t>
        </is>
      </c>
      <c r="L2444" s="2" t="inlineStr">
        <is>
          <t>Кино_СССР сводный каталог.xlsx: список фильмов (доп.)</t>
        </is>
      </c>
      <c r="M2444" s="2">
        <f>HYPERLINK("https://ru.wikipedia.org/w/index.php?search=%D0%A2%D1%83%D1%80%D0%B0%D0%BD%D0%B4%D0%BE%D1%82%201989%20%D1%84%D0%B8%D0%BB%D1%8C%D0%BC","искать")</f>
        <v/>
      </c>
      <c r="N2444" s="3" t="n"/>
      <c r="O2444" s="2" t="n"/>
    </row>
    <row r="2445">
      <c r="A2445" s="2" t="n">
        <v>2444</v>
      </c>
      <c r="B2445" s="2" t="inlineStr">
        <is>
          <t>короткая</t>
        </is>
      </c>
      <c r="C2445" s="2" t="n">
        <v>8140</v>
      </c>
      <c r="D2445" s="3" t="inlineStr">
        <is>
          <t>Подросток</t>
        </is>
      </c>
      <c r="E2445" s="2" t="n">
        <v>1983</v>
      </c>
      <c r="F2445" s="2" t="inlineStr">
        <is>
          <t>телефильм</t>
        </is>
      </c>
      <c r="G2445" s="2" t="inlineStr">
        <is>
          <t>Мосфильм</t>
        </is>
      </c>
      <c r="H2445" s="2" t="n">
        <v>232</v>
      </c>
      <c r="I2445" s="2" t="inlineStr"/>
      <c r="J2445" s="2" t="inlineStr"/>
      <c r="K2445" s="3" t="inlineStr">
        <is>
          <t>Экранизация романа Достоевского "Подросток". Двадцатилетний юноша Аркадий Долгорукий, не имеющий ни жизненного опыта, ни устоявшихся моральных принципов, вступает в жизнь, где процветают ханжество, погоня за легкой добычей, разврат.</t>
        </is>
      </c>
      <c r="L2445" s="2" t="inlineStr">
        <is>
          <t>Кино_СССР сводный каталог.xlsx: список телефильмов</t>
        </is>
      </c>
      <c r="M2445" s="2">
        <f>HYPERLINK("https://ru.wikipedia.org/w/index.php?search=%D0%9F%D0%BE%D0%B4%D1%80%D0%BE%D1%81%D1%82%D0%BE%D0%BA%201983%20%D1%84%D0%B8%D0%BB%D1%8C%D0%BC","искать")</f>
        <v/>
      </c>
      <c r="N2445" s="3" t="n"/>
      <c r="O2445" s="2" t="n"/>
    </row>
    <row r="2446">
      <c r="A2446" s="2" t="n">
        <v>2445</v>
      </c>
      <c r="B2446" s="2" t="inlineStr">
        <is>
          <t>короткая</t>
        </is>
      </c>
      <c r="C2446" s="2" t="n">
        <v>9375</v>
      </c>
      <c r="D2446" s="3" t="inlineStr">
        <is>
          <t>Захочу - полюблю</t>
        </is>
      </c>
      <c r="E2446" s="2" t="n">
        <v>1990</v>
      </c>
      <c r="F2446" s="2" t="inlineStr">
        <is>
          <t>кинофильм</t>
        </is>
      </c>
      <c r="G2446" s="2" t="n"/>
      <c r="H2446" s="2" t="n">
        <v>232</v>
      </c>
      <c r="I2446" s="2" t="inlineStr"/>
      <c r="J2446" s="2" t="inlineStr"/>
      <c r="K2446" s="3" t="inlineStr">
        <is>
          <t>По повести Валерия Брюсова "Последние страницы из дневника женщины". Героиня - женщина незаурядная, красивая и умная, лишенная предрассудков. Выданная совсем юной замуж за богача, теперь она стремится лишь к свободе и независимости.</t>
        </is>
      </c>
      <c r="L2446" s="2" t="inlineStr">
        <is>
          <t>Кино_СССР сводный каталог.xlsx: список фильмов (доп.)</t>
        </is>
      </c>
      <c r="M2446" s="2">
        <f>HYPERLINK("https://ru.wikipedia.org/w/index.php?search=%D0%97%D0%B0%D1%85%D0%BE%D1%87%D1%83%20-%20%D0%BF%D0%BE%D0%BB%D1%8E%D0%B1%D0%BB%D1%8E%201990%20%D1%84%D0%B8%D0%BB%D1%8C%D0%BC","искать")</f>
        <v/>
      </c>
      <c r="N2446" s="3" t="n"/>
      <c r="O2446" s="2" t="n"/>
    </row>
    <row r="2447">
      <c r="A2447" s="2" t="n">
        <v>2446</v>
      </c>
      <c r="B2447" s="2" t="inlineStr">
        <is>
          <t>короткая</t>
        </is>
      </c>
      <c r="C2447" s="2" t="n">
        <v>10070</v>
      </c>
      <c r="D2447" s="3" t="inlineStr">
        <is>
          <t>Город на заре</t>
        </is>
      </c>
      <c r="E2447" s="2" t="n">
        <v>1959</v>
      </c>
      <c r="F2447" s="2" t="inlineStr">
        <is>
          <t>фильм-спектакль</t>
        </is>
      </c>
      <c r="G2447" s="2" t="inlineStr">
        <is>
          <t>Мосфильм</t>
        </is>
      </c>
      <c r="H2447" s="2" t="n">
        <v>232</v>
      </c>
      <c r="I2447" s="2" t="inlineStr"/>
      <c r="J2447" s="2" t="inlineStr"/>
      <c r="K2447" s="3" t="inlineStr">
        <is>
          <t>Фильм-спектакль по постановке театра им.Евг.Вахтангова по одноименной пьесе Алексея Арбузова.
О первых строителях города Комсомольска, об их самоотверженном, героическом труде. Действие происходит в 1932 году. Постановка Е.Симонова.</t>
        </is>
      </c>
      <c r="L2447" s="2" t="inlineStr">
        <is>
          <t>https://www.kino-teatr.ru/teatr/movie/1453/annot/</t>
        </is>
      </c>
      <c r="M2447" s="2">
        <f>HYPERLINK("https://ru.wikipedia.org/w/index.php?search=%D0%93%D0%BE%D1%80%D0%BE%D0%B4%20%D0%BD%D0%B0%20%D0%B7%D0%B0%D1%80%D0%B5%201959%20%D1%84%D0%B8%D0%BB%D1%8C%D0%BC","искать")</f>
        <v/>
      </c>
      <c r="N2447" s="3" t="n"/>
      <c r="O2447" s="2" t="n"/>
    </row>
    <row r="2448">
      <c r="A2448" s="2" t="n">
        <v>2447</v>
      </c>
      <c r="B2448" s="2" t="inlineStr">
        <is>
          <t>короткая</t>
        </is>
      </c>
      <c r="C2448" s="2" t="n">
        <v>11212</v>
      </c>
      <c r="D2448" s="3" t="inlineStr">
        <is>
          <t>Кругосветное путешествие Бертольда Брехта</t>
        </is>
      </c>
      <c r="E2448" s="2" t="n">
        <v>1988</v>
      </c>
      <c r="F2448" s="2" t="inlineStr">
        <is>
          <t>фильм-спектакль</t>
        </is>
      </c>
      <c r="G2448" s="2" t="inlineStr">
        <is>
          <t>Главная редакция литературно-драматических программ ЦТ</t>
        </is>
      </c>
      <c r="H2448" s="2" t="n">
        <v>232</v>
      </c>
      <c r="I2448" s="2" t="inlineStr"/>
      <c r="J2448" s="2" t="inlineStr"/>
      <c r="K2448" s="3" t="inlineStr">
        <is>
          <t>О судьбе немецкого писателя Бертольда Брехта, эмигрировавшего из гитлеровской Германии. 15 лет вынужденных гонений прошли в напряженном труде. После поражения германского фашизма во Второй мировой войне Брехт возвращается на родину.</t>
        </is>
      </c>
      <c r="L2448" s="2" t="inlineStr">
        <is>
          <t>https://www.kino-teatr.ru/teatr/movie/81596/annot/</t>
        </is>
      </c>
      <c r="M2448" s="2">
        <f>HYPERLINK("https://ru.wikipedia.org/w/index.php?search=%D0%9A%D1%80%D1%83%D0%B3%D0%BE%D1%81%D0%B2%D0%B5%D1%82%D0%BD%D0%BE%D0%B5%20%D0%BF%D1%83%D1%82%D0%B5%D1%88%D0%B5%D1%81%D1%82%D0%B2%D0%B8%D0%B5%20%D0%91%D0%B5%D1%80%D1%82%D0%BE%D0%BB%D1%8C%D0%B4%D0%B0%20%D0%91%D1%80%D0%B5%D1%85%D1%82%D0%B0%201988%20%D1%84%D0%B8%D0%BB%D1%8C%D0%BC","искать")</f>
        <v/>
      </c>
      <c r="N2448" s="3" t="n"/>
      <c r="O2448" s="2" t="n"/>
    </row>
    <row r="2449">
      <c r="A2449" s="2" t="n">
        <v>2448</v>
      </c>
      <c r="B2449" s="2" t="inlineStr">
        <is>
          <t>короткая</t>
        </is>
      </c>
      <c r="C2449" s="2" t="n">
        <v>8384</v>
      </c>
      <c r="D2449" s="3" t="inlineStr">
        <is>
          <t>Соседи</t>
        </is>
      </c>
      <c r="E2449" s="2" t="n">
        <v>1979</v>
      </c>
      <c r="F2449" s="2" t="inlineStr">
        <is>
          <t>телефильм</t>
        </is>
      </c>
      <c r="G2449" s="2" t="n"/>
      <c r="H2449" s="2" t="n">
        <v>233</v>
      </c>
      <c r="I2449" s="2" t="inlineStr"/>
      <c r="J2449" s="2" t="inlineStr"/>
      <c r="K2449" s="3" t="inlineStr">
        <is>
          <t>Телефильм создан по одноимённому роману Юозаса  Паукштялиса. Фильм рассказывает простую историю о двух молодых влюблённых, их трагической и несчастной любви, классовые предрассудки  родителей их разлучили и разрушили мечты о счастье.</t>
        </is>
      </c>
      <c r="L2449" s="2" t="inlineStr">
        <is>
          <t>Кино_СССР сводный каталог.xlsx: список телефильмов</t>
        </is>
      </c>
      <c r="M2449" s="2">
        <f>HYPERLINK("https://ru.wikipedia.org/w/index.php?search=%D0%A1%D0%BE%D1%81%D0%B5%D0%B4%D0%B8%201979%20%D1%84%D0%B8%D0%BB%D1%8C%D0%BC","искать")</f>
        <v/>
      </c>
      <c r="N2449" s="3" t="n"/>
      <c r="O2449" s="2" t="n"/>
    </row>
    <row r="2450">
      <c r="A2450" s="2" t="n">
        <v>2449</v>
      </c>
      <c r="B2450" s="2" t="inlineStr">
        <is>
          <t>короткая</t>
        </is>
      </c>
      <c r="C2450" s="2" t="n">
        <v>8898</v>
      </c>
      <c r="D2450" s="3" t="inlineStr">
        <is>
          <t>Опиум</t>
        </is>
      </c>
      <c r="E2450" s="2" t="n">
        <v>1991</v>
      </c>
      <c r="F2450" s="2" t="inlineStr">
        <is>
          <t>кинофильм</t>
        </is>
      </c>
      <c r="G2450" s="2" t="n"/>
      <c r="H2450" s="2" t="n">
        <v>233</v>
      </c>
      <c r="I2450" s="2" t="inlineStr"/>
      <c r="J2450" s="2" t="inlineStr"/>
      <c r="K2450" s="3" t="inlineStr">
        <is>
          <t>К старику приходит давний знакомый и просит дать ему проводника с лошадьми до Ташкента. Боясь отказать и догадываясь о нечистоте помыслов просящего, старик обращается за помощью к милиции. В проводники выделяется специальный человек.</t>
        </is>
      </c>
      <c r="L2450" s="2" t="inlineStr">
        <is>
          <t>Кино_СССР сводный каталог.xlsx: список фильмов (доп.)</t>
        </is>
      </c>
      <c r="M2450" s="2">
        <f>HYPERLINK("https://ru.wikipedia.org/w/index.php?search=%D0%9E%D0%BF%D0%B8%D1%83%D0%BC%201991%20%D1%84%D0%B8%D0%BB%D1%8C%D0%BC","искать")</f>
        <v/>
      </c>
      <c r="N2450" s="3" t="n"/>
      <c r="O2450" s="2" t="n"/>
    </row>
    <row r="2451">
      <c r="A2451" s="2" t="n">
        <v>2450</v>
      </c>
      <c r="B2451" s="2" t="inlineStr">
        <is>
          <t>короткая</t>
        </is>
      </c>
      <c r="C2451" s="2" t="n">
        <v>9138</v>
      </c>
      <c r="D2451" s="3" t="inlineStr">
        <is>
          <t>Фантазии на темы Дунаевского</t>
        </is>
      </c>
      <c r="E2451" s="2" t="n">
        <v>1970</v>
      </c>
      <c r="F2451" s="2" t="inlineStr">
        <is>
          <t>кинофильм</t>
        </is>
      </c>
      <c r="G2451" s="2" t="n"/>
      <c r="H2451" s="2" t="n">
        <v>233</v>
      </c>
      <c r="I2451" s="2" t="inlineStr"/>
      <c r="J2451" s="2" t="inlineStr"/>
      <c r="K2451" s="3" t="inlineStr">
        <is>
          <t>Вокально-хореографическое ревю по страницам музыки И.О.Дунаевского из кинофильмов. В фильме участвуют: Н. Дугина (вокальная партия Н.Яковлева), Виталий Мишле, А.Анофриев, М.Туманов, В.Богачев, Кузьмина, В.Сазонов, Ю.Михеев, М.Рожков.</t>
        </is>
      </c>
      <c r="L2451" s="2" t="inlineStr">
        <is>
          <t>Кино_СССР сводный каталог.xlsx: список фильмов (доп.)</t>
        </is>
      </c>
      <c r="M2451" s="2">
        <f>HYPERLINK("https://ru.wikipedia.org/w/index.php?search=%D0%A4%D0%B0%D0%BD%D1%82%D0%B0%D0%B7%D0%B8%D0%B8%20%D0%BD%D0%B0%20%D1%82%D0%B5%D0%BC%D1%8B%20%D0%94%D1%83%D0%BD%D0%B0%D0%B5%D0%B2%D1%81%D0%BA%D0%BE%D0%B3%D0%BE%201970%20%D1%84%D0%B8%D0%BB%D1%8C%D0%BC","искать")</f>
        <v/>
      </c>
      <c r="N2451" s="3" t="n"/>
      <c r="O2451" s="2" t="n"/>
    </row>
    <row r="2452">
      <c r="A2452" s="2" t="n">
        <v>2451</v>
      </c>
      <c r="B2452" s="2" t="inlineStr">
        <is>
          <t>короткая</t>
        </is>
      </c>
      <c r="C2452" s="2" t="n">
        <v>9447</v>
      </c>
      <c r="D2452" s="3" t="inlineStr">
        <is>
          <t>Культпоход в театр</t>
        </is>
      </c>
      <c r="E2452" s="2" t="n">
        <v>1982</v>
      </c>
      <c r="F2452" s="2" t="inlineStr">
        <is>
          <t>кинофильм</t>
        </is>
      </c>
      <c r="G2452" s="2" t="n"/>
      <c r="H2452" s="2" t="n">
        <v>233</v>
      </c>
      <c r="I2452" s="2" t="inlineStr"/>
      <c r="J2452" s="2" t="inlineStr"/>
      <c r="K2452" s="3" t="inlineStr">
        <is>
          <t>Действие фильма происходит в живописном селе, удаленном от городской суеты. Ансамбль деревенских музыкантов воюет с областными "культурными" бюрократами. Любовь и ненависть, искренность и хитрость соседствуют в этой забавной истории.</t>
        </is>
      </c>
      <c r="L2452" s="2" t="inlineStr">
        <is>
          <t>Кино_СССР сводный каталог.xlsx: список фильмов (доп.)</t>
        </is>
      </c>
      <c r="M2452" s="2">
        <f>HYPERLINK("https://ru.wikipedia.org/w/index.php?search=%D0%9A%D1%83%D0%BB%D1%8C%D1%82%D0%BF%D0%BE%D1%85%D0%BE%D0%B4%20%D0%B2%20%D1%82%D0%B5%D0%B0%D1%82%D1%80%201982%20%D1%84%D0%B8%D0%BB%D1%8C%D0%BC","искать")</f>
        <v/>
      </c>
      <c r="N2452" s="3" t="n"/>
      <c r="O2452" s="2" t="n"/>
    </row>
    <row r="2453">
      <c r="A2453" s="2" t="n">
        <v>2452</v>
      </c>
      <c r="B2453" s="2" t="inlineStr">
        <is>
          <t>короткая</t>
        </is>
      </c>
      <c r="C2453" s="2" t="n">
        <v>10472</v>
      </c>
      <c r="D2453" s="3" t="inlineStr">
        <is>
          <t>Страница жизни</t>
        </is>
      </c>
      <c r="E2453" s="2" t="n">
        <v>1972</v>
      </c>
      <c r="F2453" s="2" t="inlineStr">
        <is>
          <t>фильм-спектакль</t>
        </is>
      </c>
      <c r="G2453" s="2" t="inlineStr">
        <is>
          <t>Главная редакция литературно-драматических программ ЦТ</t>
        </is>
      </c>
      <c r="H2453" s="2" t="n">
        <v>233</v>
      </c>
      <c r="I2453" s="2" t="inlineStr"/>
      <c r="J2453" s="2" t="inlineStr"/>
      <c r="K2453" s="3" t="inlineStr">
        <is>
          <t>По пьесе Виктора Розова "Страницы жизни" ("Твой путь").
Многое постиг в своей профессии молодой рабочий Борис. Но развитие техники, встречи с людьми, получившими специальное образование, убеждают его в необходимости продолжить учебу.</t>
        </is>
      </c>
      <c r="L2453" s="2" t="inlineStr">
        <is>
          <t>https://www.kino-teatr.ru/teatr/movie/79276/annot/</t>
        </is>
      </c>
      <c r="M2453" s="2">
        <f>HYPERLINK("https://ru.wikipedia.org/w/index.php?search=%D0%A1%D1%82%D1%80%D0%B0%D0%BD%D0%B8%D1%86%D0%B0%20%D0%B6%D0%B8%D0%B7%D0%BD%D0%B8%201972%20%D1%84%D0%B8%D0%BB%D1%8C%D0%BC","искать")</f>
        <v/>
      </c>
      <c r="N2453" s="3" t="n"/>
      <c r="O2453" s="2" t="n"/>
    </row>
    <row r="2454">
      <c r="A2454" s="2" t="n">
        <v>2453</v>
      </c>
      <c r="B2454" s="2" t="inlineStr">
        <is>
          <t>короткая</t>
        </is>
      </c>
      <c r="C2454" s="2" t="n">
        <v>7355</v>
      </c>
      <c r="D2454" s="3" t="inlineStr">
        <is>
          <t>Возвращение в Зурбаган</t>
        </is>
      </c>
      <c r="E2454" s="2" t="n">
        <v>1990</v>
      </c>
      <c r="F2454" s="2" t="inlineStr">
        <is>
          <t>телефильм</t>
        </is>
      </c>
      <c r="G2454" s="2" t="inlineStr">
        <is>
          <t>к/с им. Довженко</t>
        </is>
      </c>
      <c r="H2454" s="2" t="n">
        <v>234</v>
      </c>
      <c r="I2454" s="2" t="inlineStr"/>
      <c r="J2454" s="2" t="inlineStr"/>
      <c r="K2454" s="3" t="inlineStr">
        <is>
          <t>Старков, вернувшись после заключения, встречается со своей юношеской любовью Таней, у которой за эти годы появилась дочь Неля. Знакомство Старкова с девочкой заставило его по-иному взглянуть на отношения с Таней и с "бывшими" дружками</t>
        </is>
      </c>
      <c r="L2454" s="2" t="inlineStr">
        <is>
          <t>Кино_СССР сводный каталог.xlsx: список телефильмов</t>
        </is>
      </c>
      <c r="M2454" s="2">
        <f>HYPERLINK("https://ru.wikipedia.org/w/index.php?search=%D0%92%D0%BE%D0%B7%D0%B2%D1%80%D0%B0%D1%89%D0%B5%D0%BD%D0%B8%D0%B5%20%D0%B2%20%D0%97%D1%83%D1%80%D0%B1%D0%B0%D0%B3%D0%B0%D0%BD%201990%20%D1%84%D0%B8%D0%BB%D1%8C%D0%BC","искать")</f>
        <v/>
      </c>
      <c r="N2454" s="3" t="n"/>
      <c r="O2454" s="2" t="n"/>
    </row>
    <row r="2455">
      <c r="A2455" s="2" t="n">
        <v>2454</v>
      </c>
      <c r="B2455" s="2" t="inlineStr">
        <is>
          <t>короткая</t>
        </is>
      </c>
      <c r="C2455" s="2" t="n">
        <v>8421</v>
      </c>
      <c r="D2455" s="3" t="inlineStr">
        <is>
          <t>Сын</t>
        </is>
      </c>
      <c r="E2455" s="2" t="n">
        <v>1987</v>
      </c>
      <c r="F2455" s="2" t="inlineStr">
        <is>
          <t>телефильм</t>
        </is>
      </c>
      <c r="G2455" s="2" t="inlineStr">
        <is>
          <t>Творческое объединение «Экран»</t>
        </is>
      </c>
      <c r="H2455" s="2" t="n">
        <v>234</v>
      </c>
      <c r="I2455" s="2" t="inlineStr"/>
      <c r="J2455" s="2" t="inlineStr"/>
      <c r="K2455" s="3" t="inlineStr">
        <is>
          <t>Ваня Погорелов оставляет учебу в столичной художественной спецшколе, чтобы быть в родной деревне рядом с отцом, тяжело переживающим служебные неприятности. Ваня уверен, что именно в этот момент отцу необходима его искренняя поддержка.</t>
        </is>
      </c>
      <c r="L2455" s="2" t="inlineStr">
        <is>
          <t>Кино_СССР сводный каталог.xlsx: список телефильмов</t>
        </is>
      </c>
      <c r="M2455" s="2">
        <f>HYPERLINK("https://ru.wikipedia.org/w/index.php?search=%D0%A1%D1%8B%D0%BD%201987%20%D1%84%D0%B8%D0%BB%D1%8C%D0%BC","искать")</f>
        <v/>
      </c>
      <c r="N2455" s="3" t="n"/>
      <c r="O2455" s="2" t="n"/>
    </row>
    <row r="2456">
      <c r="A2456" s="2" t="n">
        <v>2455</v>
      </c>
      <c r="B2456" s="2" t="inlineStr">
        <is>
          <t>короткая</t>
        </is>
      </c>
      <c r="C2456" s="2" t="n">
        <v>8439</v>
      </c>
      <c r="D2456" s="3" t="inlineStr">
        <is>
          <t>Там, вдали, за рекой...</t>
        </is>
      </c>
      <c r="E2456" s="2" t="n">
        <v>1971</v>
      </c>
      <c r="F2456" s="2" t="inlineStr">
        <is>
          <t>телефильм</t>
        </is>
      </c>
      <c r="G2456" s="2" t="n"/>
      <c r="H2456" s="2" t="n">
        <v>234</v>
      </c>
      <c r="I2456" s="2" t="inlineStr"/>
      <c r="J2456" s="2" t="inlineStr"/>
      <c r="K2456" s="3" t="inlineStr">
        <is>
          <t>Экранизация одноименной повести Юрия Коринца. В основе сюжета — воспоминания героя фильма о предвоенных годах ХХ столетия, о его дружбе со своим дядей — героем гражданской войны, покорителем Севера, сражавшимся добровольцем в Испании.</t>
        </is>
      </c>
      <c r="L2456" s="2" t="inlineStr">
        <is>
          <t>Кино_СССР сводный каталог.xlsx: список телефильмов</t>
        </is>
      </c>
      <c r="M2456" s="2">
        <f>HYPERLINK("https://ru.wikipedia.org/w/index.php?search=%D0%A2%D0%B0%D0%BC%2C%20%D0%B2%D0%B4%D0%B0%D0%BB%D0%B8%2C%20%D0%B7%D0%B0%20%D1%80%D0%B5%D0%BA%D0%BE%D0%B9...%201971%20%D1%84%D0%B8%D0%BB%D1%8C%D0%BC","искать")</f>
        <v/>
      </c>
      <c r="N2456" s="3" t="n"/>
      <c r="O2456" s="2" t="n"/>
    </row>
    <row r="2457">
      <c r="A2457" s="2" t="n">
        <v>2456</v>
      </c>
      <c r="B2457" s="2" t="inlineStr">
        <is>
          <t>короткая</t>
        </is>
      </c>
      <c r="C2457" s="2" t="n">
        <v>9212</v>
      </c>
      <c r="D2457" s="3" t="inlineStr">
        <is>
          <t>Ашик-Кериб</t>
        </is>
      </c>
      <c r="E2457" s="2" t="n">
        <v>1988</v>
      </c>
      <c r="F2457" s="2" t="inlineStr">
        <is>
          <t>кинофильм</t>
        </is>
      </c>
      <c r="G2457" s="2" t="n"/>
      <c r="H2457" s="2" t="n">
        <v>234</v>
      </c>
      <c r="I2457" s="2" t="inlineStr"/>
      <c r="J2457" s="2" t="inlineStr"/>
      <c r="K2457" s="3" t="inlineStr">
        <is>
          <t>აშიკი ქერიბი Фильм снят по мотивам одноимённой поэмы Михаила Юрьевича Лермонтова написанного на основе азербайджанского дастана. Бедняк Ашик-Кериб играет на сазе на свадьбах и других праздниках. Он полюбил Магуль-Мегери — дочь богача.</t>
        </is>
      </c>
      <c r="L2457" s="2" t="inlineStr">
        <is>
          <t>Кино_СССР сводный каталог.xlsx: список фильмов (доп.)</t>
        </is>
      </c>
      <c r="M2457" s="2">
        <f>HYPERLINK("https://ru.wikipedia.org/w/index.php?search=%D0%90%D1%88%D0%B8%D0%BA-%D0%9A%D0%B5%D1%80%D0%B8%D0%B1%201988%20%D1%84%D0%B8%D0%BB%D1%8C%D0%BC","искать")</f>
        <v/>
      </c>
      <c r="N2457" s="3" t="n"/>
      <c r="O2457" s="2" t="n"/>
    </row>
    <row r="2458">
      <c r="A2458" s="2" t="n">
        <v>2457</v>
      </c>
      <c r="B2458" s="2" t="inlineStr">
        <is>
          <t>короткая</t>
        </is>
      </c>
      <c r="C2458" s="2" t="n">
        <v>9704</v>
      </c>
      <c r="D2458" s="3" t="inlineStr">
        <is>
          <t>Убийца</t>
        </is>
      </c>
      <c r="E2458" s="2" t="n">
        <v>1990</v>
      </c>
      <c r="F2458" s="2" t="inlineStr">
        <is>
          <t>кинофильм</t>
        </is>
      </c>
      <c r="G2458" s="2" t="n"/>
      <c r="H2458" s="2" t="n">
        <v>234</v>
      </c>
      <c r="I2458" s="2" t="inlineStr"/>
      <c r="J2458" s="2" t="inlineStr"/>
      <c r="K2458" s="3" t="inlineStr">
        <is>
          <t>Не надеясь, что законность восторжествует, отец тринадцатилетней девочки, покончившей жизнь самоубийством после того, как над ней надругались, убивает одного из обидчиков. Выследив второго, герой погибает от руки матери преследуемого.</t>
        </is>
      </c>
      <c r="L2458" s="2" t="inlineStr">
        <is>
          <t>Кино_СССР сводный каталог.xlsx: список фильмов (доп.)</t>
        </is>
      </c>
      <c r="M2458" s="2">
        <f>HYPERLINK("https://ru.wikipedia.org/w/index.php?search=%D0%A3%D0%B1%D0%B8%D0%B9%D1%86%D0%B0%201990%20%D1%84%D0%B8%D0%BB%D1%8C%D0%BC","искать")</f>
        <v/>
      </c>
      <c r="N2458" s="3" t="n"/>
      <c r="O2458" s="2" t="n"/>
    </row>
    <row r="2459">
      <c r="A2459" s="2" t="n">
        <v>2458</v>
      </c>
      <c r="B2459" s="2" t="inlineStr">
        <is>
          <t>короткая</t>
        </is>
      </c>
      <c r="C2459" s="2" t="n">
        <v>7671</v>
      </c>
      <c r="D2459" s="3" t="inlineStr">
        <is>
          <t>Иванко и царь Поганин</t>
        </is>
      </c>
      <c r="E2459" s="2" t="n">
        <v>1984</v>
      </c>
      <c r="F2459" s="2" t="inlineStr">
        <is>
          <t>телефильм</t>
        </is>
      </c>
      <c r="G2459" s="2" t="n"/>
      <c r="H2459" s="2" t="n">
        <v>235</v>
      </c>
      <c r="I2459" s="2" t="inlineStr"/>
      <c r="J2459" s="2" t="inlineStr"/>
      <c r="K2459" s="3" t="inlineStr">
        <is>
          <t>Сказка о маленьком Иванко, разлученном с матерью, которую вместе со всеми жителями села угнали в плен слуги царя Поганина. Он преодолел множество трудностей, не побоялся злого  царя Поганина , вызволил из плена свою мать и односельчан.</t>
        </is>
      </c>
      <c r="L2459" s="2" t="inlineStr">
        <is>
          <t>Кино_СССР сводный каталог.xlsx: список телефильмов</t>
        </is>
      </c>
      <c r="M2459" s="2">
        <f>HYPERLINK("https://ru.wikipedia.org/w/index.php?search=%D0%98%D0%B2%D0%B0%D0%BD%D0%BA%D0%BE%20%D0%B8%20%D1%86%D0%B0%D1%80%D1%8C%20%D0%9F%D0%BE%D0%B3%D0%B0%D0%BD%D0%B8%D0%BD%201984%20%D1%84%D0%B8%D0%BB%D1%8C%D0%BC","искать")</f>
        <v/>
      </c>
      <c r="N2459" s="3" t="n"/>
      <c r="O2459" s="2" t="n"/>
    </row>
    <row r="2460">
      <c r="A2460" s="2" t="n">
        <v>2459</v>
      </c>
      <c r="B2460" s="2" t="inlineStr">
        <is>
          <t>короткая</t>
        </is>
      </c>
      <c r="C2460" s="2" t="n">
        <v>8010</v>
      </c>
      <c r="D2460" s="3" t="inlineStr">
        <is>
          <t>Ночной звонок</t>
        </is>
      </c>
      <c r="E2460" s="2" t="n">
        <v>1969</v>
      </c>
      <c r="F2460" s="2" t="inlineStr">
        <is>
          <t>телефильм</t>
        </is>
      </c>
      <c r="G2460" s="2" t="inlineStr">
        <is>
          <t>ТО «Экран»</t>
        </is>
      </c>
      <c r="H2460" s="2" t="n">
        <v>235</v>
      </c>
      <c r="I2460" s="2" t="inlineStr"/>
      <c r="J2460" s="2" t="inlineStr"/>
      <c r="K2460" s="3" t="inlineStr">
        <is>
          <t>По одноименному рассказу Ф.Ф. Кнорре. Ошибочное сообщение о смерти Варвары Антоновны собирает вокруг нее сына, невестку и внука. Они испытывают чувство глубокой вины, столь невнимательно относясь в течение ряда лет к близкому человеку.</t>
        </is>
      </c>
      <c r="L2460" s="2" t="inlineStr">
        <is>
          <t>Кино_СССР сводный каталог.xlsx: список телефильмов</t>
        </is>
      </c>
      <c r="M2460" s="2">
        <f>HYPERLINK("https://ru.wikipedia.org/w/index.php?search=%D0%9D%D0%BE%D1%87%D0%BD%D0%BE%D0%B9%20%D0%B7%D0%B2%D0%BE%D0%BD%D0%BE%D0%BA%201969%20%D1%84%D0%B8%D0%BB%D1%8C%D0%BC","искать")</f>
        <v/>
      </c>
      <c r="N2460" s="3" t="n"/>
      <c r="O2460" s="2" t="n"/>
    </row>
    <row r="2461">
      <c r="A2461" s="2" t="n">
        <v>2460</v>
      </c>
      <c r="B2461" s="2" t="inlineStr">
        <is>
          <t>короткая</t>
        </is>
      </c>
      <c r="C2461" s="2" t="n">
        <v>8277</v>
      </c>
      <c r="D2461" s="3" t="inlineStr">
        <is>
          <t>Родник</t>
        </is>
      </c>
      <c r="E2461" s="2" t="n">
        <v>1974</v>
      </c>
      <c r="F2461" s="2" t="inlineStr">
        <is>
          <t>телефильм</t>
        </is>
      </c>
      <c r="G2461" s="2" t="n"/>
      <c r="H2461" s="2" t="n">
        <v>235</v>
      </c>
      <c r="I2461" s="2" t="inlineStr"/>
      <c r="J2461" s="2" t="inlineStr"/>
      <c r="K2461" s="3" t="inlineStr">
        <is>
          <t>По мотивам рассказов С.Муратбекова. Медсестра Айгерим полюбила табунщика Аблая - человека доброго и смелого... Именно эти качества помогли Аблаю отстоять свою любовь, одержать моральную победу над своим соперником, красавцем Баранбаем.</t>
        </is>
      </c>
      <c r="L2461" s="2" t="inlineStr">
        <is>
          <t>Кино_СССР сводный каталог.xlsx: список телефильмов</t>
        </is>
      </c>
      <c r="M2461" s="2">
        <f>HYPERLINK("https://ru.wikipedia.org/w/index.php?search=%D0%A0%D0%BE%D0%B4%D0%BD%D0%B8%D0%BA%201974%20%D1%84%D0%B8%D0%BB%D1%8C%D0%BC","искать")</f>
        <v/>
      </c>
      <c r="N2461" s="3" t="n"/>
      <c r="O2461" s="2" t="n"/>
    </row>
    <row r="2462">
      <c r="A2462" s="2" t="n">
        <v>2461</v>
      </c>
      <c r="B2462" s="2" t="inlineStr">
        <is>
          <t>короткая</t>
        </is>
      </c>
      <c r="C2462" s="2" t="n">
        <v>8322</v>
      </c>
      <c r="D2462" s="3" t="inlineStr">
        <is>
          <t>Секретарь парткома</t>
        </is>
      </c>
      <c r="E2462" s="2" t="n">
        <v>1970</v>
      </c>
      <c r="F2462" s="2" t="inlineStr">
        <is>
          <t>телефильм</t>
        </is>
      </c>
      <c r="G2462" s="2" t="n"/>
      <c r="H2462" s="2" t="n">
        <v>235</v>
      </c>
      <c r="I2462" s="2" t="inlineStr"/>
      <c r="J2462" s="2" t="inlineStr"/>
      <c r="K2462" s="3" t="inlineStr">
        <is>
          <t>Цветной телефильм. Колхозницу Полину Гончаренко односельчане единогласно избирают секретарем парткома. Честная и принципиальная, она вступает в противоборство с председателем колхоза и, тем самым, еще более усложняет свою личную жизнь.</t>
        </is>
      </c>
      <c r="L2462" s="2" t="inlineStr">
        <is>
          <t>Кино_СССР сводный каталог.xlsx: список телефильмов</t>
        </is>
      </c>
      <c r="M2462" s="2">
        <f>HYPERLINK("https://ru.wikipedia.org/w/index.php?search=%D0%A1%D0%B5%D0%BA%D1%80%D0%B5%D1%82%D0%B0%D1%80%D1%8C%20%D0%BF%D0%B0%D1%80%D1%82%D0%BA%D0%BE%D0%BC%D0%B0%201970%20%D1%84%D0%B8%D0%BB%D1%8C%D0%BC","искать")</f>
        <v/>
      </c>
      <c r="N2462" s="3" t="n"/>
      <c r="O2462" s="2" t="n"/>
    </row>
    <row r="2463">
      <c r="A2463" s="2" t="n">
        <v>2462</v>
      </c>
      <c r="B2463" s="2" t="inlineStr">
        <is>
          <t>короткая</t>
        </is>
      </c>
      <c r="C2463" s="2" t="n">
        <v>8978</v>
      </c>
      <c r="D2463" s="3" t="inlineStr">
        <is>
          <t>Прикосновение</t>
        </is>
      </c>
      <c r="E2463" s="2" t="n">
        <v>1989</v>
      </c>
      <c r="F2463" s="2" t="inlineStr">
        <is>
          <t>кинофильм</t>
        </is>
      </c>
      <c r="G2463" s="2" t="n"/>
      <c r="H2463" s="2" t="n">
        <v>235</v>
      </c>
      <c r="I2463" s="2" t="inlineStr"/>
      <c r="J2463" s="2" t="inlineStr"/>
      <c r="K2463" s="3" t="inlineStr">
        <is>
          <t>Слепая девушка случайно встречает на дороге бродягу. Приходит любовь. И совершается чудо — потерянное зрение возвращается. Эта романтическая история заканчивается трагически. Предательство возлюбленного толкает героиню на самоубийство.</t>
        </is>
      </c>
      <c r="L2463" s="2" t="inlineStr">
        <is>
          <t>Кино_СССР сводный каталог.xlsx: список фильмов (доп.)</t>
        </is>
      </c>
      <c r="M2463" s="2">
        <f>HYPERLINK("https://ru.wikipedia.org/w/index.php?search=%D0%9F%D1%80%D0%B8%D0%BA%D0%BE%D1%81%D0%BD%D0%BE%D0%B2%D0%B5%D0%BD%D0%B8%D0%B5%201989%20%D1%84%D0%B8%D0%BB%D1%8C%D0%BC","искать")</f>
        <v/>
      </c>
      <c r="N2463" s="3" t="n"/>
      <c r="O2463" s="2" t="n"/>
    </row>
    <row r="2464">
      <c r="A2464" s="2" t="n">
        <v>2463</v>
      </c>
      <c r="B2464" s="2" t="inlineStr">
        <is>
          <t>короткая</t>
        </is>
      </c>
      <c r="C2464" s="2" t="n">
        <v>9305</v>
      </c>
      <c r="D2464" s="3" t="inlineStr">
        <is>
          <t>Гибель Отрара</t>
        </is>
      </c>
      <c r="E2464" s="2" t="n">
        <v>1991</v>
      </c>
      <c r="F2464" s="2" t="inlineStr">
        <is>
          <t>кинофильм</t>
        </is>
      </c>
      <c r="G2464" s="2" t="n"/>
      <c r="H2464" s="2" t="n">
        <v>235</v>
      </c>
      <c r="I2464" s="2" t="inlineStr"/>
      <c r="J2464" s="2" t="inlineStr"/>
      <c r="K2464" s="3" t="inlineStr">
        <is>
          <t>Древний Отрар был колыбелью казахской цивилизации. В начале XIII века город завоевали войска Чингисхана, которому было к тому времени 64 года. Драматические судьбы героев фильма искусно переплетаются с впечатляющими батальными сценами.</t>
        </is>
      </c>
      <c r="L2464" s="2" t="inlineStr">
        <is>
          <t>Кино_СССР сводный каталог.xlsx: список фильмов (доп.)</t>
        </is>
      </c>
      <c r="M2464" s="2">
        <f>HYPERLINK("https://ru.wikipedia.org/w/index.php?search=%D0%93%D0%B8%D0%B1%D0%B5%D0%BB%D1%8C%20%D0%9E%D1%82%D1%80%D0%B0%D1%80%D0%B0%201991%20%D1%84%D0%B8%D0%BB%D1%8C%D0%BC","искать")</f>
        <v/>
      </c>
      <c r="N2464" s="3" t="n"/>
      <c r="O2464" s="2" t="n"/>
    </row>
    <row r="2465">
      <c r="A2465" s="2" t="n">
        <v>2464</v>
      </c>
      <c r="B2465" s="2" t="inlineStr">
        <is>
          <t>короткая</t>
        </is>
      </c>
      <c r="C2465" s="2" t="n">
        <v>9544</v>
      </c>
      <c r="D2465" s="3" t="inlineStr">
        <is>
          <t>Папашка и мэм</t>
        </is>
      </c>
      <c r="E2465" s="2" t="n">
        <v>1990</v>
      </c>
      <c r="F2465" s="2" t="inlineStr">
        <is>
          <t>кинофильм</t>
        </is>
      </c>
      <c r="G2465" s="2" t="n"/>
      <c r="H2465" s="2" t="n">
        <v>235</v>
      </c>
      <c r="I2465" s="2" t="inlineStr"/>
      <c r="J2465" s="2" t="inlineStr"/>
      <c r="K2465" s="3" t="inlineStr">
        <is>
          <t>Возлюбленным уже за сорок. У каждого из них дети, которые представляют две враждующие группировки. Ситуация как у Шекспира банальна, но драматична отнюдь не по-шекспировски, хотя и вызывает жалость по поводу ушедших из жизни родителей.</t>
        </is>
      </c>
      <c r="L2465" s="2" t="inlineStr">
        <is>
          <t>Кино_СССР сводный каталог.xlsx: список фильмов (доп.)</t>
        </is>
      </c>
      <c r="M2465" s="2">
        <f>HYPERLINK("https://ru.wikipedia.org/w/index.php?search=%D0%9F%D0%B0%D0%BF%D0%B0%D1%88%D0%BA%D0%B0%20%D0%B8%20%D0%BC%D1%8D%D0%BC%201990%20%D1%84%D0%B8%D0%BB%D1%8C%D0%BC","искать")</f>
        <v/>
      </c>
      <c r="N2465" s="3" t="n"/>
      <c r="O2465" s="2" t="n"/>
    </row>
    <row r="2466">
      <c r="A2466" s="2" t="n">
        <v>2465</v>
      </c>
      <c r="B2466" s="2" t="inlineStr">
        <is>
          <t>короткая</t>
        </is>
      </c>
      <c r="C2466" s="2" t="n">
        <v>10076</v>
      </c>
      <c r="D2466" s="3" t="inlineStr">
        <is>
          <t>Композитор Жак Оффенбах</t>
        </is>
      </c>
      <c r="E2466" s="2" t="n">
        <v>1960</v>
      </c>
      <c r="F2466" s="2" t="inlineStr">
        <is>
          <t>фильм-спектакль</t>
        </is>
      </c>
      <c r="G2466" s="2" t="inlineStr">
        <is>
          <t>Центральное телевидение</t>
        </is>
      </c>
      <c r="H2466" s="2" t="n">
        <v>235</v>
      </c>
      <c r="I2466" s="2" t="inlineStr"/>
      <c r="J2466" s="2" t="inlineStr"/>
      <c r="K2466" s="3" t="inlineStr">
        <is>
          <t>Музыкальное путешествие по опереттам основоположника жанра - французского композитора Жака Оффенбаха в исполнении артистов театра Музыкального театра им. Станиславского и Немировича-Данченко, Московского театра оперетты, и Москонцерта.</t>
        </is>
      </c>
      <c r="L2466" s="2" t="inlineStr">
        <is>
          <t>https://www.kino-teatr.ru/teatr/movie/118752/annot/</t>
        </is>
      </c>
      <c r="M2466" s="2">
        <f>HYPERLINK("https://ru.wikipedia.org/w/index.php?search=%D0%9A%D0%BE%D0%BC%D0%BF%D0%BE%D0%B7%D0%B8%D1%82%D0%BE%D1%80%20%D0%96%D0%B0%D0%BA%20%D0%9E%D1%84%D1%84%D0%B5%D0%BD%D0%B1%D0%B0%D1%85%201960%20%D1%84%D0%B8%D0%BB%D1%8C%D0%BC","искать")</f>
        <v/>
      </c>
      <c r="N2466" s="3" t="n"/>
      <c r="O2466" s="2" t="n"/>
    </row>
    <row r="2467">
      <c r="A2467" s="2" t="n">
        <v>2466</v>
      </c>
      <c r="B2467" s="2" t="inlineStr">
        <is>
          <t>короткая</t>
        </is>
      </c>
      <c r="C2467" s="2" t="n">
        <v>10322</v>
      </c>
      <c r="D2467" s="3" t="inlineStr">
        <is>
          <t>Оптимистическая трагедия</t>
        </is>
      </c>
      <c r="E2467" s="2" t="n">
        <v>1969</v>
      </c>
      <c r="F2467" s="2" t="inlineStr">
        <is>
          <t>фильм-спектакль</t>
        </is>
      </c>
      <c r="G2467" s="2" t="inlineStr">
        <is>
          <t>Центральное телевидение</t>
        </is>
      </c>
      <c r="H2467" s="2" t="n">
        <v>235</v>
      </c>
      <c r="I2467" s="2" t="inlineStr"/>
      <c r="J2467" s="2" t="inlineStr"/>
      <c r="K2467" s="3" t="inlineStr">
        <is>
          <t>Телеспектакль по опере Александра Холминова и пьесе Всеволода Вишневского.
1918 год.
В морской отряд, которым руководит анархист Вожак, по поручению ЦК партии направляется женщина-комиссар. Ей поручено подчинить моряков делу революции.</t>
        </is>
      </c>
      <c r="L2467" s="2" t="inlineStr">
        <is>
          <t>https://www.kino-teatr.ru/teatr/movie/107498/annot/</t>
        </is>
      </c>
      <c r="M2467" s="2">
        <f>HYPERLINK("https://ru.wikipedia.org/w/index.php?search=%D0%9E%D0%BF%D1%82%D0%B8%D0%BC%D0%B8%D1%81%D1%82%D0%B8%D1%87%D0%B5%D1%81%D0%BA%D0%B0%D1%8F%20%D1%82%D1%80%D0%B0%D0%B3%D0%B5%D0%B4%D0%B8%D1%8F%201969%20%D1%84%D0%B8%D0%BB%D1%8C%D0%BC","искать")</f>
        <v/>
      </c>
      <c r="N2467" s="3" t="n"/>
      <c r="O2467" s="2" t="n"/>
    </row>
    <row r="2468">
      <c r="A2468" s="2" t="n">
        <v>2467</v>
      </c>
      <c r="B2468" s="2" t="inlineStr">
        <is>
          <t>короткая</t>
        </is>
      </c>
      <c r="C2468" s="2" t="n">
        <v>10702</v>
      </c>
      <c r="D2468" s="3" t="inlineStr">
        <is>
          <t>На золотом дне</t>
        </is>
      </c>
      <c r="E2468" s="2" t="n">
        <v>1977</v>
      </c>
      <c r="F2468" s="2" t="inlineStr">
        <is>
          <t>фильм-спектакль</t>
        </is>
      </c>
      <c r="G2468" s="2" t="inlineStr">
        <is>
          <t>Главная редакция литературно-драматических программ</t>
        </is>
      </c>
      <c r="H2468" s="2" t="n">
        <v>235</v>
      </c>
      <c r="I2468" s="2" t="inlineStr"/>
      <c r="J2468" s="2" t="inlineStr"/>
      <c r="K2468" s="3" t="inlineStr">
        <is>
          <t>Одноименная пьеса Мамина-Сибиряка в постановке государственного Академического театра имени Вахтангова.
В центре пьесы образ дочери разорившегося золотопромышленника, которая, столкнувшись с жестокими нравами, сама становится хищницей.</t>
        </is>
      </c>
      <c r="L2468" s="2" t="inlineStr">
        <is>
          <t>https://www.kino-teatr.ru/teatr/movie/81578/annot/</t>
        </is>
      </c>
      <c r="M2468" s="2">
        <f>HYPERLINK("https://ru.wikipedia.org/w/index.php?search=%D0%9D%D0%B0%20%D0%B7%D0%BE%D0%BB%D0%BE%D1%82%D0%BE%D0%BC%20%D0%B4%D0%BD%D0%B5%201977%20%D1%84%D0%B8%D0%BB%D1%8C%D0%BC","искать")</f>
        <v/>
      </c>
      <c r="N2468" s="3" t="n"/>
      <c r="O2468" s="2" t="n"/>
    </row>
    <row r="2469">
      <c r="A2469" s="2" t="n">
        <v>2468</v>
      </c>
      <c r="B2469" s="2" t="inlineStr">
        <is>
          <t>короткая</t>
        </is>
      </c>
      <c r="C2469" s="2" t="n">
        <v>7662</v>
      </c>
      <c r="D2469" s="3" t="inlineStr">
        <is>
          <t>И падал снег над белыми садами</t>
        </is>
      </c>
      <c r="E2469" s="2" t="n">
        <v>1984</v>
      </c>
      <c r="F2469" s="2" t="inlineStr">
        <is>
          <t>телефильм</t>
        </is>
      </c>
      <c r="G2469" s="2" t="n"/>
      <c r="H2469" s="2" t="n">
        <v>236</v>
      </c>
      <c r="I2469" s="2" t="inlineStr"/>
      <c r="J2469" s="2" t="inlineStr"/>
      <c r="K2469" s="3" t="inlineStr">
        <is>
          <t>ათოვდა ზამთრის ბაღებს Молодой художник, студент Тбилисской академии художеств, сталкивается с творческим поиском и выбором собственного пути в искусстве. Всё это подталкивает его к отказу от учёбы в академии и возвращению в родное село.</t>
        </is>
      </c>
      <c r="L2469" s="2" t="inlineStr">
        <is>
          <t>Кино_СССР сводный каталог.xlsx: список телефильмов</t>
        </is>
      </c>
      <c r="M2469" s="2">
        <f>HYPERLINK("https://ru.wikipedia.org/w/index.php?search=%D0%98%20%D0%BF%D0%B0%D0%B4%D0%B0%D0%BB%20%D1%81%D0%BD%D0%B5%D0%B3%20%D0%BD%D0%B0%D0%B4%20%D0%B1%D0%B5%D0%BB%D1%8B%D0%BC%D0%B8%20%D1%81%D0%B0%D0%B4%D0%B0%D0%BC%D0%B8%201984%20%D1%84%D0%B8%D0%BB%D1%8C%D0%BC","искать")</f>
        <v/>
      </c>
      <c r="N2469" s="3" t="n"/>
      <c r="O2469" s="2" t="n"/>
    </row>
    <row r="2470">
      <c r="A2470" s="2" t="n">
        <v>2469</v>
      </c>
      <c r="B2470" s="2" t="inlineStr">
        <is>
          <t>короткая</t>
        </is>
      </c>
      <c r="C2470" s="2" t="n">
        <v>8204</v>
      </c>
      <c r="D2470" s="3" t="inlineStr">
        <is>
          <t>Приключения Калле-сыщика</t>
        </is>
      </c>
      <c r="E2470" s="2" t="n">
        <v>1976</v>
      </c>
      <c r="F2470" s="2" t="inlineStr">
        <is>
          <t>телефильм</t>
        </is>
      </c>
      <c r="G2470" s="2" t="n"/>
      <c r="H2470" s="2" t="n">
        <v>237</v>
      </c>
      <c r="I2470" s="2" t="inlineStr"/>
      <c r="J2470" s="2" t="inlineStr"/>
      <c r="K2470" s="3" t="inlineStr">
        <is>
          <t>Телефильм по мотивам книги шведской писательницы А.Линдгрен "Приключения Калле Блюмквиста". О приключениях мальчика, мечтавшего стать сыщиком. Ребята неожиданно становятся свидетелями загадочного преступления и помогают его расследовать.</t>
        </is>
      </c>
      <c r="L2470" s="2" t="inlineStr">
        <is>
          <t>Кино_СССР сводный каталог.xlsx: список телефильмов</t>
        </is>
      </c>
      <c r="M2470" s="2">
        <f>HYPERLINK("https://ru.wikipedia.org/w/index.php?search=%D0%9F%D1%80%D0%B8%D0%BA%D0%BB%D1%8E%D1%87%D0%B5%D0%BD%D0%B8%D1%8F%20%D0%9A%D0%B0%D0%BB%D0%BB%D0%B5-%D1%81%D1%8B%D1%89%D0%B8%D0%BA%D0%B0%201976%20%D1%84%D0%B8%D0%BB%D1%8C%D0%BC","искать")</f>
        <v/>
      </c>
      <c r="N2470" s="3" t="n"/>
      <c r="O2470" s="2" t="n"/>
    </row>
    <row r="2471">
      <c r="A2471" s="2" t="n">
        <v>2470</v>
      </c>
      <c r="B2471" s="2" t="inlineStr">
        <is>
          <t>короткая</t>
        </is>
      </c>
      <c r="C2471" s="2" t="n">
        <v>8612</v>
      </c>
      <c r="D2471" s="3" t="inlineStr">
        <is>
          <t>Я крёстный Пеле!</t>
        </is>
      </c>
      <c r="E2471" s="2" t="n">
        <v>1991</v>
      </c>
      <c r="F2471" s="2" t="inlineStr">
        <is>
          <t>телефильм</t>
        </is>
      </c>
      <c r="G2471" s="2" t="n"/>
      <c r="H2471" s="2" t="n">
        <v>237</v>
      </c>
      <c r="I2471" s="2" t="inlineStr"/>
      <c r="J2471" s="2" t="inlineStr"/>
      <c r="K2471" s="3" t="inlineStr">
        <is>
          <t>Кинокомедия о фантастических приключениях простого тбилисского электрика Ладо, попавшего из реального мира в завораживающий мир футбола… Фильм полон ярких моментов хроники мировых футбольных чемпионатов. В фильме снимался Паоло Сагданья.</t>
        </is>
      </c>
      <c r="L2471" s="2" t="inlineStr">
        <is>
          <t>Кино_СССР сводный каталог.xlsx: список телефильмов</t>
        </is>
      </c>
      <c r="M2471" s="2">
        <f>HYPERLINK("https://ru.wikipedia.org/w/index.php?search=%D0%AF%20%D0%BA%D1%80%D1%91%D1%81%D1%82%D0%BD%D1%8B%D0%B9%20%D0%9F%D0%B5%D0%BB%D0%B5%21%201991%20%D1%84%D0%B8%D0%BB%D1%8C%D0%BC","искать")</f>
        <v/>
      </c>
      <c r="N2471" s="3" t="n"/>
      <c r="O2471" s="2" t="n"/>
    </row>
    <row r="2472">
      <c r="A2472" s="2" t="n">
        <v>2471</v>
      </c>
      <c r="B2472" s="2" t="inlineStr">
        <is>
          <t>короткая</t>
        </is>
      </c>
      <c r="C2472" s="2" t="n">
        <v>7995</v>
      </c>
      <c r="D2472" s="3" t="inlineStr">
        <is>
          <t>Нетерпение души</t>
        </is>
      </c>
      <c r="E2472" s="2" t="n">
        <v>1987</v>
      </c>
      <c r="F2472" s="2" t="inlineStr">
        <is>
          <t>телефильм</t>
        </is>
      </c>
      <c r="G2472" s="2" t="n"/>
      <c r="H2472" s="2" t="n">
        <v>238</v>
      </c>
      <c r="I2472" s="2" t="inlineStr"/>
      <c r="J2472" s="2" t="inlineStr"/>
      <c r="K2472" s="3" t="inlineStr">
        <is>
          <t>В 1918 году народный учитель П.Н.Лепешинский, оставив высокий пост в Наркомпросе, переезжает с семьей в белорусскую деревню Литвиновичи, где создает трудовую школу-коммуну. Фильм повествует об истории этой школы и судьбе ее воспитанников.</t>
        </is>
      </c>
      <c r="L2472" s="2" t="inlineStr">
        <is>
          <t>Кино_СССР сводный каталог.xlsx: список телефильмов</t>
        </is>
      </c>
      <c r="M2472" s="2">
        <f>HYPERLINK("https://ru.wikipedia.org/w/index.php?search=%D0%9D%D0%B5%D1%82%D0%B5%D1%80%D0%BF%D0%B5%D0%BD%D0%B8%D0%B5%20%D0%B4%D1%83%D1%88%D0%B8%201987%20%D1%84%D0%B8%D0%BB%D1%8C%D0%BC","искать")</f>
        <v/>
      </c>
      <c r="N2472" s="3" t="n"/>
      <c r="O2472" s="2" t="n"/>
    </row>
    <row r="2473">
      <c r="A2473" s="2" t="n">
        <v>2472</v>
      </c>
      <c r="B2473" s="2" t="inlineStr">
        <is>
          <t>короткая</t>
        </is>
      </c>
      <c r="C2473" s="2" t="n">
        <v>7337</v>
      </c>
      <c r="D2473" s="3" t="inlineStr">
        <is>
          <t>Взрывники</t>
        </is>
      </c>
      <c r="E2473" s="2" t="n">
        <v>1970</v>
      </c>
      <c r="F2473" s="2" t="inlineStr">
        <is>
          <t>телефильм</t>
        </is>
      </c>
      <c r="G2473" s="2" t="n"/>
      <c r="H2473" s="2" t="n">
        <v>239</v>
      </c>
      <c r="I2473" s="2" t="inlineStr"/>
      <c r="J2473" s="2" t="inlineStr"/>
      <c r="K2473" s="3" t="inlineStr">
        <is>
          <t>Телефильм. Нелегко начинается трудовой путь молодого инженера, выпускника горного института — Сергея Омарова. Но с помощью своих друзей-рабочих, он не только становится грамотным мастером, но и вырастает до поста руководителя «Взрывпрома».</t>
        </is>
      </c>
      <c r="L2473" s="2" t="inlineStr">
        <is>
          <t>Кино_СССР сводный каталог.xlsx: список телефильмов</t>
        </is>
      </c>
      <c r="M2473" s="2">
        <f>HYPERLINK("https://ru.wikipedia.org/w/index.php?search=%D0%92%D0%B7%D1%80%D1%8B%D0%B2%D0%BD%D0%B8%D0%BA%D0%B8%201970%20%D1%84%D0%B8%D0%BB%D1%8C%D0%BC","искать")</f>
        <v/>
      </c>
      <c r="N2473" s="3" t="n"/>
      <c r="O2473" s="2" t="n"/>
    </row>
    <row r="2474">
      <c r="A2474" s="2" t="n">
        <v>2473</v>
      </c>
      <c r="B2474" s="2" t="inlineStr">
        <is>
          <t>короткая</t>
        </is>
      </c>
      <c r="C2474" s="2" t="n">
        <v>8050</v>
      </c>
      <c r="D2474" s="3" t="inlineStr">
        <is>
          <t>Орэра, полный вперед!</t>
        </is>
      </c>
      <c r="E2474" s="2" t="n">
        <v>1970</v>
      </c>
      <c r="F2474" s="2" t="inlineStr">
        <is>
          <t>телефильм</t>
        </is>
      </c>
      <c r="G2474" s="2" t="n"/>
      <c r="H2474" s="2" t="n">
        <v>239</v>
      </c>
      <c r="I2474" s="2" t="inlineStr"/>
      <c r="J2474" s="2" t="inlineStr"/>
      <c r="K2474" s="3" t="inlineStr">
        <is>
          <t>Вокально-инструментальный ансамбль «Орэра» отправляется на гастроли в Австралию, но из-за поломки автобуса опаздывают на теплоход. Ребята устраиваются матросами на теплоход «Шота Руставели» и после весёлых приключении добираются до Сиднея.</t>
        </is>
      </c>
      <c r="L2474" s="2" t="inlineStr">
        <is>
          <t>Кино_СССР сводный каталог.xlsx: список телефильмов</t>
        </is>
      </c>
      <c r="M2474" s="2">
        <f>HYPERLINK("https://ru.wikipedia.org/w/index.php?search=%D0%9E%D1%80%D1%8D%D1%80%D0%B0%2C%20%D0%BF%D0%BE%D0%BB%D0%BD%D1%8B%D0%B9%20%D0%B2%D0%BF%D0%B5%D1%80%D0%B5%D0%B4%21%201970%20%D1%84%D0%B8%D0%BB%D1%8C%D0%BC","искать")</f>
        <v/>
      </c>
      <c r="N2474" s="3" t="n"/>
      <c r="O2474" s="2" t="n"/>
    </row>
    <row r="2475">
      <c r="A2475" s="2" t="n">
        <v>2474</v>
      </c>
      <c r="B2475" s="2" t="inlineStr">
        <is>
          <t>короткая</t>
        </is>
      </c>
      <c r="C2475" s="2" t="n">
        <v>7303</v>
      </c>
      <c r="D2475" s="3" t="inlineStr">
        <is>
          <t>В этот праздничный вечер</t>
        </is>
      </c>
      <c r="E2475" s="2" t="n">
        <v>1959</v>
      </c>
      <c r="F2475" s="2" t="inlineStr">
        <is>
          <t>телефильм</t>
        </is>
      </c>
      <c r="G2475" s="2" t="n"/>
      <c r="H2475" s="2" t="n">
        <v>240</v>
      </c>
      <c r="I2475" s="2" t="inlineStr"/>
      <c r="J2475" s="2" t="inlineStr"/>
      <c r="K2475" s="3" t="inlineStr">
        <is>
          <t>Музыкальный фильм-обозрение. В праздничный первомайский вечер 1959 года зрители вместе с авторами фильма пройдутся по Москве, по ее улицам и плошадям, встретятся с любимыми артистами. И увидят как радостно встречают москвичи праздник Весны!</t>
        </is>
      </c>
      <c r="L2475" s="2" t="inlineStr">
        <is>
          <t>Кино_СССР сводный каталог.xlsx: список телефильмов</t>
        </is>
      </c>
      <c r="M2475" s="2">
        <f>HYPERLINK("https://ru.wikipedia.org/w/index.php?search=%D0%92%20%D1%8D%D1%82%D0%BE%D1%82%20%D0%BF%D1%80%D0%B0%D0%B7%D0%B4%D0%BD%D0%B8%D1%87%D0%BD%D1%8B%D0%B9%20%D0%B2%D0%B5%D1%87%D0%B5%D1%80%201959%20%D1%84%D0%B8%D0%BB%D1%8C%D0%BC","искать")</f>
        <v/>
      </c>
      <c r="N2475" s="3" t="n"/>
      <c r="O2475" s="2" t="n"/>
    </row>
    <row r="2476">
      <c r="A2476" s="2" t="n">
        <v>2475</v>
      </c>
      <c r="B2476" s="2" t="inlineStr">
        <is>
          <t>короткая</t>
        </is>
      </c>
      <c r="C2476" s="2" t="n">
        <v>7677</v>
      </c>
      <c r="D2476" s="3" t="inlineStr">
        <is>
          <t>Иду на вулкан</t>
        </is>
      </c>
      <c r="E2476" s="2" t="n">
        <v>1976</v>
      </c>
      <c r="F2476" s="2" t="inlineStr">
        <is>
          <t>телефильм</t>
        </is>
      </c>
      <c r="G2476" s="2" t="n"/>
      <c r="H2476" s="2" t="n">
        <v>240</v>
      </c>
      <c r="I2476" s="2" t="inlineStr"/>
      <c r="J2476" s="2" t="inlineStr"/>
      <c r="K2476" s="3" t="inlineStr">
        <is>
          <t>По мотивам романа Гусейна Мехтиева "Апшерон". 1-я серия "Земля отцов"(1976), 2-я серия "Соперники"(1976), 3-я серия "Возвращение"(1977). Встреча сельского паренька-табунщика Надира Биляндарли с геологами оказывается поворотной в его судьбе.</t>
        </is>
      </c>
      <c r="L2476" s="2" t="inlineStr">
        <is>
          <t>Кино_СССР сводный каталог.xlsx: список телефильмов</t>
        </is>
      </c>
      <c r="M2476" s="2">
        <f>HYPERLINK("https://ru.wikipedia.org/w/index.php?search=%D0%98%D0%B4%D1%83%20%D0%BD%D0%B0%20%D0%B2%D1%83%D0%BB%D0%BA%D0%B0%D0%BD%201976%20%D1%84%D0%B8%D0%BB%D1%8C%D0%BC","искать")</f>
        <v/>
      </c>
      <c r="N2476" s="3" t="n"/>
      <c r="O2476" s="2" t="n"/>
    </row>
    <row r="2477">
      <c r="A2477" s="2" t="n">
        <v>2476</v>
      </c>
      <c r="B2477" s="2" t="inlineStr">
        <is>
          <t>короткая</t>
        </is>
      </c>
      <c r="C2477" s="2" t="n">
        <v>9182</v>
      </c>
      <c r="D2477" s="3" t="inlineStr">
        <is>
          <t>Эта твёрдая земля</t>
        </is>
      </c>
      <c r="E2477" s="2" t="n">
        <v>1967</v>
      </c>
      <c r="F2477" s="2" t="inlineStr">
        <is>
          <t>кинофильм</t>
        </is>
      </c>
      <c r="G2477" s="2" t="n"/>
      <c r="H2477" s="2" t="n">
        <v>240</v>
      </c>
      <c r="I2477" s="2" t="inlineStr"/>
      <c r="J2477" s="2" t="inlineStr"/>
      <c r="K2477" s="3" t="inlineStr">
        <is>
          <t>Летчик-испытатель приехал в родное село разочарованным, морально травмированным, физически истощенным. Встреча с дорогими ему людьми, милыми сердцу местами, прикосновение к родной земле возрождают его и возвращают силы и уверенность в себе.</t>
        </is>
      </c>
      <c r="L2477" s="2" t="inlineStr">
        <is>
          <t>Кино_СССР сводный каталог.xlsx: список фильмов (доп.)</t>
        </is>
      </c>
      <c r="M2477" s="2">
        <f>HYPERLINK("https://ru.wikipedia.org/w/index.php?search=%D0%AD%D1%82%D0%B0%20%D1%82%D0%B2%D1%91%D1%80%D0%B4%D0%B0%D1%8F%20%D0%B7%D0%B5%D0%BC%D0%BB%D1%8F%201967%20%D1%84%D0%B8%D0%BB%D1%8C%D0%BC","искать")</f>
        <v/>
      </c>
      <c r="N2477" s="3" t="n"/>
      <c r="O2477" s="2" t="n"/>
    </row>
    <row r="2478">
      <c r="A2478" s="2" t="n">
        <v>2477</v>
      </c>
      <c r="B2478" s="2" t="inlineStr">
        <is>
          <t>короткая</t>
        </is>
      </c>
      <c r="C2478" s="2" t="n">
        <v>9401</v>
      </c>
      <c r="D2478" s="3" t="inlineStr">
        <is>
          <t>История слабой женщины</t>
        </is>
      </c>
      <c r="E2478" s="2" t="n">
        <v>1986</v>
      </c>
      <c r="F2478" s="2" t="inlineStr">
        <is>
          <t>кинофильм</t>
        </is>
      </c>
      <c r="G2478" s="2" t="n"/>
      <c r="H2478" s="2" t="n">
        <v>240</v>
      </c>
      <c r="I2478" s="2" t="inlineStr"/>
      <c r="J2478" s="2" t="inlineStr"/>
      <c r="K2478" s="3" t="inlineStr">
        <is>
          <t>Одна, без мужа, растит Несибели сына и дочь. Но трудности не сломили её. Жизнерадостный характер, чувство юмора, приветливость привлекают к ней людей. Она стремится помочь всем, кто рядом, и это помогает ей справляться со своими невзгодами.</t>
        </is>
      </c>
      <c r="L2478" s="2" t="inlineStr">
        <is>
          <t>Кино_СССР сводный каталог.xlsx: список фильмов (доп.)</t>
        </is>
      </c>
      <c r="M2478" s="2">
        <f>HYPERLINK("https://ru.wikipedia.org/w/index.php?search=%D0%98%D1%81%D1%82%D0%BE%D1%80%D0%B8%D1%8F%20%D1%81%D0%BB%D0%B0%D0%B1%D0%BE%D0%B9%20%D0%B6%D0%B5%D0%BD%D1%89%D0%B8%D0%BD%D1%8B%201986%20%D1%84%D0%B8%D0%BB%D1%8C%D0%BC","искать")</f>
        <v/>
      </c>
      <c r="N2478" s="3" t="n"/>
      <c r="O2478" s="2" t="n"/>
    </row>
    <row r="2479">
      <c r="A2479" s="2" t="n">
        <v>2478</v>
      </c>
      <c r="B2479" s="2" t="inlineStr">
        <is>
          <t>короткая</t>
        </is>
      </c>
      <c r="C2479" s="2" t="n">
        <v>11346</v>
      </c>
      <c r="D2479" s="3" t="inlineStr">
        <is>
          <t>Смех лангусты</t>
        </is>
      </c>
      <c r="E2479" s="2" t="n">
        <v>1991</v>
      </c>
      <c r="F2479" s="2" t="inlineStr">
        <is>
          <t>фильм-спектакль</t>
        </is>
      </c>
      <c r="G2479" s="2" t="inlineStr">
        <is>
          <t>Студия литературно-художественных программ, т/о "Телетеатр"</t>
        </is>
      </c>
      <c r="H2479" s="2" t="n">
        <v>240</v>
      </c>
      <c r="I2479" s="2" t="inlineStr"/>
      <c r="J2479" s="2" t="inlineStr"/>
      <c r="K2479" s="3" t="inlineStr">
        <is>
          <t>Постановка Театраа им. Маяковского по пьесе Джона Маррелла "Мемуары".
Спектакль рассказывает о последнем годе жизни легендарной французской актрисы Сары Бернар. Жизнь Сары на исходе. Нужно успеть рассказать правду о себе, она пишет мемуары.</t>
        </is>
      </c>
      <c r="L2479" s="2" t="inlineStr">
        <is>
          <t>https://www.kino-teatr.ru/teatr/movie/81594/annot/</t>
        </is>
      </c>
      <c r="M2479" s="2">
        <f>HYPERLINK("https://ru.wikipedia.org/w/index.php?search=%D0%A1%D0%BC%D0%B5%D1%85%20%D0%BB%D0%B0%D0%BD%D0%B3%D1%83%D1%81%D1%82%D1%8B%201991%20%D1%84%D0%B8%D0%BB%D1%8C%D0%BC","искать")</f>
        <v/>
      </c>
      <c r="N2479" s="3" t="n"/>
      <c r="O2479" s="2" t="n"/>
    </row>
    <row r="2480">
      <c r="A2480" s="2" t="n">
        <v>2479</v>
      </c>
      <c r="B2480" s="2" t="inlineStr">
        <is>
          <t>короткая</t>
        </is>
      </c>
      <c r="C2480" s="2" t="n">
        <v>9754</v>
      </c>
      <c r="D2480" s="3" t="inlineStr">
        <is>
          <t>Чёрный монах</t>
        </is>
      </c>
      <c r="E2480" s="2" t="n">
        <v>1988</v>
      </c>
      <c r="F2480" s="2" t="inlineStr">
        <is>
          <t>кинофильм</t>
        </is>
      </c>
      <c r="G2480" s="2" t="n"/>
      <c r="H2480" s="2" t="n">
        <v>241</v>
      </c>
      <c r="I2480" s="2" t="inlineStr"/>
      <c r="J2480" s="2" t="inlineStr"/>
      <c r="K2480" s="3" t="inlineStr">
        <is>
          <t>Фильм снят по мотивам повести Антона Чехова "Черный монах". Магистр философии Андрей Коврин уезжает на лето в деревню, где в доме помещика Песоцкого встречает деревенскую барышню Татьяну, поразившую его своим неземным обликом в самое сердце.</t>
        </is>
      </c>
      <c r="L2480" s="2" t="inlineStr">
        <is>
          <t>Кино_СССР сводный каталог.xlsx: список фильмов (доп.)</t>
        </is>
      </c>
      <c r="M2480" s="2">
        <f>HYPERLINK("https://ru.wikipedia.org/w/index.php?search=%D0%A7%D1%91%D1%80%D0%BD%D1%8B%D0%B9%20%D0%BC%D0%BE%D0%BD%D0%B0%D1%85%201988%20%D1%84%D0%B8%D0%BB%D1%8C%D0%BC","искать")</f>
        <v/>
      </c>
      <c r="N2480" s="3" t="n"/>
      <c r="O2480" s="2" t="n"/>
    </row>
    <row r="2481">
      <c r="A2481" s="2" t="n">
        <v>2480</v>
      </c>
      <c r="B2481" s="2" t="inlineStr">
        <is>
          <t>короткая</t>
        </is>
      </c>
      <c r="C2481" s="2" t="n">
        <v>10777</v>
      </c>
      <c r="D2481" s="3" t="inlineStr">
        <is>
          <t>Стойкий туман</t>
        </is>
      </c>
      <c r="E2481" s="2" t="n">
        <v>1978</v>
      </c>
      <c r="F2481" s="2" t="inlineStr">
        <is>
          <t>фильм-спектакль</t>
        </is>
      </c>
      <c r="G2481" s="2" t="inlineStr">
        <is>
          <t>Центральное телевидение</t>
        </is>
      </c>
      <c r="H2481" s="2" t="n">
        <v>241</v>
      </c>
      <c r="I2481" s="2" t="inlineStr"/>
      <c r="J2481" s="2" t="inlineStr"/>
      <c r="K2481" s="3" t="inlineStr">
        <is>
          <t>По одноименному роману Анатолия Ференчука.
Действие происходит в годы коллективизации на Кубани. В острой борьбе сталкиваются хуторская беднота во главе с председателем сельсовета Журбой и зажиточные хозяева, возглавляемые кулаком Хоруженко.</t>
        </is>
      </c>
      <c r="L2481" s="2" t="inlineStr">
        <is>
          <t>https://www.kino-teatr.ru/teatr/movie/91433/annot/</t>
        </is>
      </c>
      <c r="M2481" s="2">
        <f>HYPERLINK("https://ru.wikipedia.org/w/index.php?search=%D0%A1%D1%82%D0%BE%D0%B9%D0%BA%D0%B8%D0%B9%20%D1%82%D1%83%D0%BC%D0%B0%D0%BD%201978%20%D1%84%D0%B8%D0%BB%D1%8C%D0%BC","искать")</f>
        <v/>
      </c>
      <c r="N2481" s="3" t="n"/>
      <c r="O2481" s="2" t="n"/>
    </row>
    <row r="2482">
      <c r="A2482" s="2" t="n">
        <v>2481</v>
      </c>
      <c r="B2482" s="2" t="inlineStr">
        <is>
          <t>короткая</t>
        </is>
      </c>
      <c r="C2482" s="2" t="n">
        <v>10851</v>
      </c>
      <c r="D2482" s="3" t="inlineStr">
        <is>
          <t>Мятеж</t>
        </is>
      </c>
      <c r="E2482" s="2" t="n">
        <v>1980</v>
      </c>
      <c r="F2482" s="2" t="inlineStr">
        <is>
          <t>фильм-спектакль</t>
        </is>
      </c>
      <c r="G2482" s="2" t="inlineStr">
        <is>
          <t>МХАТ, ТО "Экран"</t>
        </is>
      </c>
      <c r="H2482" s="2" t="n">
        <v>241</v>
      </c>
      <c r="I2482" s="2" t="inlineStr"/>
      <c r="J2482" s="2" t="inlineStr"/>
      <c r="K2482" s="3" t="inlineStr">
        <is>
          <t>Экранизация пьесы, написанной по мотивам одноименного романа Д.Фурманова. Она была поставлена во МХАТе и шла с успехом несколько лет. В основе сюжета - подавление контрреволюционного мятежа в 1920 году в г.Верный (впоследствии - г.Алма-Ата).</t>
        </is>
      </c>
      <c r="L2482" s="2" t="inlineStr">
        <is>
          <t>https://www.kino-teatr.ru/teatr/movie/13076/annot/</t>
        </is>
      </c>
      <c r="M2482" s="2">
        <f>HYPERLINK("https://ru.wikipedia.org/w/index.php?search=%D0%9C%D1%8F%D1%82%D0%B5%D0%B6%201980%20%D1%84%D0%B8%D0%BB%D1%8C%D0%BC","искать")</f>
        <v/>
      </c>
      <c r="N2482" s="3" t="n"/>
      <c r="O2482" s="2" t="n"/>
    </row>
    <row r="2483">
      <c r="A2483" s="2" t="n">
        <v>2482</v>
      </c>
      <c r="B2483" s="2" t="inlineStr">
        <is>
          <t>короткая</t>
        </is>
      </c>
      <c r="C2483" s="2" t="n">
        <v>7525</v>
      </c>
      <c r="D2483" s="3" t="inlineStr">
        <is>
          <t>Дождь в чужом городе</t>
        </is>
      </c>
      <c r="E2483" s="2" t="n">
        <v>1979</v>
      </c>
      <c r="F2483" s="2" t="inlineStr">
        <is>
          <t>телефильм</t>
        </is>
      </c>
      <c r="G2483" s="2" t="n"/>
      <c r="H2483" s="2" t="n">
        <v>242</v>
      </c>
      <c r="I2483" s="2" t="inlineStr"/>
      <c r="J2483" s="2" t="inlineStr"/>
      <c r="K2483" s="3" t="inlineStr">
        <is>
          <t>Экранизация романа Даниила Гранина. Инженер Чижегов приезжает в провинциальный город в командировку и знакомится с Кирой. Взаимная привязанность немолодых людей приводит к сложным отношениям и необходимости принять единственно верное решение.</t>
        </is>
      </c>
      <c r="L2483" s="2" t="inlineStr">
        <is>
          <t>Кино_СССР сводный каталог.xlsx: список телефильмов</t>
        </is>
      </c>
      <c r="M2483" s="2">
        <f>HYPERLINK("https://ru.wikipedia.org/w/index.php?search=%D0%94%D0%BE%D0%B6%D0%B4%D1%8C%20%D0%B2%20%D1%87%D1%83%D0%B6%D0%BE%D0%BC%20%D0%B3%D0%BE%D1%80%D0%BE%D0%B4%D0%B5%201979%20%D1%84%D0%B8%D0%BB%D1%8C%D0%BC","искать")</f>
        <v/>
      </c>
      <c r="N2483" s="3" t="n"/>
      <c r="O2483" s="2" t="n"/>
    </row>
    <row r="2484">
      <c r="A2484" s="2" t="n">
        <v>2483</v>
      </c>
      <c r="B2484" s="2" t="inlineStr">
        <is>
          <t>короткая</t>
        </is>
      </c>
      <c r="C2484" s="2" t="n">
        <v>7990</v>
      </c>
      <c r="D2484" s="3" t="inlineStr">
        <is>
          <t>Непредвиденные визиты</t>
        </is>
      </c>
      <c r="E2484" s="2" t="n">
        <v>1991</v>
      </c>
      <c r="F2484" s="2" t="inlineStr">
        <is>
          <t>телефильм</t>
        </is>
      </c>
      <c r="G2484" s="2" t="n"/>
      <c r="H2484" s="2" t="n">
        <v>242</v>
      </c>
      <c r="I2484" s="2" t="inlineStr"/>
      <c r="J2484" s="2" t="inlineStr"/>
      <c r="K2484" s="3" t="inlineStr">
        <is>
          <t>Мэр города Селиванов, недавно избранный на этот пост, посещает своих предшественников, знакомясь с их нелегкими судьбами. Рассказы бывших градоначальников о себе, своих судьбах, тесно связанных с историей страны, составляют содержание фильма.</t>
        </is>
      </c>
      <c r="L2484" s="2" t="inlineStr">
        <is>
          <t>Кино_СССР сводный каталог.xlsx: список телефильмов</t>
        </is>
      </c>
      <c r="M2484" s="2">
        <f>HYPERLINK("https://ru.wikipedia.org/w/index.php?search=%D0%9D%D0%B5%D0%BF%D1%80%D0%B5%D0%B4%D0%B2%D0%B8%D0%B4%D0%B5%D0%BD%D0%BD%D1%8B%D0%B5%20%D0%B2%D0%B8%D0%B7%D0%B8%D1%82%D1%8B%201991%20%D1%84%D0%B8%D0%BB%D1%8C%D0%BC","искать")</f>
        <v/>
      </c>
      <c r="N2484" s="3" t="n"/>
      <c r="O2484" s="2" t="n"/>
    </row>
    <row r="2485">
      <c r="A2485" s="2" t="n">
        <v>2484</v>
      </c>
      <c r="B2485" s="2" t="inlineStr">
        <is>
          <t>короткая</t>
        </is>
      </c>
      <c r="C2485" s="2" t="n">
        <v>9419</v>
      </c>
      <c r="D2485" s="3" t="inlineStr">
        <is>
          <t>Когда наступит день</t>
        </is>
      </c>
      <c r="E2485" s="2" t="n">
        <v>1988</v>
      </c>
      <c r="F2485" s="2" t="inlineStr">
        <is>
          <t>кинофильм</t>
        </is>
      </c>
      <c r="G2485" s="2" t="n"/>
      <c r="H2485" s="2" t="n">
        <v>242</v>
      </c>
      <c r="I2485" s="2" t="inlineStr"/>
      <c r="J2485" s="2" t="inlineStr"/>
      <c r="K2485" s="3" t="inlineStr">
        <is>
          <t>После похорон друга художник Архипов переживает творческий кризис. Однако, познакомившись с балериной, попавшей из-за травмы в больницу, он много дней проводит с ней, помогает молодой женщине встать на ноги и забывает о собственном несчастье.</t>
        </is>
      </c>
      <c r="L2485" s="2" t="inlineStr">
        <is>
          <t>Кино_СССР сводный каталог.xlsx: список фильмов (доп.)</t>
        </is>
      </c>
      <c r="M2485" s="2">
        <f>HYPERLINK("https://ru.wikipedia.org/w/index.php?search=%D0%9A%D0%BE%D0%B3%D0%B4%D0%B0%20%D0%BD%D0%B0%D1%81%D1%82%D1%83%D0%BF%D0%B8%D1%82%20%D0%B4%D0%B5%D0%BD%D1%8C%201988%20%D1%84%D0%B8%D0%BB%D1%8C%D0%BC","искать")</f>
        <v/>
      </c>
      <c r="N2485" s="3" t="n"/>
      <c r="O2485" s="2" t="n"/>
    </row>
    <row r="2486">
      <c r="A2486" s="2" t="n">
        <v>2485</v>
      </c>
      <c r="B2486" s="2" t="inlineStr">
        <is>
          <t>короткая</t>
        </is>
      </c>
      <c r="C2486" s="2" t="n">
        <v>9525</v>
      </c>
      <c r="D2486" s="3" t="inlineStr">
        <is>
          <t>Он еще вернется</t>
        </is>
      </c>
      <c r="E2486" s="2" t="n">
        <v>1943</v>
      </c>
      <c r="F2486" s="2" t="inlineStr">
        <is>
          <t>кинофильм</t>
        </is>
      </c>
      <c r="G2486" s="2" t="n"/>
      <c r="H2486" s="2" t="n">
        <v>242</v>
      </c>
      <c r="I2486" s="2" t="inlineStr"/>
      <c r="J2486" s="2" t="inlineStr"/>
      <c r="K2486" s="3" t="inlineStr">
        <is>
          <t>ის კვლავ დაბრუნდება «В одном из боев за русское село молодой боец-грузин становится свидетелем героической гибели местной девушки-комсомолки. После ранения он приезжает в отпуск в родное село, где его ждут труженики-родители и невеста — Нино.</t>
        </is>
      </c>
      <c r="L2486" s="2" t="inlineStr">
        <is>
          <t>Кино_СССР сводный каталог.xlsx: список фильмов (доп.)</t>
        </is>
      </c>
      <c r="M2486" s="2">
        <f>HYPERLINK("https://ru.wikipedia.org/w/index.php?search=%D0%9E%D0%BD%20%D0%B5%D1%89%D0%B5%20%D0%B2%D0%B5%D1%80%D0%BD%D0%B5%D1%82%D1%81%D1%8F%201943%20%D1%84%D0%B8%D0%BB%D1%8C%D0%BC","искать")</f>
        <v/>
      </c>
      <c r="N2486" s="3" t="n"/>
      <c r="O2486" s="2" t="n"/>
    </row>
    <row r="2487">
      <c r="A2487" s="2" t="n">
        <v>2486</v>
      </c>
      <c r="B2487" s="2" t="inlineStr">
        <is>
          <t>короткая</t>
        </is>
      </c>
      <c r="C2487" s="2" t="n">
        <v>11369</v>
      </c>
      <c r="D2487" s="3" t="inlineStr">
        <is>
          <t>Городская фантазия</t>
        </is>
      </c>
      <c r="E2487" s="2" t="n">
        <v>1978</v>
      </c>
      <c r="F2487" s="2" t="inlineStr">
        <is>
          <t>не игровое</t>
        </is>
      </c>
      <c r="G2487" s="2" t="inlineStr">
        <is>
          <t>Лентелефильм</t>
        </is>
      </c>
      <c r="H2487" s="2" t="n">
        <v>242</v>
      </c>
      <c r="I2487" s="2" t="inlineStr"/>
      <c r="J2487" s="2" t="inlineStr"/>
      <c r="K2487" s="3" t="inlineStr">
        <is>
          <t>Фильм-концерт снят на улицах города. Влюблёная пара. Современная музыка звучит повсюду – на ленинградских крышах, улице Зодчего Росси, на балконах и в окнах домов. Музыка плывет по каналам, проезжает под мостиками, выходит на набережные Невы.</t>
        </is>
      </c>
      <c r="L2487" s="2" t="inlineStr">
        <is>
          <t>Кино_СССР телефильмы и пропуски включить в базу.xlsx</t>
        </is>
      </c>
      <c r="M2487" s="2">
        <f>HYPERLINK("https://ru.wikipedia.org/w/index.php?search=%D0%93%D0%BE%D1%80%D0%BE%D0%B4%D1%81%D0%BA%D0%B0%D1%8F%20%D1%84%D0%B0%D0%BD%D1%82%D0%B0%D0%B7%D0%B8%D1%8F%201978%20%D1%84%D0%B8%D0%BB%D1%8C%D0%BC","искать")</f>
        <v/>
      </c>
      <c r="N2487" s="3" t="n"/>
      <c r="O2487" s="2" t="n"/>
    </row>
    <row r="2488">
      <c r="A2488" s="2" t="n">
        <v>2487</v>
      </c>
      <c r="B2488" s="2" t="inlineStr">
        <is>
          <t>короткая</t>
        </is>
      </c>
      <c r="C2488" s="2" t="n">
        <v>10739</v>
      </c>
      <c r="D2488" s="3" t="inlineStr">
        <is>
          <t>День-деньской</t>
        </is>
      </c>
      <c r="E2488" s="2" t="n">
        <v>1978</v>
      </c>
      <c r="F2488" s="2" t="inlineStr">
        <is>
          <t>фильм-спектакль</t>
        </is>
      </c>
      <c r="G2488" s="2" t="inlineStr">
        <is>
          <t>Центральное телевидение</t>
        </is>
      </c>
      <c r="H2488" s="2" t="n">
        <v>243</v>
      </c>
      <c r="I2488" s="2" t="inlineStr"/>
      <c r="J2488" s="2" t="inlineStr"/>
      <c r="K2488" s="3" t="inlineStr">
        <is>
          <t>По одноименной пьесе А. Вейцлера и А. Мишарина в постановке Государственного академического театра имени Евг. Вахтангова.
Один день из жизни директора завода Друянова, который превратил некогда отсталое предприятие в одно из ведущих в отрасли.</t>
        </is>
      </c>
      <c r="L2488" s="2" t="inlineStr">
        <is>
          <t>https://www.kino-teatr.ru/teatr/movie/108297/annot/</t>
        </is>
      </c>
      <c r="M2488" s="2">
        <f>HYPERLINK("https://ru.wikipedia.org/w/index.php?search=%D0%94%D0%B5%D0%BD%D1%8C-%D0%B4%D0%B5%D0%BD%D1%8C%D1%81%D0%BA%D0%BE%D0%B9%201978%20%D1%84%D0%B8%D0%BB%D1%8C%D0%BC","искать")</f>
        <v/>
      </c>
      <c r="N2488" s="3" t="n"/>
      <c r="O2488" s="2" t="n"/>
    </row>
    <row r="2489">
      <c r="A2489" s="2" t="n">
        <v>2488</v>
      </c>
      <c r="B2489" s="2" t="inlineStr">
        <is>
          <t>короткая</t>
        </is>
      </c>
      <c r="C2489" s="2" t="n">
        <v>8056</v>
      </c>
      <c r="D2489" s="3" t="inlineStr">
        <is>
          <t>Особые обстоятельства</t>
        </is>
      </c>
      <c r="E2489" s="2" t="n">
        <v>1986</v>
      </c>
      <c r="F2489" s="2" t="inlineStr">
        <is>
          <t>телефильм</t>
        </is>
      </c>
      <c r="G2489" s="2" t="n"/>
      <c r="H2489" s="2" t="n">
        <v>244</v>
      </c>
      <c r="I2489" s="2" t="inlineStr"/>
      <c r="J2489" s="2" t="inlineStr"/>
      <c r="K2489" s="3" t="inlineStr">
        <is>
          <t>Телефильм по мотивам романа Манафа Фараджа Оглы Сулейманова "На вершинах". В основе сюжета - конфликт между начальником участка и директором горнообогатительного комбината, основанный на различных подходах к проблемам современного производства.</t>
        </is>
      </c>
      <c r="L2489" s="2" t="inlineStr">
        <is>
          <t>Кино_СССР сводный каталог.xlsx: список телефильмов</t>
        </is>
      </c>
      <c r="M2489" s="2">
        <f>HYPERLINK("https://ru.wikipedia.org/w/index.php?search=%D0%9E%D1%81%D0%BE%D0%B1%D1%8B%D0%B5%20%D0%BE%D0%B1%D1%81%D1%82%D0%BE%D1%8F%D1%82%D0%B5%D0%BB%D1%8C%D1%81%D1%82%D0%B2%D0%B0%201986%20%D1%84%D0%B8%D0%BB%D1%8C%D0%BC","искать")</f>
        <v/>
      </c>
      <c r="N2489" s="3" t="n"/>
      <c r="O2489" s="2" t="n"/>
    </row>
    <row r="2490">
      <c r="A2490" s="2" t="n">
        <v>2489</v>
      </c>
      <c r="B2490" s="2" t="inlineStr">
        <is>
          <t>короткая</t>
        </is>
      </c>
      <c r="C2490" s="2" t="n">
        <v>8679</v>
      </c>
      <c r="D2490" s="3" t="inlineStr">
        <is>
          <t>Год заканчивается закатом</t>
        </is>
      </c>
      <c r="E2490" s="2" t="n">
        <v>1990</v>
      </c>
      <c r="F2490" s="2" t="inlineStr">
        <is>
          <t>кинофильм</t>
        </is>
      </c>
      <c r="G2490" s="2" t="inlineStr">
        <is>
          <t>Lietuvos kino studija</t>
        </is>
      </c>
      <c r="H2490" s="2" t="n">
        <v>244</v>
      </c>
      <c r="I2490" s="2" t="inlineStr"/>
      <c r="J2490" s="2" t="inlineStr"/>
      <c r="K2490" s="3" t="inlineStr">
        <is>
          <t>Главный герой фильма путешествует в прошлое, чтобы найти ответы на вопросы, кто он и откуда пришёл?  Прошлое для него - это его семья, мать, сестра, брат. Он спрашивает себя, есть ли ещё что-то дороже семьи? Найдёт ли он выход, потеряв всё это?</t>
        </is>
      </c>
      <c r="L2490" s="2" t="inlineStr">
        <is>
          <t>Кино_СССР сводный каталог.xlsx: список фильмов (доп.)</t>
        </is>
      </c>
      <c r="M2490" s="2">
        <f>HYPERLINK("https://ru.wikipedia.org/w/index.php?search=%D0%93%D0%BE%D0%B4%20%D0%B7%D0%B0%D0%BA%D0%B0%D0%BD%D1%87%D0%B8%D0%B2%D0%B0%D0%B5%D1%82%D1%81%D1%8F%20%D0%B7%D0%B0%D0%BA%D0%B0%D1%82%D0%BE%D0%BC%201990%20%D1%84%D0%B8%D0%BB%D1%8C%D0%BC","искать")</f>
        <v/>
      </c>
      <c r="N2490" s="3" t="n"/>
      <c r="O2490" s="2" t="n"/>
    </row>
    <row r="2491">
      <c r="A2491" s="2" t="n">
        <v>2490</v>
      </c>
      <c r="B2491" s="2" t="inlineStr">
        <is>
          <t>короткая</t>
        </is>
      </c>
      <c r="C2491" s="2" t="n">
        <v>8841</v>
      </c>
      <c r="D2491" s="3" t="inlineStr">
        <is>
          <t>Мой лучший друг - генерал Василий, сын Иосифа</t>
        </is>
      </c>
      <c r="E2491" s="2" t="n">
        <v>1991</v>
      </c>
      <c r="F2491" s="2" t="inlineStr">
        <is>
          <t>кинофильм</t>
        </is>
      </c>
      <c r="G2491" s="2" t="inlineStr">
        <is>
          <t>Ленфильм</t>
        </is>
      </c>
      <c r="H2491" s="2" t="n">
        <v>244</v>
      </c>
      <c r="I2491" s="2" t="inlineStr"/>
      <c r="J2491" s="2" t="inlineStr"/>
      <c r="K2491" s="3" t="inlineStr">
        <is>
          <t>Рассказ о судьбе знаменитого спортсмена, волею судьбы оказавшегося фаворитом сына вождя - авиационного военачальника Василия Сталина. В основе фильма - факты из биографии легендарного капитана сборных СССР по футболу и хоккею Всеволода Боброва.</t>
        </is>
      </c>
      <c r="L2491" s="2" t="inlineStr">
        <is>
          <t>Кино_СССР сводный каталог.xlsx: список фильмов (доп.)</t>
        </is>
      </c>
      <c r="M2491" s="2">
        <f>HYPERLINK("https://ru.wikipedia.org/w/index.php?search=%D0%9C%D0%BE%D0%B9%20%D0%BB%D1%83%D1%87%D1%88%D0%B8%D0%B9%20%D0%B4%D1%80%D1%83%D0%B3%20-%20%D0%B3%D0%B5%D0%BD%D0%B5%D1%80%D0%B0%D0%BB%20%D0%92%D0%B0%D1%81%D0%B8%D0%BB%D0%B8%D0%B9%2C%20%D1%81%D1%8B%D0%BD%20%D0%98%D0%BE%D1%81%D0%B8%D1%84%D0%B0%201991%20%D1%84%D0%B8%D0%BB%D1%8C%D0%BC","искать")</f>
        <v/>
      </c>
      <c r="N2491" s="3" t="n"/>
      <c r="O2491" s="2" t="n"/>
    </row>
    <row r="2492">
      <c r="A2492" s="2" t="n">
        <v>2491</v>
      </c>
      <c r="B2492" s="2" t="inlineStr">
        <is>
          <t>короткая</t>
        </is>
      </c>
      <c r="C2492" s="2" t="n">
        <v>8875</v>
      </c>
      <c r="D2492" s="3" t="inlineStr">
        <is>
          <t>Неустановленное лицо</t>
        </is>
      </c>
      <c r="E2492" s="2" t="n">
        <v>1990</v>
      </c>
      <c r="F2492" s="2" t="inlineStr">
        <is>
          <t>кинофильм</t>
        </is>
      </c>
      <c r="G2492" s="2" t="n"/>
      <c r="H2492" s="2" t="n">
        <v>244</v>
      </c>
      <c r="I2492" s="2" t="inlineStr"/>
      <c r="J2492" s="2" t="inlineStr"/>
      <c r="K2492" s="3" t="inlineStr">
        <is>
          <t>У них - одна внешность, но разные характеры. Им выпала искусительная возможность поменяться местами, то есть "вкусить" чужую жизнь. Но не всегда получается так, как надеешься. И невинная игра может окончиться трагично. Чье же оно - лицо смерти?</t>
        </is>
      </c>
      <c r="L2492" s="2" t="inlineStr">
        <is>
          <t>Кино_СССР сводный каталог.xlsx: список фильмов (доп.)</t>
        </is>
      </c>
      <c r="M2492" s="2">
        <f>HYPERLINK("https://ru.wikipedia.org/w/index.php?search=%D0%9D%D0%B5%D1%83%D1%81%D1%82%D0%B0%D0%BD%D0%BE%D0%B2%D0%BB%D0%B5%D0%BD%D0%BD%D0%BE%D0%B5%20%D0%BB%D0%B8%D1%86%D0%BE%201990%20%D1%84%D0%B8%D0%BB%D1%8C%D0%BC","искать")</f>
        <v/>
      </c>
      <c r="N2492" s="3" t="n"/>
      <c r="O2492" s="2" t="n"/>
    </row>
    <row r="2493">
      <c r="A2493" s="2" t="n">
        <v>2492</v>
      </c>
      <c r="B2493" s="2" t="inlineStr">
        <is>
          <t>короткая</t>
        </is>
      </c>
      <c r="C2493" s="2" t="n">
        <v>9634</v>
      </c>
      <c r="D2493" s="3" t="inlineStr">
        <is>
          <t>Сделано в СССР</t>
        </is>
      </c>
      <c r="E2493" s="2" t="n">
        <v>1990</v>
      </c>
      <c r="F2493" s="2" t="inlineStr">
        <is>
          <t>кинофильм</t>
        </is>
      </c>
      <c r="G2493" s="2" t="n"/>
      <c r="H2493" s="2" t="n">
        <v>244</v>
      </c>
      <c r="I2493" s="2" t="inlineStr"/>
      <c r="J2493" s="2" t="inlineStr"/>
      <c r="K2493" s="3" t="inlineStr">
        <is>
          <t>После школьного вечера засвидетельствована кража видеомагнитофона. Уверенный в своих способностях детектива, учитель истории взялся за расследование. Не обошлось без пыток... И неизвестно, как бы закончилось дело, если бы не вмешались родители.</t>
        </is>
      </c>
      <c r="L2493" s="2" t="inlineStr">
        <is>
          <t>Кино_СССР сводный каталог.xlsx: список фильмов (доп.)</t>
        </is>
      </c>
      <c r="M2493" s="2">
        <f>HYPERLINK("https://ru.wikipedia.org/w/index.php?search=%D0%A1%D0%B4%D0%B5%D0%BB%D0%B0%D0%BD%D0%BE%20%D0%B2%20%D0%A1%D0%A1%D0%A1%D0%A0%201990%20%D1%84%D0%B8%D0%BB%D1%8C%D0%BC","искать")</f>
        <v/>
      </c>
      <c r="N2493" s="3" t="n"/>
      <c r="O2493" s="2" t="n"/>
    </row>
    <row r="2494">
      <c r="A2494" s="2" t="n">
        <v>2493</v>
      </c>
      <c r="B2494" s="2" t="inlineStr">
        <is>
          <t>короткая</t>
        </is>
      </c>
      <c r="C2494" s="2" t="n">
        <v>9784</v>
      </c>
      <c r="D2494" s="3" t="inlineStr">
        <is>
          <t>Я не приезжий, я здесь живу</t>
        </is>
      </c>
      <c r="E2494" s="2" t="n">
        <v>1988</v>
      </c>
      <c r="F2494" s="2" t="inlineStr">
        <is>
          <t>кинофильм</t>
        </is>
      </c>
      <c r="G2494" s="2" t="n"/>
      <c r="H2494" s="2" t="n">
        <v>244</v>
      </c>
      <c r="I2494" s="2" t="inlineStr"/>
      <c r="J2494" s="2" t="inlineStr"/>
      <c r="K2494" s="3" t="inlineStr">
        <is>
          <t>Незадачливый актер Феликс в поисках жилья знакомится с программистом Мартом, занимающимся обменом жилой площади. Немалые доходы от маклерского дела портят семейную жизнь Марта. Дружба с Феликсом подтверждает его выводы о неверно избранном пути.</t>
        </is>
      </c>
      <c r="L2494" s="2" t="inlineStr">
        <is>
          <t>Кино_СССР сводный каталог.xlsx: список фильмов (доп.)</t>
        </is>
      </c>
      <c r="M2494" s="2">
        <f>HYPERLINK("https://ru.wikipedia.org/w/index.php?search=%D0%AF%20%D0%BD%D0%B5%20%D0%BF%D1%80%D0%B8%D0%B5%D0%B7%D0%B6%D0%B8%D0%B9%2C%20%D1%8F%20%D0%B7%D0%B4%D0%B5%D1%81%D1%8C%20%D0%B6%D0%B8%D0%B2%D1%83%201988%20%D1%84%D0%B8%D0%BB%D1%8C%D0%BC","искать")</f>
        <v/>
      </c>
      <c r="N2494" s="3" t="n"/>
      <c r="O2494" s="2" t="n"/>
    </row>
    <row r="2495">
      <c r="A2495" s="2" t="n">
        <v>2494</v>
      </c>
      <c r="B2495" s="2" t="inlineStr">
        <is>
          <t>короткая</t>
        </is>
      </c>
      <c r="C2495" s="2" t="n">
        <v>10011</v>
      </c>
      <c r="D2495" s="3" t="inlineStr">
        <is>
          <t>Хочу тебе сказать...</t>
        </is>
      </c>
      <c r="E2495" s="2" t="n">
        <v>1985</v>
      </c>
      <c r="F2495" s="2" t="inlineStr">
        <is>
          <t>телефильм</t>
        </is>
      </c>
      <c r="G2495" s="2" t="inlineStr">
        <is>
          <t>ТО "Экран"</t>
        </is>
      </c>
      <c r="H2495" s="2" t="n">
        <v>244</v>
      </c>
      <c r="I2495" s="2" t="inlineStr"/>
      <c r="J2495" s="2" t="inlineStr"/>
      <c r="K2495" s="3" t="inlineStr">
        <is>
          <t>Лариса и Василий знакомы с детства. Их внутренняя скованность, неумение уступать друг другу, боязнь выглядеть смешными приводит к возникновению конфликтных ситуаций - забавных для окружающих, но важных для влюбленных, стесняющихся своих чувств.</t>
        </is>
      </c>
      <c r="L2495" s="2" t="inlineStr">
        <is>
          <t>https://www.kino-teatr.ru/short/movie/sov/7655/annot/</t>
        </is>
      </c>
      <c r="M2495" s="2">
        <f>HYPERLINK("https://ru.wikipedia.org/w/index.php?search=%D0%A5%D0%BE%D1%87%D1%83%20%D1%82%D0%B5%D0%B1%D0%B5%20%D1%81%D0%BA%D0%B0%D0%B7%D0%B0%D1%82%D1%8C...%201985%20%D1%84%D0%B8%D0%BB%D1%8C%D0%BC","искать")</f>
        <v/>
      </c>
      <c r="N2495" s="3" t="n"/>
      <c r="O2495" s="2" t="n"/>
    </row>
    <row r="2496">
      <c r="A2496" s="2" t="n">
        <v>2495</v>
      </c>
      <c r="B2496" s="2" t="inlineStr">
        <is>
          <t>короткая</t>
        </is>
      </c>
      <c r="C2496" s="2" t="n">
        <v>10970</v>
      </c>
      <c r="D2496" s="3" t="inlineStr">
        <is>
          <t>Спешите делать добро</t>
        </is>
      </c>
      <c r="E2496" s="2" t="n">
        <v>1982</v>
      </c>
      <c r="F2496" s="2" t="inlineStr">
        <is>
          <t>фильм-спектакль</t>
        </is>
      </c>
      <c r="G2496" s="2" t="inlineStr">
        <is>
          <t>Главная редакция литературно-драматических программ ЦТ</t>
        </is>
      </c>
      <c r="H2496" s="2" t="n">
        <v>244</v>
      </c>
      <c r="I2496" s="2" t="inlineStr"/>
      <c r="J2496" s="2" t="inlineStr"/>
      <c r="K2496" s="3" t="inlineStr">
        <is>
          <t>Мелодрама по одноименной пьесе Михаила Рощина в постановке Московского театра "Современник".
Фильм-спектакль рассказывает о девочке-подростке с трудной судьбой, волею случая попавшей в чужую семью, о сложных отношениях с людьми, приютившими ее.</t>
        </is>
      </c>
      <c r="L2496" s="2" t="inlineStr">
        <is>
          <t>https://www.kino-teatr.ru/teatr/movie/6710/annot/</t>
        </is>
      </c>
      <c r="M2496" s="2">
        <f>HYPERLINK("https://ru.wikipedia.org/w/index.php?search=%D0%A1%D0%BF%D0%B5%D1%88%D0%B8%D1%82%D0%B5%20%D0%B4%D0%B5%D0%BB%D0%B0%D1%82%D1%8C%20%D0%B4%D0%BE%D0%B1%D1%80%D0%BE%201982%20%D1%84%D0%B8%D0%BB%D1%8C%D0%BC","искать")</f>
        <v/>
      </c>
      <c r="N2496" s="3" t="n"/>
      <c r="O2496" s="2" t="n"/>
    </row>
    <row r="2497">
      <c r="A2497" s="2" t="n">
        <v>2496</v>
      </c>
      <c r="B2497" s="2" t="inlineStr">
        <is>
          <t>короткая</t>
        </is>
      </c>
      <c r="C2497" s="2" t="n">
        <v>7195</v>
      </c>
      <c r="D2497" s="3" t="inlineStr">
        <is>
          <t>Ай лав ю, Петрович</t>
        </is>
      </c>
      <c r="E2497" s="2" t="n">
        <v>1990</v>
      </c>
      <c r="F2497" s="2" t="inlineStr">
        <is>
          <t>телефильм</t>
        </is>
      </c>
      <c r="G2497" s="2" t="n"/>
      <c r="H2497" s="2" t="n">
        <v>245</v>
      </c>
      <c r="I2497" s="2" t="inlineStr"/>
      <c r="J2497" s="2" t="inlineStr"/>
      <c r="K2497" s="3" t="inlineStr">
        <is>
          <t>Трое ребят и девушка отправляются в другой город с целью разыскать отца одного из них, чтобы получить от него деньги как компенсацию за уход из семьи. По дороге они знакомятся с бомжем Петровичем, и эта встреча заставляет их о многом задуматься.</t>
        </is>
      </c>
      <c r="L2497" s="2" t="inlineStr">
        <is>
          <t>Кино_СССР сводный каталог.xlsx: список телефильмов</t>
        </is>
      </c>
      <c r="M2497" s="2">
        <f>HYPERLINK("https://ru.wikipedia.org/w/index.php?search=%D0%90%D0%B9%20%D0%BB%D0%B0%D0%B2%20%D1%8E%2C%20%D0%9F%D0%B5%D1%82%D1%80%D0%BE%D0%B2%D0%B8%D1%87%201990%20%D1%84%D0%B8%D0%BB%D1%8C%D0%BC","искать")</f>
        <v/>
      </c>
      <c r="N2497" s="3" t="n"/>
      <c r="O2497" s="2" t="n"/>
    </row>
    <row r="2498">
      <c r="A2498" s="2" t="n">
        <v>2497</v>
      </c>
      <c r="B2498" s="2" t="inlineStr">
        <is>
          <t>короткая</t>
        </is>
      </c>
      <c r="C2498" s="2" t="n">
        <v>7422</v>
      </c>
      <c r="D2498" s="3" t="inlineStr">
        <is>
          <t>Высокая проба</t>
        </is>
      </c>
      <c r="E2498" s="2" t="n">
        <v>1983</v>
      </c>
      <c r="F2498" s="2" t="inlineStr">
        <is>
          <t>телефильм</t>
        </is>
      </c>
      <c r="G2498" s="2" t="inlineStr">
        <is>
          <t>Ленфильм</t>
        </is>
      </c>
      <c r="H2498" s="2" t="n">
        <v>245</v>
      </c>
      <c r="I2498" s="2" t="inlineStr"/>
      <c r="J2498" s="2" t="inlineStr"/>
      <c r="K2498" s="3" t="inlineStr">
        <is>
          <t>Сериал по мотивам романа Е. Воеводина "Своя вина". Назначенный на должность начальника литейного цеха Сергей Ильин, выдвигает перед руководством завода план реорганизации работы. Эти предложения находят как своих приверженцев, так и противников.</t>
        </is>
      </c>
      <c r="L2498" s="2" t="inlineStr">
        <is>
          <t>Кино_СССР сводный каталог.xlsx: список телефильмов</t>
        </is>
      </c>
      <c r="M2498" s="2">
        <f>HYPERLINK("https://ru.wikipedia.org/w/index.php?search=%D0%92%D1%8B%D1%81%D0%BE%D0%BA%D0%B0%D1%8F%20%D0%BF%D1%80%D0%BE%D0%B1%D0%B0%201983%20%D1%84%D0%B8%D0%BB%D1%8C%D0%BC","искать")</f>
        <v/>
      </c>
      <c r="N2498" s="3" t="n"/>
      <c r="O2498" s="2" t="n"/>
    </row>
    <row r="2499">
      <c r="A2499" s="2" t="n">
        <v>2498</v>
      </c>
      <c r="B2499" s="2" t="inlineStr">
        <is>
          <t>короткая</t>
        </is>
      </c>
      <c r="C2499" s="2" t="n">
        <v>7951</v>
      </c>
      <c r="D2499" s="3" t="inlineStr">
        <is>
          <t>Наследники</t>
        </is>
      </c>
      <c r="E2499" s="2" t="n">
        <v>1974</v>
      </c>
      <c r="F2499" s="2" t="inlineStr">
        <is>
          <t>телефильм</t>
        </is>
      </c>
      <c r="G2499" s="2" t="inlineStr">
        <is>
          <t>Одесская киностудия</t>
        </is>
      </c>
      <c r="H2499" s="2" t="n">
        <v>245</v>
      </c>
      <c r="I2499" s="2" t="inlineStr"/>
      <c r="J2499" s="2" t="inlineStr"/>
      <c r="K2499" s="3" t="inlineStr">
        <is>
          <t>Телесериал по мотивам одноименного романа Н.Сизова. Об участии комсомольцев в строительстве особо важных объектов. Молодые строители, опережая намеченные сроки и преодолевая огромные трудности, сдают досрочно первый пусковой объект химкомбината.</t>
        </is>
      </c>
      <c r="L2499" s="2" t="inlineStr">
        <is>
          <t>Кино_СССР сводный каталог.xlsx: список телефильмов</t>
        </is>
      </c>
      <c r="M2499" s="2">
        <f>HYPERLINK("https://ru.wikipedia.org/w/index.php?search=%D0%9D%D0%B0%D1%81%D0%BB%D0%B5%D0%B4%D0%BD%D0%B8%D0%BA%D0%B8%201974%20%D1%84%D0%B8%D0%BB%D1%8C%D0%BC","искать")</f>
        <v/>
      </c>
      <c r="N2499" s="3" t="n"/>
      <c r="O2499" s="2" t="n"/>
    </row>
    <row r="2500">
      <c r="A2500" s="2" t="n">
        <v>2499</v>
      </c>
      <c r="B2500" s="2" t="inlineStr">
        <is>
          <t>короткая</t>
        </is>
      </c>
      <c r="C2500" s="2" t="n">
        <v>8380</v>
      </c>
      <c r="D2500" s="3" t="inlineStr">
        <is>
          <t>Солнечный остров</t>
        </is>
      </c>
      <c r="E2500" s="2" t="n">
        <v>1977</v>
      </c>
      <c r="F2500" s="2" t="inlineStr">
        <is>
          <t>телефильм</t>
        </is>
      </c>
      <c r="G2500" s="2" t="n"/>
      <c r="H2500" s="2" t="n">
        <v>245</v>
      </c>
      <c r="I2500" s="2" t="inlineStr"/>
      <c r="J2500" s="2" t="inlineStr"/>
      <c r="K2500" s="3" t="inlineStr">
        <is>
          <t>Телефильм по мотивам одноименной повести М.Гапарова. Девушка, разочаровавшись в любимом, уезжает в горный аул. Общение с природой, с мудрыми, бесхитростными людьми приносит ей чувство полноты жизни, которое, как казалось, было утрачено навсегда.</t>
        </is>
      </c>
      <c r="L2500" s="2" t="inlineStr">
        <is>
          <t>Кино_СССР сводный каталог.xlsx: список телефильмов</t>
        </is>
      </c>
      <c r="M2500" s="2">
        <f>HYPERLINK("https://ru.wikipedia.org/w/index.php?search=%D0%A1%D0%BE%D0%BB%D0%BD%D0%B5%D1%87%D0%BD%D1%8B%D0%B9%20%D0%BE%D1%81%D1%82%D1%80%D0%BE%D0%B2%201977%20%D1%84%D0%B8%D0%BB%D1%8C%D0%BC","искать")</f>
        <v/>
      </c>
      <c r="N2500" s="3" t="n"/>
      <c r="O2500" s="2" t="n"/>
    </row>
    <row r="2501">
      <c r="A2501" s="2" t="n">
        <v>2500</v>
      </c>
      <c r="B2501" s="2" t="inlineStr">
        <is>
          <t>короткая</t>
        </is>
      </c>
      <c r="C2501" s="2" t="n">
        <v>9870</v>
      </c>
      <c r="D2501" s="3" t="inlineStr">
        <is>
          <t>Встань пораньше</t>
        </is>
      </c>
      <c r="E2501" s="2" t="n">
        <v>1970</v>
      </c>
      <c r="F2501" s="2" t="inlineStr">
        <is>
          <t>телефильм</t>
        </is>
      </c>
      <c r="G2501" s="2" t="inlineStr">
        <is>
          <t>ТО Экран</t>
        </is>
      </c>
      <c r="H2501" s="2" t="n">
        <v>245</v>
      </c>
      <c r="I2501" s="2" t="inlineStr"/>
      <c r="J2501" s="2" t="inlineStr"/>
      <c r="K2501" s="3" t="inlineStr">
        <is>
          <t>Короткометражный фильм для детей, герой которого, деревенский мальчик-подпасок, не испугался волка, бродившего ночью вокруг загона, и спас жеребят от смертельной опасности. Эта тревожная ночь неожиданным образом делает мальчика сильнее и старше.</t>
        </is>
      </c>
      <c r="L2501" s="2" t="inlineStr">
        <is>
          <t>https://www.kino-teatr.ru/short/movie/sov/144257/annot/</t>
        </is>
      </c>
      <c r="M2501" s="2">
        <f>HYPERLINK("https://ru.wikipedia.org/w/index.php?search=%D0%92%D1%81%D1%82%D0%B0%D0%BD%D1%8C%20%D0%BF%D0%BE%D1%80%D0%B0%D0%BD%D1%8C%D1%88%D0%B5%201970%20%D1%84%D0%B8%D0%BB%D1%8C%D0%BC","искать")</f>
        <v/>
      </c>
      <c r="N2501" s="3" t="n"/>
      <c r="O2501" s="2" t="n"/>
    </row>
    <row r="2502">
      <c r="A2502" s="2" t="n">
        <v>2501</v>
      </c>
      <c r="B2502" s="2" t="inlineStr">
        <is>
          <t>короткая</t>
        </is>
      </c>
      <c r="C2502" s="2" t="n">
        <v>9929</v>
      </c>
      <c r="D2502" s="3" t="inlineStr">
        <is>
          <t>Однажды осенью</t>
        </is>
      </c>
      <c r="E2502" s="2" t="n">
        <v>1977</v>
      </c>
      <c r="F2502" s="2" t="inlineStr">
        <is>
          <t>телефильм</t>
        </is>
      </c>
      <c r="G2502" s="2" t="inlineStr">
        <is>
          <t>Новосибирсктелефильм</t>
        </is>
      </c>
      <c r="H2502" s="2" t="n">
        <v>245</v>
      </c>
      <c r="I2502" s="2" t="inlineStr"/>
      <c r="J2502" s="2" t="inlineStr"/>
      <c r="K2502" s="3" t="inlineStr">
        <is>
          <t>По рассказу алтайского писателя Евгения Гущина "Красные лисы".
Главные герои фильма - молодая доярка и механизатор, жители обыкновенного сибирского села. Их любовь вдруг стала не только их личным делом, а смятением, завистью, болью многих людей.</t>
        </is>
      </c>
      <c r="L2502" s="2" t="inlineStr">
        <is>
          <t>https://www.kino-teatr.ru/short/movie/sov/81012/annot/</t>
        </is>
      </c>
      <c r="M2502" s="2">
        <f>HYPERLINK("https://ru.wikipedia.org/w/index.php?search=%D0%9E%D0%B4%D0%BD%D0%B0%D0%B6%D0%B4%D1%8B%20%D0%BE%D1%81%D0%B5%D0%BD%D1%8C%D1%8E%201977%20%D1%84%D0%B8%D0%BB%D1%8C%D0%BC","искать")</f>
        <v/>
      </c>
      <c r="N2502" s="3" t="n"/>
      <c r="O2502" s="2" t="n"/>
    </row>
    <row r="2503">
      <c r="A2503" s="2" t="n">
        <v>2502</v>
      </c>
      <c r="B2503" s="2" t="inlineStr">
        <is>
          <t>короткая</t>
        </is>
      </c>
      <c r="C2503" s="2" t="n">
        <v>10814</v>
      </c>
      <c r="D2503" s="3" t="inlineStr">
        <is>
          <t>Небо - земля</t>
        </is>
      </c>
      <c r="E2503" s="2" t="n">
        <v>1979</v>
      </c>
      <c r="F2503" s="2" t="inlineStr">
        <is>
          <t>фильм-спектакль</t>
        </is>
      </c>
      <c r="G2503" s="2" t="inlineStr">
        <is>
          <t>Центральное телевидение</t>
        </is>
      </c>
      <c r="H2503" s="2" t="n">
        <v>245</v>
      </c>
      <c r="I2503" s="2" t="inlineStr"/>
      <c r="J2503" s="2" t="inlineStr"/>
      <c r="K2503" s="3" t="inlineStr">
        <is>
          <t>По одноименной пьесе А.Пинчука в постановке Государственного академического театра имени Моссовета.
О жизни военных летчиков, их дружбе, преданности своей профессии. В основе сюжета - перевод авиационного полка из небольшого городка в Заполярье.</t>
        </is>
      </c>
      <c r="L2503" s="2" t="inlineStr">
        <is>
          <t>https://www.kino-teatr.ru/teatr/movie/81477/annot/</t>
        </is>
      </c>
      <c r="M2503" s="2">
        <f>HYPERLINK("https://ru.wikipedia.org/w/index.php?search=%D0%9D%D0%B5%D0%B1%D0%BE%20-%20%D0%B7%D0%B5%D0%BC%D0%BB%D1%8F%201979%20%D1%84%D0%B8%D0%BB%D1%8C%D0%BC","искать")</f>
        <v/>
      </c>
      <c r="N2503" s="3" t="n"/>
      <c r="O2503" s="2" t="n"/>
    </row>
    <row r="2504">
      <c r="A2504" s="2" t="n">
        <v>2503</v>
      </c>
      <c r="B2504" s="2" t="inlineStr">
        <is>
          <t>короткая</t>
        </is>
      </c>
      <c r="C2504" s="2" t="n">
        <v>11092</v>
      </c>
      <c r="D2504" s="3" t="inlineStr">
        <is>
          <t>Автопортрет</t>
        </is>
      </c>
      <c r="E2504" s="2" t="n">
        <v>1986</v>
      </c>
      <c r="F2504" s="2" t="inlineStr">
        <is>
          <t>фильм-спектакль</t>
        </is>
      </c>
      <c r="G2504" s="2" t="inlineStr">
        <is>
          <t>Главная редакция музыкальных программ ЦТ</t>
        </is>
      </c>
      <c r="H2504" s="2" t="n">
        <v>245</v>
      </c>
      <c r="I2504" s="2" t="inlineStr"/>
      <c r="J2504" s="2" t="inlineStr"/>
      <c r="K2504" s="3" t="inlineStr">
        <is>
          <t>О творчестве артистки Московского театра оперетты Лилии Амарфий. Бенефис поставлен как экскурсия по галерее работ актрисы. Ведет экскурсию сама Лилия. Ее работы - музыкальные номера из оперетт, и последняя "лучшая работа та, что еще не создана".</t>
        </is>
      </c>
      <c r="L2504" s="2" t="inlineStr">
        <is>
          <t>https://www.kino-teatr.ru/teatr/movie/12169/annot/</t>
        </is>
      </c>
      <c r="M2504" s="2">
        <f>HYPERLINK("https://ru.wikipedia.org/w/index.php?search=%D0%90%D0%B2%D1%82%D0%BE%D0%BF%D0%BE%D1%80%D1%82%D1%80%D0%B5%D1%82%201986%20%D1%84%D0%B8%D0%BB%D1%8C%D0%BC","искать")</f>
        <v/>
      </c>
      <c r="N2504" s="3" t="n"/>
      <c r="O2504" s="2" t="n"/>
    </row>
    <row r="2505">
      <c r="A2505" s="2" t="n">
        <v>2504</v>
      </c>
      <c r="B2505" s="2" t="inlineStr">
        <is>
          <t>короткая</t>
        </is>
      </c>
      <c r="C2505" s="2" t="n">
        <v>11365</v>
      </c>
      <c r="D2505" s="3" t="inlineStr">
        <is>
          <t>Всё это было, было, было...</t>
        </is>
      </c>
      <c r="E2505" s="2" t="n">
        <v>1987</v>
      </c>
      <c r="F2505" s="2" t="inlineStr">
        <is>
          <t>не игровое</t>
        </is>
      </c>
      <c r="G2505" s="2" t="inlineStr">
        <is>
          <t>ГР музыкальных программ ЦТ</t>
        </is>
      </c>
      <c r="H2505" s="2" t="n">
        <v>245</v>
      </c>
      <c r="I2505" s="2" t="inlineStr"/>
      <c r="J2505" s="2" t="inlineStr"/>
      <c r="K2505" s="3" t="inlineStr">
        <is>
          <t>Фильм-концерт об эстраде начала ХХ века, о жизни и творчестве русских эстрадных исполнителей - Надежды Плевицкой, Варвары Паниной, Людмилы Спокойской и др. В программе песни и романсы, танцы и миниатюры разговорного жанра эстрады начала ХХ века.</t>
        </is>
      </c>
      <c r="L2505" s="2" t="inlineStr">
        <is>
          <t>Кино_СССР телефильмы и пропуски включить в базу.xlsx</t>
        </is>
      </c>
      <c r="M2505" s="2">
        <f>HYPERLINK("https://ru.wikipedia.org/w/index.php?search=%D0%92%D1%81%D1%91%20%D1%8D%D1%82%D0%BE%20%D0%B1%D1%8B%D0%BB%D0%BE%2C%20%D0%B1%D1%8B%D0%BB%D0%BE%2C%20%D0%B1%D1%8B%D0%BB%D0%BE...%201987%20%D1%84%D0%B8%D0%BB%D1%8C%D0%BC","искать")</f>
        <v/>
      </c>
      <c r="N2505" s="3" t="n"/>
      <c r="O2505" s="2" t="n"/>
    </row>
    <row r="2506">
      <c r="A2506" s="2" t="n">
        <v>2505</v>
      </c>
      <c r="B2506" s="2" t="inlineStr">
        <is>
          <t>короткая</t>
        </is>
      </c>
      <c r="C2506" s="2" t="n">
        <v>7791</v>
      </c>
      <c r="D2506" s="3" t="inlineStr">
        <is>
          <t>Лёгкие шаги</t>
        </is>
      </c>
      <c r="E2506" s="2" t="n">
        <v>1989</v>
      </c>
      <c r="F2506" s="2" t="inlineStr">
        <is>
          <t>телефильм</t>
        </is>
      </c>
      <c r="G2506" s="2" t="n"/>
      <c r="H2506" s="2" t="n">
        <v>246</v>
      </c>
      <c r="I2506" s="2" t="inlineStr"/>
      <c r="J2506" s="2" t="inlineStr"/>
      <c r="K2506" s="3" t="inlineStr">
        <is>
          <t>По мотивам сказок Вениамина Каверина "Легкие шаги", "Городок Немухин", "Много хороших людей и один завистник". Действие фильма происходит в сказочном городе Немухине, где захватившие власть "мудрейшие" чиновники отменили доброту, сказки и чудеса.</t>
        </is>
      </c>
      <c r="L2506" s="2" t="inlineStr">
        <is>
          <t>Кино_СССР сводный каталог.xlsx: список телефильмов</t>
        </is>
      </c>
      <c r="M2506" s="2">
        <f>HYPERLINK("https://ru.wikipedia.org/w/index.php?search=%D0%9B%D1%91%D0%B3%D0%BA%D0%B8%D0%B5%20%D1%88%D0%B0%D0%B3%D0%B8%201989%20%D1%84%D0%B8%D0%BB%D1%8C%D0%BC","искать")</f>
        <v/>
      </c>
      <c r="N2506" s="3" t="n"/>
      <c r="O2506" s="2" t="n"/>
    </row>
    <row r="2507">
      <c r="A2507" s="2" t="n">
        <v>2506</v>
      </c>
      <c r="B2507" s="2" t="inlineStr">
        <is>
          <t>короткая</t>
        </is>
      </c>
      <c r="C2507" s="2" t="n">
        <v>8883</v>
      </c>
      <c r="D2507" s="3" t="inlineStr">
        <is>
          <t>Ныне прославися сын человеческий</t>
        </is>
      </c>
      <c r="E2507" s="2" t="n">
        <v>1990</v>
      </c>
      <c r="F2507" s="2" t="inlineStr">
        <is>
          <t>кинофильм</t>
        </is>
      </c>
      <c r="G2507" s="2" t="n"/>
      <c r="H2507" s="2" t="n">
        <v>246</v>
      </c>
      <c r="I2507" s="2" t="inlineStr"/>
      <c r="J2507" s="2" t="inlineStr"/>
      <c r="K2507" s="3" t="inlineStr">
        <is>
          <t>Фильм повествует о последних днях жизни архиерея, который на смертном одре почувствовал свою оторванность от жизни, от природы, ощутил недостаток простого человеческого общения. По мотивам рассказов А. Чехова «Архиерей», «Княгиня», «Святая ночь».</t>
        </is>
      </c>
      <c r="L2507" s="2" t="inlineStr">
        <is>
          <t>Кино_СССР сводный каталог.xlsx: список фильмов (доп.)</t>
        </is>
      </c>
      <c r="M2507" s="2">
        <f>HYPERLINK("https://ru.wikipedia.org/w/index.php?search=%D0%9D%D1%8B%D0%BD%D0%B5%20%D0%BF%D1%80%D0%BE%D1%81%D0%BB%D0%B0%D0%B2%D0%B8%D1%81%D1%8F%20%D1%81%D1%8B%D0%BD%20%D1%87%D0%B5%D0%BB%D0%BE%D0%B2%D0%B5%D1%87%D0%B5%D1%81%D0%BA%D0%B8%D0%B9%201990%20%D1%84%D0%B8%D0%BB%D1%8C%D0%BC","искать")</f>
        <v/>
      </c>
      <c r="N2507" s="3" t="n"/>
      <c r="O2507" s="2" t="n"/>
    </row>
    <row r="2508">
      <c r="A2508" s="2" t="n">
        <v>2507</v>
      </c>
      <c r="B2508" s="2" t="inlineStr">
        <is>
          <t>короткая</t>
        </is>
      </c>
      <c r="C2508" s="2" t="n">
        <v>10014</v>
      </c>
      <c r="D2508" s="3" t="inlineStr">
        <is>
          <t>Легкий хлеб</t>
        </is>
      </c>
      <c r="E2508" s="2" t="n">
        <v>1986</v>
      </c>
      <c r="F2508" s="2" t="inlineStr">
        <is>
          <t>телефильм</t>
        </is>
      </c>
      <c r="G2508" s="2" t="inlineStr">
        <is>
          <t>"Белтелефильм"</t>
        </is>
      </c>
      <c r="H2508" s="2" t="n">
        <v>246</v>
      </c>
      <c r="I2508" s="2" t="inlineStr"/>
      <c r="J2508" s="2" t="inlineStr"/>
      <c r="K2508" s="3" t="inlineStr">
        <is>
          <t>Всю жизнь прожили Антон и Галя в одной деревне, их дома стояли рядом. Но случилось так, что Антону пришлось жениться на Алене. Так настояли родители. Прошли годы, постарели Антон и Галя, но теплые чувства их друг к другу сохранились на всю жизнь.</t>
        </is>
      </c>
      <c r="L2508" s="2" t="inlineStr">
        <is>
          <t>https://www.kino-teatr.ru/short/movie/sov/16468/annot/</t>
        </is>
      </c>
      <c r="M2508" s="2">
        <f>HYPERLINK("https://ru.wikipedia.org/w/index.php?search=%D0%9B%D0%B5%D0%B3%D0%BA%D0%B8%D0%B9%20%D1%85%D0%BB%D0%B5%D0%B1%201986%20%D1%84%D0%B8%D0%BB%D1%8C%D0%BC","искать")</f>
        <v/>
      </c>
      <c r="N2508" s="3" t="n"/>
      <c r="O2508" s="2" t="n"/>
    </row>
    <row r="2509">
      <c r="A2509" s="2" t="n">
        <v>2508</v>
      </c>
      <c r="B2509" s="2" t="inlineStr">
        <is>
          <t>короткая</t>
        </is>
      </c>
      <c r="C2509" s="2" t="n">
        <v>11064</v>
      </c>
      <c r="D2509" s="3" t="inlineStr">
        <is>
          <t>Криминальный талант</t>
        </is>
      </c>
      <c r="E2509" s="2" t="n">
        <v>1985</v>
      </c>
      <c r="F2509" s="2" t="inlineStr">
        <is>
          <t>фильм-спектакль</t>
        </is>
      </c>
      <c r="G2509" s="2" t="inlineStr">
        <is>
          <t>Ленинградское телевидение</t>
        </is>
      </c>
      <c r="H2509" s="2" t="n">
        <v>246</v>
      </c>
      <c r="I2509" s="2" t="inlineStr"/>
      <c r="J2509" s="2" t="inlineStr"/>
      <c r="K2509" s="3" t="inlineStr">
        <is>
          <t>По одноименной повести Станислава Родионова.
В городе совершается несколько преступлений, схожих по почерку и настолько необычных, что следственная группа предполагает наличие у преступника, точнее, преступницы, своего рода криминального таланта.</t>
        </is>
      </c>
      <c r="L2509" s="2" t="inlineStr">
        <is>
          <t>https://www.kino-teatr.ru/teatr/movie/16190/annot/</t>
        </is>
      </c>
      <c r="M2509" s="2">
        <f>HYPERLINK("https://ru.wikipedia.org/w/index.php?search=%D0%9A%D1%80%D0%B8%D0%BC%D0%B8%D0%BD%D0%B0%D0%BB%D1%8C%D0%BD%D1%8B%D0%B9%20%D1%82%D0%B0%D0%BB%D0%B0%D0%BD%D1%82%201985%20%D1%84%D0%B8%D0%BB%D1%8C%D0%BC","искать")</f>
        <v/>
      </c>
      <c r="N2509" s="3" t="n"/>
      <c r="O2509" s="2" t="n"/>
    </row>
    <row r="2510">
      <c r="A2510" s="2" t="n">
        <v>2509</v>
      </c>
      <c r="B2510" s="2" t="inlineStr">
        <is>
          <t>короткая</t>
        </is>
      </c>
      <c r="C2510" s="2" t="n">
        <v>7405</v>
      </c>
      <c r="D2510" s="3" t="inlineStr">
        <is>
          <t>Встреча на далёком меридиане</t>
        </is>
      </c>
      <c r="E2510" s="2" t="n">
        <v>1977</v>
      </c>
      <c r="F2510" s="2" t="inlineStr">
        <is>
          <t>телефильм</t>
        </is>
      </c>
      <c r="G2510" s="2" t="inlineStr">
        <is>
          <t>Беларусьфильм</t>
        </is>
      </c>
      <c r="H2510" s="2" t="n">
        <v>247</v>
      </c>
      <c r="I2510" s="2" t="inlineStr"/>
      <c r="J2510" s="2" t="inlineStr"/>
      <c r="K2510" s="3" t="inlineStr">
        <is>
          <t>Телесериал по мотивам одноименного романа М.Уилсона. Из истории сотрудничества советских и американских ученых в области физики. Главный герой - американский физик Николас Реннет едет в СССР. Впереди много серьезных научных и нравственных проблем.</t>
        </is>
      </c>
      <c r="L2510" s="2" t="inlineStr">
        <is>
          <t>Кино_СССР сводный каталог.xlsx: список телефильмов</t>
        </is>
      </c>
      <c r="M2510" s="2">
        <f>HYPERLINK("https://ru.wikipedia.org/w/index.php?search=%D0%92%D1%81%D1%82%D1%80%D0%B5%D1%87%D0%B0%20%D0%BD%D0%B0%20%D0%B4%D0%B0%D0%BB%D1%91%D0%BA%D0%BE%D0%BC%20%D0%BC%D0%B5%D1%80%D0%B8%D0%B4%D0%B8%D0%B0%D0%BD%D0%B5%201977%20%D1%84%D0%B8%D0%BB%D1%8C%D0%BC","искать")</f>
        <v/>
      </c>
      <c r="N2510" s="3" t="n"/>
      <c r="O2510" s="2" t="n"/>
    </row>
    <row r="2511">
      <c r="A2511" s="2" t="n">
        <v>2510</v>
      </c>
      <c r="B2511" s="2" t="inlineStr">
        <is>
          <t>короткая</t>
        </is>
      </c>
      <c r="C2511" s="2" t="n">
        <v>8254</v>
      </c>
      <c r="D2511" s="3" t="inlineStr">
        <is>
          <t>Рай красного дерева</t>
        </is>
      </c>
      <c r="E2511" s="2" t="n">
        <v>1981</v>
      </c>
      <c r="F2511" s="2" t="inlineStr">
        <is>
          <t>телефильм</t>
        </is>
      </c>
      <c r="G2511" s="2" t="n"/>
      <c r="H2511" s="2" t="n">
        <v>247</v>
      </c>
      <c r="I2511" s="2" t="inlineStr"/>
      <c r="J2511" s="2" t="inlineStr"/>
      <c r="K2511" s="3" t="inlineStr">
        <is>
          <t>Телесериал. Действие происходит в довоенном Каунасе. Главный герой Каролис Тулейкис, выходец из простой семьи, трудно прокладывает себе дорогу в жизни, но добивается своего - становится врачом. По-разному складывается судьба его друзей и знакомых.</t>
        </is>
      </c>
      <c r="L2511" s="2" t="inlineStr">
        <is>
          <t>Кино_СССР сводный каталог.xlsx: список телефильмов</t>
        </is>
      </c>
      <c r="M2511" s="2">
        <f>HYPERLINK("https://ru.wikipedia.org/w/index.php?search=%D0%A0%D0%B0%D0%B9%20%D0%BA%D1%80%D0%B0%D1%81%D0%BD%D0%BE%D0%B3%D0%BE%20%D0%B4%D0%B5%D1%80%D0%B5%D0%B2%D0%B0%201981%20%D1%84%D0%B8%D0%BB%D1%8C%D0%BC","искать")</f>
        <v/>
      </c>
      <c r="N2511" s="3" t="n"/>
      <c r="O2511" s="2" t="n"/>
    </row>
    <row r="2512">
      <c r="A2512" s="2" t="n">
        <v>2511</v>
      </c>
      <c r="B2512" s="2" t="inlineStr">
        <is>
          <t>короткая</t>
        </is>
      </c>
      <c r="C2512" s="2" t="n">
        <v>10731</v>
      </c>
      <c r="D2512" s="3" t="inlineStr">
        <is>
          <t>Вечер воспоминаний</t>
        </is>
      </c>
      <c r="E2512" s="2" t="n">
        <v>1978</v>
      </c>
      <c r="F2512" s="2" t="inlineStr">
        <is>
          <t>фильм-спектакль</t>
        </is>
      </c>
      <c r="G2512" s="2" t="inlineStr">
        <is>
          <t>Главная редакция литературно-драматических программ</t>
        </is>
      </c>
      <c r="H2512" s="2" t="n">
        <v>247</v>
      </c>
      <c r="I2512" s="2" t="inlineStr"/>
      <c r="J2512" s="2" t="inlineStr"/>
      <c r="K2512" s="3" t="inlineStr">
        <is>
          <t>По мотивам одноименной повести Г.Березко.
Герои телеспектакля вспоминают свою юность, прошедшую в годы гражданской войны. События тех лет оказали на их судьбы решающее воздействие - Колобов стал кадровым офицером, Сведомский - известным пианистом.</t>
        </is>
      </c>
      <c r="L2512" s="2" t="inlineStr">
        <is>
          <t>https://www.kino-teatr.ru/teatr/movie/16367/annot/</t>
        </is>
      </c>
      <c r="M2512" s="2">
        <f>HYPERLINK("https://ru.wikipedia.org/w/index.php?search=%D0%92%D0%B5%D1%87%D0%B5%D1%80%20%D0%B2%D0%BE%D1%81%D0%BF%D0%BE%D0%BC%D0%B8%D0%BD%D0%B0%D0%BD%D0%B8%D0%B9%201978%20%D1%84%D0%B8%D0%BB%D1%8C%D0%BC","искать")</f>
        <v/>
      </c>
      <c r="N2512" s="3" t="n"/>
      <c r="O2512" s="2" t="n"/>
    </row>
    <row r="2513">
      <c r="A2513" s="2" t="n">
        <v>2512</v>
      </c>
      <c r="B2513" s="2" t="inlineStr">
        <is>
          <t>короткая</t>
        </is>
      </c>
      <c r="C2513" s="2" t="n">
        <v>10934</v>
      </c>
      <c r="D2513" s="3" t="inlineStr">
        <is>
          <t>Вы умеете играть на пианино?</t>
        </is>
      </c>
      <c r="E2513" s="2" t="n">
        <v>1982</v>
      </c>
      <c r="F2513" s="2" t="inlineStr">
        <is>
          <t>фильм-спектакль</t>
        </is>
      </c>
      <c r="G2513" s="2" t="inlineStr">
        <is>
          <t>Главная редакция литературно-драматических программ ЦТ</t>
        </is>
      </c>
      <c r="H2513" s="2" t="n">
        <v>247</v>
      </c>
      <c r="I2513" s="2" t="inlineStr"/>
      <c r="J2513" s="2" t="inlineStr"/>
      <c r="K2513" s="3" t="inlineStr">
        <is>
          <t>Из цикла "По Вашему письму".
Рассказ о событиях, происшедших в семье Коньковых. Мать семейства, Марианна Денисовна, игнорируя желания членов своей семьи, стремилась устроить их счастье по своему усмотрению. Все ее старания потерпели полное фиаско.</t>
        </is>
      </c>
      <c r="L2513" s="2" t="inlineStr">
        <is>
          <t>https://www.kino-teatr.ru/teatr/movie/16066/annot/</t>
        </is>
      </c>
      <c r="M2513" s="2">
        <f>HYPERLINK("https://ru.wikipedia.org/w/index.php?search=%D0%92%D1%8B%20%D1%83%D0%BC%D0%B5%D0%B5%D1%82%D0%B5%20%D0%B8%D0%B3%D1%80%D0%B0%D1%82%D1%8C%20%D0%BD%D0%B0%20%D0%BF%D0%B8%D0%B0%D0%BD%D0%B8%D0%BD%D0%BE%3F%201982%20%D1%84%D0%B8%D0%BB%D1%8C%D0%BC","искать")</f>
        <v/>
      </c>
      <c r="N2513" s="3" t="n"/>
      <c r="O2513" s="2" t="n"/>
    </row>
    <row r="2514">
      <c r="A2514" s="2" t="n">
        <v>2513</v>
      </c>
      <c r="B2514" s="2" t="inlineStr">
        <is>
          <t>короткая</t>
        </is>
      </c>
      <c r="C2514" s="2" t="n">
        <v>7710</v>
      </c>
      <c r="D2514" s="3" t="inlineStr">
        <is>
          <t>Каникулы у моря</t>
        </is>
      </c>
      <c r="E2514" s="2" t="n">
        <v>1986</v>
      </c>
      <c r="F2514" s="2" t="inlineStr">
        <is>
          <t>телефильм</t>
        </is>
      </c>
      <c r="G2514" s="2" t="n"/>
      <c r="H2514" s="2" t="n">
        <v>248</v>
      </c>
      <c r="I2514" s="2" t="inlineStr"/>
      <c r="J2514" s="2" t="inlineStr"/>
      <c r="K2514" s="3" t="inlineStr">
        <is>
          <t>Ծովափնյա արձակուրդ Учеников восьмого класса из армянского поселка за успехи в учебе наградили поездкой к морю. Учительница Анаита Миграновна беспокоилась о том, смогут ли ребята, впервые уехавшие далеко от дома, быть дружными и дисциплинированными.</t>
        </is>
      </c>
      <c r="L2514" s="2" t="inlineStr">
        <is>
          <t>Кино_СССР сводный каталог.xlsx: список телефильмов</t>
        </is>
      </c>
      <c r="M2514" s="2">
        <f>HYPERLINK("https://ru.wikipedia.org/w/index.php?search=%D0%9A%D0%B0%D0%BD%D0%B8%D0%BA%D1%83%D0%BB%D1%8B%20%D1%83%20%D0%BC%D0%BE%D1%80%D1%8F%201986%20%D1%84%D0%B8%D0%BB%D1%8C%D0%BC","искать")</f>
        <v/>
      </c>
      <c r="N2514" s="3" t="n"/>
      <c r="O2514" s="2" t="n"/>
    </row>
    <row r="2515">
      <c r="A2515" s="2" t="n">
        <v>2514</v>
      </c>
      <c r="B2515" s="2" t="inlineStr">
        <is>
          <t>короткая</t>
        </is>
      </c>
      <c r="C2515" s="2" t="n">
        <v>7763</v>
      </c>
      <c r="D2515" s="3" t="inlineStr">
        <is>
          <t>Красно солнышко</t>
        </is>
      </c>
      <c r="E2515" s="2" t="n">
        <v>1972</v>
      </c>
      <c r="F2515" s="2" t="inlineStr">
        <is>
          <t>телефильм</t>
        </is>
      </c>
      <c r="G2515" s="2" t="n"/>
      <c r="H2515" s="2" t="n">
        <v>248</v>
      </c>
      <c r="I2515" s="2" t="inlineStr"/>
      <c r="J2515" s="2" t="inlineStr"/>
      <c r="K2515" s="3" t="inlineStr">
        <is>
          <t>Телефильм. Пионер Веня разыскал могилу пропавшего без вести в годы войны земляка, помог разоблачить военного преступника и, узнав много интересного о боевом прошлом своих односельчан, по-новому оценил тех, кто раньше казался ему самым обыкновенным.</t>
        </is>
      </c>
      <c r="L2515" s="2" t="inlineStr">
        <is>
          <t>Кино_СССР сводный каталог.xlsx: список телефильмов</t>
        </is>
      </c>
      <c r="M2515" s="2">
        <f>HYPERLINK("https://ru.wikipedia.org/w/index.php?search=%D0%9A%D1%80%D0%B0%D1%81%D0%BD%D0%BE%20%D1%81%D0%BE%D0%BB%D0%BD%D1%8B%D1%88%D0%BA%D0%BE%201972%20%D1%84%D0%B8%D0%BB%D1%8C%D0%BC","искать")</f>
        <v/>
      </c>
      <c r="N2515" s="3" t="n"/>
      <c r="O2515" s="2" t="n"/>
    </row>
    <row r="2516">
      <c r="A2516" s="2" t="n">
        <v>2515</v>
      </c>
      <c r="B2516" s="2" t="inlineStr">
        <is>
          <t>короткая</t>
        </is>
      </c>
      <c r="C2516" s="2" t="n">
        <v>8017</v>
      </c>
      <c r="D2516" s="3" t="inlineStr">
        <is>
          <t>О друзьях-товарищах</t>
        </is>
      </c>
      <c r="E2516" s="2" t="n">
        <v>1970</v>
      </c>
      <c r="F2516" s="2" t="inlineStr">
        <is>
          <t>телефильм</t>
        </is>
      </c>
      <c r="G2516" s="2" t="n"/>
      <c r="H2516" s="2" t="n">
        <v>248</v>
      </c>
      <c r="I2516" s="2" t="inlineStr"/>
      <c r="J2516" s="2" t="inlineStr"/>
      <c r="K2516" s="3" t="inlineStr">
        <is>
          <t>Телефильм. В Москве 1919 года все еще существуют анархистские организации, действия которых имеют явный антисоветский характер. Чекистам предстоит разоблачить их деятельность. Дело поручается трем вновь призванным в ряды ВЧК комсомольцам-товарищам.</t>
        </is>
      </c>
      <c r="L2516" s="2" t="inlineStr">
        <is>
          <t>Кино_СССР сводный каталог.xlsx: список телефильмов</t>
        </is>
      </c>
      <c r="M2516" s="2">
        <f>HYPERLINK("https://ru.wikipedia.org/w/index.php?search=%D0%9E%20%D0%B4%D1%80%D1%83%D0%B7%D1%8C%D1%8F%D1%85-%D1%82%D0%BE%D0%B2%D0%B0%D1%80%D0%B8%D1%89%D0%B0%D1%85%201970%20%D1%84%D0%B8%D0%BB%D1%8C%D0%BC","искать")</f>
        <v/>
      </c>
      <c r="N2516" s="3" t="n"/>
      <c r="O2516" s="2" t="n"/>
    </row>
    <row r="2517">
      <c r="A2517" s="2" t="n">
        <v>2516</v>
      </c>
      <c r="B2517" s="2" t="inlineStr">
        <is>
          <t>короткая</t>
        </is>
      </c>
      <c r="C2517" s="2" t="n">
        <v>8458</v>
      </c>
      <c r="D2517" s="3" t="inlineStr">
        <is>
          <t>Товарищ бригада</t>
        </is>
      </c>
      <c r="E2517" s="2" t="n">
        <v>1973</v>
      </c>
      <c r="F2517" s="2" t="inlineStr">
        <is>
          <t>телефильм</t>
        </is>
      </c>
      <c r="G2517" s="2" t="n"/>
      <c r="H2517" s="2" t="n">
        <v>248</v>
      </c>
      <c r="I2517" s="2" t="inlineStr"/>
      <c r="J2517" s="2" t="inlineStr"/>
      <c r="K2517" s="3" t="inlineStr">
        <is>
          <t>Телефильм по мотивам романа П.Лебеденко "Льды уходят в океан". Действие происходит в одном из крупных портовых городов Севера. Молодой сварщик Марк Талалин и бригадир Илья Беседин никак не могут найти истинных причин своих разногласий и конфликтов.</t>
        </is>
      </c>
      <c r="L2517" s="2" t="inlineStr">
        <is>
          <t>Кино_СССР сводный каталог.xlsx: список телефильмов</t>
        </is>
      </c>
      <c r="M2517" s="2">
        <f>HYPERLINK("https://ru.wikipedia.org/w/index.php?search=%D0%A2%D0%BE%D0%B2%D0%B0%D1%80%D0%B8%D1%89%20%D0%B1%D1%80%D0%B8%D0%B3%D0%B0%D0%B4%D0%B0%201973%20%D1%84%D0%B8%D0%BB%D1%8C%D0%BC","искать")</f>
        <v/>
      </c>
      <c r="N2517" s="3" t="n"/>
      <c r="O2517" s="2" t="n"/>
    </row>
    <row r="2518">
      <c r="A2518" s="2" t="n">
        <v>2517</v>
      </c>
      <c r="B2518" s="2" t="inlineStr">
        <is>
          <t>короткая</t>
        </is>
      </c>
      <c r="C2518" s="2" t="n">
        <v>8640</v>
      </c>
      <c r="D2518" s="3" t="inlineStr">
        <is>
          <t>Бывший папа, бывший сын</t>
        </is>
      </c>
      <c r="E2518" s="2" t="n">
        <v>1989</v>
      </c>
      <c r="F2518" s="2" t="inlineStr">
        <is>
          <t>кинофильм</t>
        </is>
      </c>
      <c r="G2518" s="2" t="n"/>
      <c r="H2518" s="2" t="n">
        <v>248</v>
      </c>
      <c r="I2518" s="2" t="inlineStr"/>
      <c r="J2518" s="2" t="inlineStr"/>
      <c r="K2518" s="3" t="inlineStr">
        <is>
          <t>Соpокалетний Ярцев становится свидетелем ограбления собственного автомобиля. Ближе к судебному разбирательству выясняется, что воp есть никто иной, как его собственный сын от первого брака. Отец делает все возможное, чтобы не доводить дело до суда.</t>
        </is>
      </c>
      <c r="L2518" s="2" t="inlineStr">
        <is>
          <t>Кино_СССР сводный каталог.xlsx: список фильмов (доп.)</t>
        </is>
      </c>
      <c r="M2518" s="2">
        <f>HYPERLINK("https://ru.wikipedia.org/w/index.php?search=%D0%91%D1%8B%D0%B2%D1%88%D0%B8%D0%B9%20%D0%BF%D0%B0%D0%BF%D0%B0%2C%20%D0%B1%D1%8B%D0%B2%D1%88%D0%B8%D0%B9%20%D1%81%D1%8B%D0%BD%201989%20%D1%84%D0%B8%D0%BB%D1%8C%D0%BC","искать")</f>
        <v/>
      </c>
      <c r="N2518" s="3" t="n"/>
      <c r="O2518" s="2" t="n"/>
    </row>
    <row r="2519">
      <c r="A2519" s="2" t="n">
        <v>2518</v>
      </c>
      <c r="B2519" s="2" t="inlineStr">
        <is>
          <t>короткая</t>
        </is>
      </c>
      <c r="C2519" s="2" t="n">
        <v>9781</v>
      </c>
      <c r="D2519" s="3" t="inlineStr">
        <is>
          <t>Это я - дурочка</t>
        </is>
      </c>
      <c r="E2519" s="2" t="n">
        <v>1991</v>
      </c>
      <c r="F2519" s="2" t="inlineStr">
        <is>
          <t>кинофильм</t>
        </is>
      </c>
      <c r="G2519" s="2" t="n"/>
      <c r="H2519" s="2" t="n">
        <v>248</v>
      </c>
      <c r="I2519" s="2" t="inlineStr"/>
      <c r="J2519" s="2" t="inlineStr"/>
      <c r="K2519" s="3" t="inlineStr">
        <is>
          <t>Двадцатитрехлетняя простодушная Лена, живущая тихо и незаметно, решает вдруг, на удивление всем, родить ребенка. Для этой цели она ищет в своем окружении подходящую кандидатуру. Когда же ее цель достигнута - возникает вопрос: кто же отец ребенка?..</t>
        </is>
      </c>
      <c r="L2519" s="2" t="inlineStr">
        <is>
          <t>Кино_СССР сводный каталог.xlsx: список фильмов (доп.)</t>
        </is>
      </c>
      <c r="M2519" s="2">
        <f>HYPERLINK("https://ru.wikipedia.org/w/index.php?search=%D0%AD%D1%82%D0%BE%20%D1%8F%20-%20%D0%B4%D1%83%D1%80%D0%BE%D1%87%D0%BA%D0%B0%201991%20%D1%84%D0%B8%D0%BB%D1%8C%D0%BC","искать")</f>
        <v/>
      </c>
      <c r="N2519" s="3" t="n"/>
      <c r="O2519" s="2" t="n"/>
    </row>
    <row r="2520">
      <c r="A2520" s="2" t="n">
        <v>2519</v>
      </c>
      <c r="B2520" s="2" t="inlineStr">
        <is>
          <t>короткая</t>
        </is>
      </c>
      <c r="C2520" s="2" t="n">
        <v>10044</v>
      </c>
      <c r="D2520" s="3" t="inlineStr">
        <is>
          <t>Гость</t>
        </is>
      </c>
      <c r="E2520" s="2" t="n">
        <v>1990</v>
      </c>
      <c r="F2520" s="2" t="inlineStr">
        <is>
          <t>телефильм</t>
        </is>
      </c>
      <c r="G2520" s="2" t="inlineStr">
        <is>
          <t>Сактелефильми</t>
        </is>
      </c>
      <c r="H2520" s="2" t="n">
        <v>248</v>
      </c>
      <c r="I2520" s="2" t="inlineStr"/>
      <c r="J2520" s="2" t="inlineStr"/>
      <c r="K2520" s="3" t="inlineStr">
        <is>
          <t>Деревенская девочка запуталась, живя в городском лабиринте, и "сошла с пути". Беременная, возвращается в деревню. Опозоренный отец уговаривает её избавиться от ребенка. Но все-таки отцовская любовь берет верх, и он позволяет дочке оставить ребенка.</t>
        </is>
      </c>
      <c r="L2520" s="2" t="inlineStr">
        <is>
          <t>https://www.kino-teatr.ru/short/movie/sov/86221/annot/</t>
        </is>
      </c>
      <c r="M2520" s="2">
        <f>HYPERLINK("https://ru.wikipedia.org/w/index.php?search=%D0%93%D0%BE%D1%81%D1%82%D1%8C%201990%20%D1%84%D0%B8%D0%BB%D1%8C%D0%BC","искать")</f>
        <v/>
      </c>
      <c r="N2520" s="3" t="n"/>
      <c r="O2520" s="2" t="n"/>
    </row>
    <row r="2521">
      <c r="A2521" s="2" t="n">
        <v>2520</v>
      </c>
      <c r="B2521" s="2" t="inlineStr">
        <is>
          <t>короткая</t>
        </is>
      </c>
      <c r="C2521" s="2" t="n">
        <v>7455</v>
      </c>
      <c r="D2521" s="3" t="inlineStr">
        <is>
          <t>Горы дымят</t>
        </is>
      </c>
      <c r="E2521" s="2" t="n">
        <v>1988</v>
      </c>
      <c r="F2521" s="2" t="inlineStr">
        <is>
          <t>телефильм</t>
        </is>
      </c>
      <c r="G2521" s="2" t="inlineStr">
        <is>
          <t>Укртелефильм</t>
        </is>
      </c>
      <c r="H2521" s="2" t="n">
        <v>249</v>
      </c>
      <c r="I2521" s="2" t="inlineStr"/>
      <c r="J2521" s="2" t="inlineStr"/>
      <c r="K2521" s="3" t="inlineStr">
        <is>
          <t>По повести Ярослава Галана. В начале 20 века на румынской границе действует группировка под руководством вольнодумца и защитника угнетенных - Ивана Семенюка. В центре сюжета фильма - история любви героя народных сказаний Ивана и Ольги, жены офицера.</t>
        </is>
      </c>
      <c r="L2521" s="2" t="inlineStr">
        <is>
          <t>Кино_СССР сводный каталог.xlsx: список телефильмов</t>
        </is>
      </c>
      <c r="M2521" s="2">
        <f>HYPERLINK("https://ru.wikipedia.org/w/index.php?search=%D0%93%D0%BE%D1%80%D1%8B%20%D0%B4%D1%8B%D0%BC%D1%8F%D1%82%201988%20%D1%84%D0%B8%D0%BB%D1%8C%D0%BC","искать")</f>
        <v/>
      </c>
      <c r="N2521" s="3" t="n"/>
      <c r="O2521" s="2" t="n"/>
    </row>
    <row r="2522">
      <c r="A2522" s="2" t="n">
        <v>2521</v>
      </c>
      <c r="B2522" s="2" t="inlineStr">
        <is>
          <t>короткая</t>
        </is>
      </c>
      <c r="C2522" s="2" t="n">
        <v>7631</v>
      </c>
      <c r="D2522" s="3" t="inlineStr">
        <is>
          <t>Звездочёт</t>
        </is>
      </c>
      <c r="E2522" s="2" t="n">
        <v>1986</v>
      </c>
      <c r="F2522" s="2" t="inlineStr">
        <is>
          <t>телефильм</t>
        </is>
      </c>
      <c r="G2522" s="2" t="n"/>
      <c r="H2522" s="2" t="n">
        <v>249</v>
      </c>
      <c r="I2522" s="2" t="inlineStr"/>
      <c r="J2522" s="2" t="inlineStr"/>
      <c r="K2522" s="3" t="inlineStr">
        <is>
          <t>По заказу Гостелерадио СССР. По мотивам романа А.Марченко «Звездочеты». Германия, тридцатые годы. Советской разведчице Ярославе Соболевой (она же Софи Вайнерт) ценой собственной жизни удается уничтожить запасы нового вида бактериологического оружия.</t>
        </is>
      </c>
      <c r="L2522" s="2" t="inlineStr">
        <is>
          <t>Кино_СССР сводный каталог.xlsx: список телефильмов</t>
        </is>
      </c>
      <c r="M2522" s="2">
        <f>HYPERLINK("https://ru.wikipedia.org/w/index.php?search=%D0%97%D0%B2%D0%B5%D0%B7%D0%B4%D0%BE%D1%87%D1%91%D1%82%201986%20%D1%84%D0%B8%D0%BB%D1%8C%D0%BC","искать")</f>
        <v/>
      </c>
      <c r="N2522" s="3" t="n"/>
      <c r="O2522" s="2" t="n"/>
    </row>
    <row r="2523">
      <c r="A2523" s="2" t="n">
        <v>2522</v>
      </c>
      <c r="B2523" s="2" t="inlineStr">
        <is>
          <t>короткая</t>
        </is>
      </c>
      <c r="C2523" s="2" t="n">
        <v>7703</v>
      </c>
      <c r="D2523" s="3" t="inlineStr">
        <is>
          <t>Каменная долина</t>
        </is>
      </c>
      <c r="E2523" s="2" t="n">
        <v>1977</v>
      </c>
      <c r="F2523" s="2" t="inlineStr">
        <is>
          <t>телефильм</t>
        </is>
      </c>
      <c r="G2523" s="2" t="n"/>
      <c r="H2523" s="2" t="n">
        <v>249</v>
      </c>
      <c r="I2523" s="2" t="inlineStr"/>
      <c r="J2523" s="2" t="inlineStr"/>
      <c r="K2523" s="3" t="inlineStr">
        <is>
          <t>Քարե հովիտ По роману Мушега Галшояна "Бовтун" (Горнило). О потомках беженцев из Западной Армении, строящих в каменной долине новое село. У них разные судьбы, но они объединились с одной целью - вырастить на каменистой, бесплодной земле красивый сад.</t>
        </is>
      </c>
      <c r="L2523" s="2" t="inlineStr">
        <is>
          <t>Кино_СССР сводный каталог.xlsx: список телефильмов</t>
        </is>
      </c>
      <c r="M2523" s="2">
        <f>HYPERLINK("https://ru.wikipedia.org/w/index.php?search=%D0%9A%D0%B0%D0%BC%D0%B5%D0%BD%D0%BD%D0%B0%D1%8F%20%D0%B4%D0%BE%D0%BB%D0%B8%D0%BD%D0%B0%201977%20%D1%84%D0%B8%D0%BB%D1%8C%D0%BC","искать")</f>
        <v/>
      </c>
      <c r="N2523" s="3" t="n"/>
      <c r="O2523" s="2" t="n"/>
    </row>
    <row r="2524">
      <c r="A2524" s="2" t="n">
        <v>2523</v>
      </c>
      <c r="B2524" s="2" t="inlineStr">
        <is>
          <t>короткая</t>
        </is>
      </c>
      <c r="C2524" s="2" t="n">
        <v>8219</v>
      </c>
      <c r="D2524" s="3" t="inlineStr">
        <is>
          <t>Про Клаву Иванову</t>
        </is>
      </c>
      <c r="E2524" s="2" t="n">
        <v>1969</v>
      </c>
      <c r="F2524" s="2" t="inlineStr">
        <is>
          <t>телефильм</t>
        </is>
      </c>
      <c r="G2524" s="2" t="n"/>
      <c r="H2524" s="2" t="n">
        <v>249</v>
      </c>
      <c r="I2524" s="2" t="inlineStr"/>
      <c r="J2524" s="2" t="inlineStr"/>
      <c r="K2524" s="3" t="inlineStr">
        <is>
          <t>По мотивам одноименной повести Владимира Чивилихина. Клава Иванова и Петр Спирин работают в одном железнодорожном депо. Их связывают странные отношения. Клава, нежно и преданно любящая легкомысленного Петра, однажды все-таки решает с ним расстаться.</t>
        </is>
      </c>
      <c r="L2524" s="2" t="inlineStr">
        <is>
          <t>Кино_СССР сводный каталог.xlsx: список телефильмов</t>
        </is>
      </c>
      <c r="M2524" s="2">
        <f>HYPERLINK("https://ru.wikipedia.org/w/index.php?search=%D0%9F%D1%80%D0%BE%20%D0%9A%D0%BB%D0%B0%D0%B2%D1%83%20%D0%98%D0%B2%D0%B0%D0%BD%D0%BE%D0%B2%D1%83%201969%20%D1%84%D0%B8%D0%BB%D1%8C%D0%BC","искать")</f>
        <v/>
      </c>
      <c r="N2524" s="3" t="n"/>
      <c r="O2524" s="2" t="n"/>
    </row>
    <row r="2525">
      <c r="A2525" s="2" t="n">
        <v>2524</v>
      </c>
      <c r="B2525" s="2" t="inlineStr">
        <is>
          <t>короткая</t>
        </is>
      </c>
      <c r="C2525" s="2" t="n">
        <v>9012</v>
      </c>
      <c r="D2525" s="3" t="inlineStr">
        <is>
          <t>Рекорд</t>
        </is>
      </c>
      <c r="E2525" s="2" t="n">
        <v>1974</v>
      </c>
      <c r="F2525" s="2" t="inlineStr">
        <is>
          <t>кинофильм</t>
        </is>
      </c>
      <c r="G2525" s="2" t="n"/>
      <c r="H2525" s="2" t="n">
        <v>249</v>
      </c>
      <c r="I2525" s="2" t="inlineStr"/>
      <c r="J2525" s="2" t="inlineStr"/>
      <c r="K2525" s="3" t="inlineStr">
        <is>
          <t>რეკორდი Фильм основан на рассказе чешского писателя Карела Чапека , который авторы адаптировали для жизни в Самегрело. В одной из деревень герой фильма, способный на это только под проклятием, невольно устанавливает «мировой рекорд в толкании ядра».</t>
        </is>
      </c>
      <c r="L2525" s="2" t="inlineStr">
        <is>
          <t>Кино_СССР сводный каталог.xlsx: список фильмов (доп.)</t>
        </is>
      </c>
      <c r="M2525" s="2">
        <f>HYPERLINK("https://ru.wikipedia.org/w/index.php?search=%D0%A0%D0%B5%D0%BA%D0%BE%D1%80%D0%B4%201974%20%D1%84%D0%B8%D0%BB%D1%8C%D0%BC","искать")</f>
        <v/>
      </c>
      <c r="N2525" s="3" t="n"/>
      <c r="O2525" s="2" t="n"/>
    </row>
    <row r="2526">
      <c r="A2526" s="2" t="n">
        <v>2525</v>
      </c>
      <c r="B2526" s="2" t="inlineStr">
        <is>
          <t>короткая</t>
        </is>
      </c>
      <c r="C2526" s="2" t="n">
        <v>9345</v>
      </c>
      <c r="D2526" s="3" t="inlineStr">
        <is>
          <t>Дорогая Елена Сергеевна</t>
        </is>
      </c>
      <c r="E2526" s="2" t="n">
        <v>1988</v>
      </c>
      <c r="F2526" s="2" t="inlineStr">
        <is>
          <t>кинофильм</t>
        </is>
      </c>
      <c r="G2526" s="2" t="n"/>
      <c r="H2526" s="2" t="n">
        <v>249</v>
      </c>
      <c r="I2526" s="2" t="inlineStr"/>
      <c r="J2526" s="2" t="inlineStr"/>
      <c r="K2526" s="3" t="inlineStr">
        <is>
          <t>По одноименной пьесе Людмилы Разумовской. Елена Сергеевна удивилась, когда на пороге ее квартиры появились четверо учеников с букетом цветов. Они пришли поздравить свою учительницу с днем рождения... Очень жестокий рассказ на тему воспитания чувств.</t>
        </is>
      </c>
      <c r="L2526" s="2" t="inlineStr">
        <is>
          <t>Кино_СССР сводный каталог.xlsx: список фильмов (доп.)</t>
        </is>
      </c>
      <c r="M2526" s="2">
        <f>HYPERLINK("https://ru.wikipedia.org/w/index.php?search=%D0%94%D0%BE%D1%80%D0%BE%D0%B3%D0%B0%D1%8F%20%D0%95%D0%BB%D0%B5%D0%BD%D0%B0%20%D0%A1%D0%B5%D1%80%D0%B3%D0%B5%D0%B5%D0%B2%D0%BD%D0%B0%201988%20%D1%84%D0%B8%D0%BB%D1%8C%D0%BC","искать")</f>
        <v/>
      </c>
      <c r="N2526" s="3" t="n"/>
      <c r="O2526" s="2" t="n"/>
    </row>
    <row r="2527">
      <c r="A2527" s="2" t="n">
        <v>2526</v>
      </c>
      <c r="B2527" s="2" t="inlineStr">
        <is>
          <t>короткая</t>
        </is>
      </c>
      <c r="C2527" s="2" t="n">
        <v>9743</v>
      </c>
      <c r="D2527" s="3" t="inlineStr">
        <is>
          <t>Час полнолуния</t>
        </is>
      </c>
      <c r="E2527" s="2" t="n">
        <v>1988</v>
      </c>
      <c r="F2527" s="2" t="inlineStr">
        <is>
          <t>кинофильм</t>
        </is>
      </c>
      <c r="G2527" s="2" t="n"/>
      <c r="H2527" s="2" t="n">
        <v>249</v>
      </c>
      <c r="I2527" s="2" t="inlineStr"/>
      <c r="J2527" s="2" t="inlineStr"/>
      <c r="K2527" s="3" t="inlineStr">
        <is>
          <t>Историческая религиозная драма о национальных противоречиях в Литве. С целью насаждения христианства сюда прибывает монах-иезуит. Фанатик приступает к своей деятельности, вступая в борьбу со всем, что считает языческим отступлением от истинной веры.</t>
        </is>
      </c>
      <c r="L2527" s="2" t="inlineStr">
        <is>
          <t>Кино_СССР сводный каталог.xlsx: список фильмов (доп.)</t>
        </is>
      </c>
      <c r="M2527" s="2">
        <f>HYPERLINK("https://ru.wikipedia.org/w/index.php?search=%D0%A7%D0%B0%D1%81%20%D0%BF%D0%BE%D0%BB%D0%BD%D0%BE%D0%BB%D1%83%D0%BD%D0%B8%D1%8F%201988%20%D1%84%D0%B8%D0%BB%D1%8C%D0%BC","искать")</f>
        <v/>
      </c>
      <c r="N2527" s="3" t="n"/>
      <c r="O2527" s="2" t="n"/>
    </row>
    <row r="2528">
      <c r="A2528" s="2" t="n">
        <v>2527</v>
      </c>
      <c r="B2528" s="2" t="inlineStr">
        <is>
          <t>короткая</t>
        </is>
      </c>
      <c r="C2528" s="2" t="n">
        <v>9957</v>
      </c>
      <c r="D2528" s="3" t="inlineStr">
        <is>
          <t>Разжалованный</t>
        </is>
      </c>
      <c r="E2528" s="2" t="n">
        <v>1980</v>
      </c>
      <c r="F2528" s="2" t="inlineStr">
        <is>
          <t>кинофильм</t>
        </is>
      </c>
      <c r="G2528" s="2" t="inlineStr">
        <is>
          <t>Мосфильм, ЭМТО при участии киностудии Ленфильм</t>
        </is>
      </c>
      <c r="H2528" s="2" t="n">
        <v>249</v>
      </c>
      <c r="I2528" s="2" t="inlineStr"/>
      <c r="J2528" s="2" t="inlineStr"/>
      <c r="K2528" s="3" t="inlineStr">
        <is>
          <t>По мотивам рассказа Г.Бакланова.
Начальник ГАИ по воле судьбы становится таксистом...
Главную роль в картине играл непрофессиональный актер Илья Ривин, который снялся в еще в трех картинах режиссера: «Скорбное бесчувствие», «Ампир» и «Дни затмения».</t>
        </is>
      </c>
      <c r="L2528" s="2" t="inlineStr">
        <is>
          <t>https://www.kino-teatr.ru/short/movie/sov/5925/annot/</t>
        </is>
      </c>
      <c r="M2528" s="2">
        <f>HYPERLINK("https://ru.wikipedia.org/w/index.php?search=%D0%A0%D0%B0%D0%B7%D0%B6%D0%B0%D0%BB%D0%BE%D0%B2%D0%B0%D0%BD%D0%BD%D1%8B%D0%B9%201980%20%D1%84%D0%B8%D0%BB%D1%8C%D0%BC","искать")</f>
        <v/>
      </c>
      <c r="N2528" s="3" t="n"/>
      <c r="O2528" s="2" t="n"/>
    </row>
    <row r="2529">
      <c r="A2529" s="2" t="n">
        <v>2528</v>
      </c>
      <c r="B2529" s="2" t="inlineStr">
        <is>
          <t>короткая</t>
        </is>
      </c>
      <c r="C2529" s="2" t="n">
        <v>9966</v>
      </c>
      <c r="D2529" s="3" t="inlineStr">
        <is>
          <t>Други игрищ и забав</t>
        </is>
      </c>
      <c r="E2529" s="2" t="n">
        <v>1981</v>
      </c>
      <c r="F2529" s="2" t="inlineStr">
        <is>
          <t>телефильм</t>
        </is>
      </c>
      <c r="G2529" s="2" t="inlineStr">
        <is>
          <t>Ленфильм</t>
        </is>
      </c>
      <c r="H2529" s="2" t="n">
        <v>249</v>
      </c>
      <c r="I2529" s="2" t="inlineStr"/>
      <c r="J2529" s="2" t="inlineStr"/>
      <c r="K2529" s="3" t="inlineStr">
        <is>
          <t>Телефильм по мотивам рассказа В. Шукшина.
В семье Худяковых важное событие — у старшей дочери родился сын. Однако молодая мать наотрез отказывается назвать имя отца ребенка. Чтобы внуку дать отчество, Худяков поручает сыну найти отца новорожденного.</t>
        </is>
      </c>
      <c r="L2529" s="2" t="inlineStr">
        <is>
          <t>https://www.kino-teatr.ru/short/movie/sov/2035/annot/</t>
        </is>
      </c>
      <c r="M2529" s="2">
        <f>HYPERLINK("https://ru.wikipedia.org/w/index.php?search=%D0%94%D1%80%D1%83%D0%B3%D0%B8%20%D0%B8%D0%B3%D1%80%D0%B8%D1%89%20%D0%B8%20%D0%B7%D0%B0%D0%B1%D0%B0%D0%B2%201981%20%D1%84%D0%B8%D0%BB%D1%8C%D0%BC","искать")</f>
        <v/>
      </c>
      <c r="N2529" s="3" t="n"/>
      <c r="O2529" s="2" t="n"/>
    </row>
    <row r="2530">
      <c r="A2530" s="2" t="n">
        <v>2529</v>
      </c>
      <c r="B2530" s="2" t="inlineStr">
        <is>
          <t>короткая</t>
        </is>
      </c>
      <c r="C2530" s="2" t="n">
        <v>11088</v>
      </c>
      <c r="D2530" s="3" t="inlineStr">
        <is>
          <t>Тевье-молочник</t>
        </is>
      </c>
      <c r="E2530" s="2" t="n">
        <v>1985</v>
      </c>
      <c r="F2530" s="2" t="inlineStr">
        <is>
          <t>фильм-спектакль</t>
        </is>
      </c>
      <c r="G2530" s="2" t="inlineStr">
        <is>
          <t>Центральное телевидение</t>
        </is>
      </c>
      <c r="H2530" s="2" t="n">
        <v>249</v>
      </c>
      <c r="I2530" s="2" t="inlineStr"/>
      <c r="J2530" s="2" t="inlineStr"/>
      <c r="K2530" s="3" t="inlineStr">
        <is>
          <t>По мотивам одноименной повести Шолом-Алейхема.
«Удивительная история о том, как Тевье-молочник, бедняк, обремененный семьей, вдруг был осчастливлен благодаря необычайному случаю, достойному описания. Рассказана самим Тевье и передана слово в слово».</t>
        </is>
      </c>
      <c r="L2530" s="2" t="inlineStr">
        <is>
          <t>https://www.kino-teatr.ru/teatr/movie/11638/annot/</t>
        </is>
      </c>
      <c r="M2530" s="2">
        <f>HYPERLINK("https://ru.wikipedia.org/w/index.php?search=%D0%A2%D0%B5%D0%B2%D1%8C%D0%B5-%D0%BC%D0%BE%D0%BB%D0%BE%D1%87%D0%BD%D0%B8%D0%BA%201985%20%D1%84%D0%B8%D0%BB%D1%8C%D0%BC","искать")</f>
        <v/>
      </c>
      <c r="N2530" s="3" t="n"/>
      <c r="O2530" s="2" t="n"/>
    </row>
    <row r="2531">
      <c r="A2531" s="2" t="n">
        <v>2530</v>
      </c>
      <c r="B2531" s="2" t="inlineStr">
        <is>
          <t>короткая</t>
        </is>
      </c>
      <c r="C2531" s="2" t="n">
        <v>7518</v>
      </c>
      <c r="D2531" s="3" t="inlineStr">
        <is>
          <t>Днепровский ветер (киноальманах)</t>
        </is>
      </c>
      <c r="E2531" s="2" t="n">
        <v>1976</v>
      </c>
      <c r="F2531" s="2" t="inlineStr">
        <is>
          <t>телефильм</t>
        </is>
      </c>
      <c r="G2531" s="2" t="n"/>
      <c r="H2531" s="2" t="n">
        <v>250</v>
      </c>
      <c r="I2531" s="2" t="inlineStr"/>
      <c r="J2531" s="2" t="inlineStr"/>
      <c r="K2531" s="3" t="inlineStr">
        <is>
          <t>С веселым нетерпением идут охотники на открытие сезона к багатому озеру Чари-камыши. Но оказалось, что озера уже нет. Высохло.
Заезжий браконьер убил в заповеднике лебедя. Центром сюжета фильма есть отношение к этому событию молодой влюбленной пары.</t>
        </is>
      </c>
      <c r="L2531" s="2" t="inlineStr">
        <is>
          <t>Кино_СССР сводный каталог.xlsx: список телефильмов</t>
        </is>
      </c>
      <c r="M2531" s="2">
        <f>HYPERLINK("https://ru.wikipedia.org/w/index.php?search=%D0%94%D0%BD%D0%B5%D0%BF%D1%80%D0%BE%D0%B2%D1%81%D0%BA%D0%B8%D0%B9%20%D0%B2%D0%B5%D1%82%D0%B5%D1%80%20%28%D0%BA%D0%B8%D0%BD%D0%BE%D0%B0%D0%BB%D1%8C%D0%BC%D0%B0%D0%BD%D0%B0%D1%85%29%201976%20%D1%84%D0%B8%D0%BB%D1%8C%D0%BC","искать")</f>
        <v/>
      </c>
      <c r="N2531" s="3" t="n"/>
      <c r="O2531" s="2" t="n"/>
    </row>
    <row r="2532">
      <c r="A2532" s="2" t="n">
        <v>2531</v>
      </c>
      <c r="B2532" s="2" t="inlineStr">
        <is>
          <t>короткая</t>
        </is>
      </c>
      <c r="C2532" s="2" t="n">
        <v>8259</v>
      </c>
      <c r="D2532" s="3" t="inlineStr">
        <is>
          <t>Расмус-бродяга</t>
        </is>
      </c>
      <c r="E2532" s="2" t="n">
        <v>1978</v>
      </c>
      <c r="F2532" s="2" t="inlineStr">
        <is>
          <t>телефильм</t>
        </is>
      </c>
      <c r="G2532" s="2" t="n"/>
      <c r="H2532" s="2" t="n">
        <v>250</v>
      </c>
      <c r="I2532" s="2" t="inlineStr"/>
      <c r="J2532" s="2" t="inlineStr"/>
      <c r="K2532" s="3" t="inlineStr">
        <is>
          <t>Приключенческий фильм по мотивам одноименной повести Астрид Линдгрен. История о мальчике-сироте, чья жизнь сложилась отнюдь не безоблачно. Ему предстоит пережить немало неожиданных и таинственных приключений и наконец обрести счастье домашнего очага.</t>
        </is>
      </c>
      <c r="L2532" s="2" t="inlineStr">
        <is>
          <t>Кино_СССР сводный каталог.xlsx: список телефильмов</t>
        </is>
      </c>
      <c r="M2532" s="2">
        <f>HYPERLINK("https://ru.wikipedia.org/w/index.php?search=%D0%A0%D0%B0%D1%81%D0%BC%D1%83%D1%81-%D0%B1%D1%80%D0%BE%D0%B4%D1%8F%D0%B3%D0%B0%201978%20%D1%84%D0%B8%D0%BB%D1%8C%D0%BC","искать")</f>
        <v/>
      </c>
      <c r="N2532" s="3" t="n"/>
      <c r="O2532" s="2" t="n"/>
    </row>
    <row r="2533">
      <c r="A2533" s="2" t="n">
        <v>2532</v>
      </c>
      <c r="B2533" s="2" t="inlineStr">
        <is>
          <t>короткая</t>
        </is>
      </c>
      <c r="C2533" s="2" t="n">
        <v>8994</v>
      </c>
      <c r="D2533" s="3" t="inlineStr">
        <is>
          <t>Птицам крылья не в тягость</t>
        </is>
      </c>
      <c r="E2533" s="2" t="n">
        <v>1989</v>
      </c>
      <c r="F2533" s="2" t="inlineStr">
        <is>
          <t>кинофильм</t>
        </is>
      </c>
      <c r="G2533" s="2" t="n"/>
      <c r="H2533" s="2" t="n">
        <v>250</v>
      </c>
      <c r="I2533" s="2" t="inlineStr"/>
      <c r="J2533" s="2" t="inlineStr"/>
      <c r="K2533" s="3" t="inlineStr">
        <is>
          <t>1941 год. Воспитанники специального детского дома, дети репрессированных родителей, спасаются на катере от немцев. С ними молодая воспитательница Катя, окруженец Костя и рядовой Полушкин. Всем - и взрослым и детям - предстоит невыносимо трудный путь.</t>
        </is>
      </c>
      <c r="L2533" s="2" t="inlineStr">
        <is>
          <t>Кино_СССР сводный каталог.xlsx: список фильмов (доп.)</t>
        </is>
      </c>
      <c r="M2533" s="2">
        <f>HYPERLINK("https://ru.wikipedia.org/w/index.php?search=%D0%9F%D1%82%D0%B8%D1%86%D0%B0%D0%BC%20%D0%BA%D1%80%D1%8B%D0%BB%D1%8C%D1%8F%20%D0%BD%D0%B5%20%D0%B2%20%D1%82%D1%8F%D0%B3%D0%BE%D1%81%D1%82%D1%8C%201989%20%D1%84%D0%B8%D0%BB%D1%8C%D0%BC","искать")</f>
        <v/>
      </c>
      <c r="N2533" s="3" t="n"/>
      <c r="O2533" s="2" t="n"/>
    </row>
    <row r="2534">
      <c r="A2534" s="2" t="n">
        <v>2533</v>
      </c>
      <c r="B2534" s="2" t="inlineStr">
        <is>
          <t>короткая</t>
        </is>
      </c>
      <c r="C2534" s="2" t="n">
        <v>7200</v>
      </c>
      <c r="D2534" s="3" t="inlineStr">
        <is>
          <t>Акмаль, Дракон и Принцесса</t>
        </is>
      </c>
      <c r="E2534" s="2" t="n">
        <v>1981</v>
      </c>
      <c r="F2534" s="2" t="inlineStr">
        <is>
          <t>телефильм</t>
        </is>
      </c>
      <c r="G2534" s="2" t="n"/>
      <c r="H2534" s="2" t="n">
        <v>251</v>
      </c>
      <c r="I2534" s="2" t="inlineStr"/>
      <c r="J2534" s="2" t="inlineStr"/>
      <c r="K2534" s="3" t="inlineStr">
        <is>
          <t>Телефильм-сказка о маленьком мальчике Акмале и о добром милиционере Джахангире, который помог ему спасти принцессу Гузаль от страшного дракона. Мальчик Акмаль и его подружка Гузаль оказываются в сказке, в которой им приходится пройти многие испытания.</t>
        </is>
      </c>
      <c r="L2534" s="2" t="inlineStr">
        <is>
          <t>Кино_СССР сводный каталог.xlsx: список телефильмов</t>
        </is>
      </c>
      <c r="M2534" s="2">
        <f>HYPERLINK("https://ru.wikipedia.org/w/index.php?search=%D0%90%D0%BA%D0%BC%D0%B0%D0%BB%D1%8C%2C%20%D0%94%D1%80%D0%B0%D0%BA%D0%BE%D0%BD%20%D0%B8%20%D0%9F%D1%80%D0%B8%D0%BD%D1%86%D0%B5%D1%81%D1%81%D0%B0%201981%20%D1%84%D0%B8%D0%BB%D1%8C%D0%BC","искать")</f>
        <v/>
      </c>
      <c r="N2534" s="3" t="n"/>
      <c r="O2534" s="2" t="n"/>
    </row>
    <row r="2535">
      <c r="A2535" s="2" t="n">
        <v>2534</v>
      </c>
      <c r="B2535" s="2" t="inlineStr">
        <is>
          <t>короткая</t>
        </is>
      </c>
      <c r="C2535" s="2" t="n">
        <v>7251</v>
      </c>
      <c r="D2535" s="3" t="inlineStr">
        <is>
          <t>Берегите женщин</t>
        </is>
      </c>
      <c r="E2535" s="2" t="n">
        <v>1981</v>
      </c>
      <c r="F2535" s="2" t="inlineStr">
        <is>
          <t>телефильм</t>
        </is>
      </c>
      <c r="G2535" s="2" t="inlineStr">
        <is>
          <t>Одесская к/с</t>
        </is>
      </c>
      <c r="H2535" s="2" t="n">
        <v>251</v>
      </c>
      <c r="I2535" s="2" t="inlineStr"/>
      <c r="J2535" s="2" t="inlineStr"/>
      <c r="K2535" s="3" t="inlineStr">
        <is>
          <t>Телефильм. На судне под названием "Циклон" необычный экипаж – только девушки. Возможно, об этом никто никогда не узнал бы, но на "Циклон" посылают журналиста-практиканта Евгения. Для лучшего познания действительности его определяют коком на это судно.</t>
        </is>
      </c>
      <c r="L2535" s="2" t="inlineStr">
        <is>
          <t>Кино_СССР сводный каталог.xlsx: список телефильмов</t>
        </is>
      </c>
      <c r="M2535" s="2">
        <f>HYPERLINK("https://ru.wikipedia.org/w/index.php?search=%D0%91%D0%B5%D1%80%D0%B5%D0%B3%D0%B8%D1%82%D0%B5%20%D0%B6%D0%B5%D0%BD%D1%89%D0%B8%D0%BD%201981%20%D1%84%D0%B8%D0%BB%D1%8C%D0%BC","искать")</f>
        <v/>
      </c>
      <c r="N2535" s="3" t="n"/>
      <c r="O2535" s="2" t="n"/>
    </row>
    <row r="2536">
      <c r="A2536" s="2" t="n">
        <v>2535</v>
      </c>
      <c r="B2536" s="2" t="inlineStr">
        <is>
          <t>короткая</t>
        </is>
      </c>
      <c r="C2536" s="2" t="n">
        <v>7620</v>
      </c>
      <c r="D2536" s="3" t="inlineStr">
        <is>
          <t>Заводила</t>
        </is>
      </c>
      <c r="E2536" s="2" t="n">
        <v>1987</v>
      </c>
      <c r="F2536" s="2" t="inlineStr">
        <is>
          <t>телефильм</t>
        </is>
      </c>
      <c r="G2536" s="2" t="n"/>
      <c r="H2536" s="2" t="n">
        <v>251</v>
      </c>
      <c r="I2536" s="2" t="inlineStr"/>
      <c r="J2536" s="2" t="inlineStr"/>
      <c r="K2536" s="3" t="inlineStr">
        <is>
          <t>Телефильм. Рауф Байрамов работает в школе завхозом. Он умеет увлечь детей, превратив скучные занятия в игру. Рауфу очень нравится молоденькая учительница Рена, но у нее есть жених... Проходят годы, Рауф становится директором школы, а Рена - его женой.</t>
        </is>
      </c>
      <c r="L2536" s="2" t="inlineStr">
        <is>
          <t>Кино_СССР сводный каталог.xlsx: список телефильмов</t>
        </is>
      </c>
      <c r="M2536" s="2">
        <f>HYPERLINK("https://ru.wikipedia.org/w/index.php?search=%D0%97%D0%B0%D0%B2%D0%BE%D0%B4%D0%B8%D0%BB%D0%B0%201987%20%D1%84%D0%B8%D0%BB%D1%8C%D0%BC","искать")</f>
        <v/>
      </c>
      <c r="N2536" s="3" t="n"/>
      <c r="O2536" s="2" t="n"/>
    </row>
    <row r="2537">
      <c r="A2537" s="2" t="n">
        <v>2536</v>
      </c>
      <c r="B2537" s="2" t="inlineStr">
        <is>
          <t>короткая</t>
        </is>
      </c>
      <c r="C2537" s="2" t="n">
        <v>7928</v>
      </c>
      <c r="D2537" s="3" t="inlineStr">
        <is>
          <t>На два часа раньше</t>
        </is>
      </c>
      <c r="E2537" s="2" t="n">
        <v>1967</v>
      </c>
      <c r="F2537" s="2" t="inlineStr">
        <is>
          <t>телефильм</t>
        </is>
      </c>
      <c r="G2537" s="2" t="n"/>
      <c r="H2537" s="2" t="n">
        <v>251</v>
      </c>
      <c r="I2537" s="2" t="inlineStr"/>
      <c r="J2537" s="2" t="inlineStr"/>
      <c r="K2537" s="3" t="inlineStr">
        <is>
          <t>Новогодний музыкальный фильм с участием ВИО-66 (Вокально-инструментальный оркестр при Росконцерте п/у Ю.Саульского), квартета "Аккорд", Марселя Марсо, А.Райкина, Е.Шавриной, В.Макарова и других популярных эстрадных исполнителей и актеров того времени.</t>
        </is>
      </c>
      <c r="L2537" s="2" t="inlineStr">
        <is>
          <t>Кино_СССР сводный каталог.xlsx: список телефильмов</t>
        </is>
      </c>
      <c r="M2537" s="2">
        <f>HYPERLINK("https://ru.wikipedia.org/w/index.php?search=%D0%9D%D0%B0%20%D0%B4%D0%B2%D0%B0%20%D1%87%D0%B0%D1%81%D0%B0%20%D1%80%D0%B0%D0%BD%D1%8C%D1%88%D0%B5%201967%20%D1%84%D0%B8%D0%BB%D1%8C%D0%BC","искать")</f>
        <v/>
      </c>
      <c r="N2537" s="3" t="n"/>
      <c r="O2537" s="2" t="n"/>
    </row>
    <row r="2538">
      <c r="A2538" s="2" t="n">
        <v>2537</v>
      </c>
      <c r="B2538" s="2" t="inlineStr">
        <is>
          <t>короткая</t>
        </is>
      </c>
      <c r="C2538" s="2" t="n">
        <v>8838</v>
      </c>
      <c r="D2538" s="3" t="inlineStr">
        <is>
          <t>Миро в долине</t>
        </is>
      </c>
      <c r="E2538" s="2" t="n">
        <v>1979</v>
      </c>
      <c r="F2538" s="2" t="inlineStr">
        <is>
          <t>кинофильм</t>
        </is>
      </c>
      <c r="G2538" s="2" t="n"/>
      <c r="H2538" s="2" t="n">
        <v>251</v>
      </c>
      <c r="I2538" s="2" t="inlineStr"/>
      <c r="J2538" s="2" t="inlineStr"/>
      <c r="K2538" s="3" t="inlineStr">
        <is>
          <t>Ձորի Միրոն Герой фильма теряет семью во время геноцида армян 1915 года в Османской империи, затем вместе с ополченцами сражается в турецкими аскерами. Уставший от жизни и разуверившийся во всем, Миро находит пристанище в Восточной (Советской) Армении.</t>
        </is>
      </c>
      <c r="L2538" s="2" t="inlineStr">
        <is>
          <t>Кино_СССР сводный каталог.xlsx: список фильмов (доп.)</t>
        </is>
      </c>
      <c r="M2538" s="2">
        <f>HYPERLINK("https://ru.wikipedia.org/w/index.php?search=%D0%9C%D0%B8%D1%80%D0%BE%20%D0%B2%20%D0%B4%D0%BE%D0%BB%D0%B8%D0%BD%D0%B5%201979%20%D1%84%D0%B8%D0%BB%D1%8C%D0%BC","искать")</f>
        <v/>
      </c>
      <c r="N2538" s="3" t="n"/>
      <c r="O2538" s="2" t="n"/>
    </row>
    <row r="2539">
      <c r="A2539" s="2" t="n">
        <v>2538</v>
      </c>
      <c r="B2539" s="2" t="inlineStr">
        <is>
          <t>короткая</t>
        </is>
      </c>
      <c r="C2539" s="2" t="n">
        <v>8971</v>
      </c>
      <c r="D2539" s="3" t="inlineStr">
        <is>
          <t>Право на прошлое</t>
        </is>
      </c>
      <c r="E2539" s="2" t="n">
        <v>1989</v>
      </c>
      <c r="F2539" s="2" t="inlineStr">
        <is>
          <t>кинофильм</t>
        </is>
      </c>
      <c r="G2539" s="2" t="n"/>
      <c r="H2539" s="2" t="n">
        <v>251</v>
      </c>
      <c r="I2539" s="2" t="inlineStr"/>
      <c r="J2539" s="2" t="inlineStr"/>
      <c r="K2539" s="3" t="inlineStr">
        <is>
          <t>Экранизация рассказа Богуслава Кноупека "Встань и иди" из книги "Генерал со львом". История солдата-словака, героически сражавшегося в годы второй мировой войны в рядах Советской Армии, и награжденного советским орденом лишь спустя 10 лет после войны.</t>
        </is>
      </c>
      <c r="L2539" s="2" t="inlineStr">
        <is>
          <t>Кино_СССР сводный каталог.xlsx: список фильмов (доп.)</t>
        </is>
      </c>
      <c r="M2539" s="2">
        <f>HYPERLINK("https://ru.wikipedia.org/w/index.php?search=%D0%9F%D1%80%D0%B0%D0%B2%D0%BE%20%D0%BD%D0%B0%20%D0%BF%D1%80%D0%BE%D1%88%D0%BB%D0%BE%D0%B5%201989%20%D1%84%D0%B8%D0%BB%D1%8C%D0%BC","искать")</f>
        <v/>
      </c>
      <c r="N2539" s="3" t="n"/>
      <c r="O2539" s="2" t="n"/>
    </row>
    <row r="2540">
      <c r="A2540" s="2" t="n">
        <v>2539</v>
      </c>
      <c r="B2540" s="2" t="inlineStr">
        <is>
          <t>короткая</t>
        </is>
      </c>
      <c r="C2540" s="2" t="n">
        <v>9001</v>
      </c>
      <c r="D2540" s="3" t="inlineStr">
        <is>
          <t>Пятно</t>
        </is>
      </c>
      <c r="E2540" s="2" t="n">
        <v>1985</v>
      </c>
      <c r="F2540" s="2" t="inlineStr">
        <is>
          <t>кинофильм</t>
        </is>
      </c>
      <c r="G2540" s="2" t="n"/>
      <c r="H2540" s="2" t="n">
        <v>251</v>
      </c>
      <c r="I2540" s="2" t="inlineStr"/>
      <c r="J2540" s="2" t="inlineStr"/>
      <c r="K2540" s="3" t="inlineStr">
        <is>
          <t>Молодой музыкант Квишо всем помогал, легко жил и однажды, подбросив монетку (он отвлёкся, а оппонент ее перевернул), проиграл миллион сигар и стал должником. После этого он что только ни делал, чтобы расплатиться с долгом. В результате погиб его друг.</t>
        </is>
      </c>
      <c r="L2540" s="2" t="inlineStr">
        <is>
          <t>Кино_СССР сводный каталог.xlsx: список фильмов (доп.)</t>
        </is>
      </c>
      <c r="M2540" s="2">
        <f>HYPERLINK("https://ru.wikipedia.org/w/index.php?search=%D0%9F%D1%8F%D1%82%D0%BD%D0%BE%201985%20%D1%84%D0%B8%D0%BB%D1%8C%D0%BC","искать")</f>
        <v/>
      </c>
      <c r="N2540" s="3" t="n"/>
      <c r="O2540" s="2" t="n"/>
    </row>
    <row r="2541">
      <c r="A2541" s="2" t="n">
        <v>2540</v>
      </c>
      <c r="B2541" s="2" t="inlineStr">
        <is>
          <t>короткая</t>
        </is>
      </c>
      <c r="C2541" s="2" t="n">
        <v>9639</v>
      </c>
      <c r="D2541" s="3" t="inlineStr">
        <is>
          <t>Семья Януш</t>
        </is>
      </c>
      <c r="E2541" s="2" t="n">
        <v>1941</v>
      </c>
      <c r="F2541" s="2" t="inlineStr">
        <is>
          <t>кинофильм</t>
        </is>
      </c>
      <c r="G2541" s="2" t="n"/>
      <c r="H2541" s="2" t="n">
        <v>251</v>
      </c>
      <c r="I2541" s="2" t="inlineStr"/>
      <c r="J2541" s="2" t="inlineStr"/>
      <c r="K2541" s="3" t="inlineStr">
        <is>
          <t>Фильм посвящен присоединению Западной Белоруссии к СССР. Главные герои — белорусские колхозники. После того, как мужчины уходят в армию, Юста Януш становится председателем колхоза и встречает сыновей, вернувшихся с победой. Фильм на экраны не выпущен.</t>
        </is>
      </c>
      <c r="L2541" s="2" t="inlineStr">
        <is>
          <t>Кино_СССР сводный каталог.xlsx: список фильмов (доп.)</t>
        </is>
      </c>
      <c r="M2541" s="2">
        <f>HYPERLINK("https://ru.wikipedia.org/w/index.php?search=%D0%A1%D0%B5%D0%BC%D1%8C%D1%8F%20%D0%AF%D0%BD%D1%83%D1%88%201941%20%D1%84%D0%B8%D0%BB%D1%8C%D0%BC","искать")</f>
        <v/>
      </c>
      <c r="N2541" s="3" t="n"/>
      <c r="O2541" s="2" t="n"/>
    </row>
    <row r="2542">
      <c r="A2542" s="2" t="n">
        <v>2541</v>
      </c>
      <c r="B2542" s="2" t="inlineStr">
        <is>
          <t>короткая</t>
        </is>
      </c>
      <c r="C2542" s="2" t="n">
        <v>9996</v>
      </c>
      <c r="D2542" s="3" t="inlineStr">
        <is>
          <t>День рождения</t>
        </is>
      </c>
      <c r="E2542" s="2" t="n">
        <v>1984</v>
      </c>
      <c r="F2542" s="2" t="inlineStr">
        <is>
          <t>телефильм</t>
        </is>
      </c>
      <c r="G2542" s="2" t="inlineStr">
        <is>
          <t>Укртелефильм</t>
        </is>
      </c>
      <c r="H2542" s="2" t="n">
        <v>252</v>
      </c>
      <c r="I2542" s="2" t="inlineStr"/>
      <c r="J2542" s="2" t="inlineStr"/>
      <c r="K2542" s="3" t="inlineStr">
        <is>
          <t>Один из забытых фильмов советского периода ставит присущий советскому кинематографу вопрос о месте каждого человека в жизни... В центре сюжета внук, занимающийся своими делами, и забывающий о своей бабушке. Этому следует справедливый, трагический итог!</t>
        </is>
      </c>
      <c r="L2542" s="2" t="inlineStr">
        <is>
          <t>https://www.kino-teatr.ru/short/movie/sov/83431/annot/</t>
        </is>
      </c>
      <c r="M2542" s="2">
        <f>HYPERLINK("https://ru.wikipedia.org/w/index.php?search=%D0%94%D0%B5%D0%BD%D1%8C%20%D1%80%D0%BE%D0%B6%D0%B4%D0%B5%D0%BD%D0%B8%D1%8F%201984%20%D1%84%D0%B8%D0%BB%D1%8C%D0%BC","искать")</f>
        <v/>
      </c>
      <c r="N2542" s="3" t="n"/>
      <c r="O2542" s="2" t="n"/>
    </row>
    <row r="2543">
      <c r="A2543" s="2" t="n">
        <v>2542</v>
      </c>
      <c r="B2543" s="2" t="inlineStr">
        <is>
          <t>короткая</t>
        </is>
      </c>
      <c r="C2543" s="2" t="n">
        <v>10369</v>
      </c>
      <c r="D2543" s="3" t="inlineStr">
        <is>
          <t>Семья как семья</t>
        </is>
      </c>
      <c r="E2543" s="2" t="n">
        <v>1970</v>
      </c>
      <c r="F2543" s="2" t="inlineStr">
        <is>
          <t>фильм-спектакль</t>
        </is>
      </c>
      <c r="G2543" s="2" t="inlineStr">
        <is>
          <t>ТО "Экран"</t>
        </is>
      </c>
      <c r="H2543" s="2" t="n">
        <v>252</v>
      </c>
      <c r="I2543" s="2" t="inlineStr"/>
      <c r="J2543" s="2" t="inlineStr"/>
      <c r="K2543" s="3" t="inlineStr">
        <is>
          <t>В центре фильма - семья мастера трикотажной фабрики Коробова. Молодые Коробовы решают встречать Новый год со своими друзьями. Огорченные их уходом, старики остаются одни. Но сколь велика была их радость, когда дети вместе с друзьями возвращаются домой.</t>
        </is>
      </c>
      <c r="L2543" s="2" t="inlineStr">
        <is>
          <t>https://www.kino-teatr.ru/teatr/movie/6374/annot/</t>
        </is>
      </c>
      <c r="M2543" s="2">
        <f>HYPERLINK("https://ru.wikipedia.org/w/index.php?search=%D0%A1%D0%B5%D0%BC%D1%8C%D1%8F%20%D0%BA%D0%B0%D0%BA%20%D1%81%D0%B5%D0%BC%D1%8C%D1%8F%201970%20%D1%84%D0%B8%D0%BB%D1%8C%D0%BC","искать")</f>
        <v/>
      </c>
      <c r="N2543" s="3" t="n"/>
      <c r="O2543" s="2" t="n"/>
    </row>
    <row r="2544">
      <c r="A2544" s="2" t="n">
        <v>2543</v>
      </c>
      <c r="B2544" s="2" t="inlineStr">
        <is>
          <t>короткая</t>
        </is>
      </c>
      <c r="C2544" s="2" t="n">
        <v>7447</v>
      </c>
      <c r="D2544" s="3" t="inlineStr">
        <is>
          <t>Голубой патруль</t>
        </is>
      </c>
      <c r="E2544" s="2" t="n">
        <v>1974</v>
      </c>
      <c r="F2544" s="2" t="inlineStr">
        <is>
          <t>телефильм</t>
        </is>
      </c>
      <c r="G2544" s="2" t="n"/>
      <c r="H2544" s="2" t="n">
        <v>253</v>
      </c>
      <c r="I2544" s="2" t="inlineStr"/>
      <c r="J2544" s="2" t="inlineStr"/>
      <c r="K2544" s="3" t="inlineStr">
        <is>
          <t>Телефильм. В деревню, расположенную на берегу лимана, приезжают новая учительница и ее брат, назначенный начальником рыбнадзора. Несмотря на скрытое сопротивление односельчан, им удается привлечь сельских школьников к активной борьбе против браконьеров.</t>
        </is>
      </c>
      <c r="L2544" s="2" t="inlineStr">
        <is>
          <t>Кино_СССР сводный каталог.xlsx: список телефильмов</t>
        </is>
      </c>
      <c r="M2544" s="2">
        <f>HYPERLINK("https://ru.wikipedia.org/w/index.php?search=%D0%93%D0%BE%D0%BB%D1%83%D0%B1%D0%BE%D0%B9%20%D0%BF%D0%B0%D1%82%D1%80%D1%83%D0%BB%D1%8C%201974%20%D1%84%D0%B8%D0%BB%D1%8C%D0%BC","искать")</f>
        <v/>
      </c>
      <c r="N2544" s="3" t="n"/>
      <c r="O2544" s="2" t="n"/>
    </row>
    <row r="2545">
      <c r="A2545" s="2" t="n">
        <v>2544</v>
      </c>
      <c r="B2545" s="2" t="inlineStr">
        <is>
          <t>короткая</t>
        </is>
      </c>
      <c r="C2545" s="2" t="n">
        <v>8417</v>
      </c>
      <c r="D2545" s="3" t="inlineStr">
        <is>
          <t>Суд в Ершовке</t>
        </is>
      </c>
      <c r="E2545" s="2" t="n">
        <v>1987</v>
      </c>
      <c r="F2545" s="2" t="inlineStr">
        <is>
          <t>телефильм</t>
        </is>
      </c>
      <c r="G2545" s="2" t="n"/>
      <c r="H2545" s="2" t="n">
        <v>253</v>
      </c>
      <c r="I2545" s="2" t="inlineStr"/>
      <c r="J2545" s="2" t="inlineStr"/>
      <c r="K2545" s="3" t="inlineStr">
        <is>
          <t>По одноименной повести В. Конова. В сельском клубе деревни Ершовка идет суд над Яковом Воробьевым, который обвиняется в умышленном поджоге леса. Постепенно суд превращается в народный сход, на котором честно говорится о пьянстве, процветающем в деревне.</t>
        </is>
      </c>
      <c r="L2545" s="2" t="inlineStr">
        <is>
          <t>Кино_СССР сводный каталог.xlsx: список телефильмов</t>
        </is>
      </c>
      <c r="M2545" s="2">
        <f>HYPERLINK("https://ru.wikipedia.org/w/index.php?search=%D0%A1%D1%83%D0%B4%20%D0%B2%20%D0%95%D1%80%D1%88%D0%BE%D0%B2%D0%BA%D0%B5%201987%20%D1%84%D0%B8%D0%BB%D1%8C%D0%BC","искать")</f>
        <v/>
      </c>
      <c r="N2545" s="3" t="n"/>
      <c r="O2545" s="2" t="n"/>
    </row>
    <row r="2546">
      <c r="A2546" s="2" t="n">
        <v>2545</v>
      </c>
      <c r="B2546" s="2" t="inlineStr">
        <is>
          <t>короткая</t>
        </is>
      </c>
      <c r="C2546" s="2" t="n">
        <v>8557</v>
      </c>
      <c r="D2546" s="3" t="inlineStr">
        <is>
          <t>Чёрный, как я</t>
        </is>
      </c>
      <c r="E2546" s="2" t="n">
        <v>1969</v>
      </c>
      <c r="F2546" s="2" t="inlineStr">
        <is>
          <t>телефильм</t>
        </is>
      </c>
      <c r="G2546" s="2" t="n"/>
      <c r="H2546" s="2" t="n">
        <v>253</v>
      </c>
      <c r="I2546" s="2" t="inlineStr"/>
      <c r="J2546" s="2" t="inlineStr"/>
      <c r="K2546" s="3" t="inlineStr">
        <is>
          <t>По документальной книге американского журналиста и социолога Джона Говарда Гриффина "Чёрный, как я / Black Like Me" (1961). Загримированный под чернокожего, Гриффин в полной мере познает бесправное положение таких людей в США в середине двадцатого века.</t>
        </is>
      </c>
      <c r="L2546" s="2" t="inlineStr">
        <is>
          <t>Кино_СССР сводный каталог.xlsx: список телефильмов</t>
        </is>
      </c>
      <c r="M2546" s="2">
        <f>HYPERLINK("https://ru.wikipedia.org/w/index.php?search=%D0%A7%D1%91%D1%80%D0%BD%D1%8B%D0%B9%2C%20%D0%BA%D0%B0%D0%BA%20%D1%8F%201969%20%D1%84%D0%B8%D0%BB%D1%8C%D0%BC","искать")</f>
        <v/>
      </c>
      <c r="N2546" s="3" t="n"/>
      <c r="O2546" s="2" t="n"/>
    </row>
    <row r="2547">
      <c r="A2547" s="2" t="n">
        <v>2546</v>
      </c>
      <c r="B2547" s="2" t="inlineStr">
        <is>
          <t>короткая</t>
        </is>
      </c>
      <c r="C2547" s="2" t="n">
        <v>8731</v>
      </c>
      <c r="D2547" s="3" t="inlineStr">
        <is>
          <t>Засада</t>
        </is>
      </c>
      <c r="E2547" s="2" t="n">
        <v>1980</v>
      </c>
      <c r="F2547" s="2" t="inlineStr">
        <is>
          <t>кинофильм</t>
        </is>
      </c>
      <c r="G2547" s="2" t="n"/>
      <c r="H2547" s="2" t="n">
        <v>253</v>
      </c>
      <c r="I2547" s="2" t="inlineStr"/>
      <c r="J2547" s="2" t="inlineStr"/>
      <c r="K2547" s="3" t="inlineStr">
        <is>
          <t>Напряжённая психологическая словесная дуэль двух главных героев, закончившаяся гибелью обоих. Действие происходит в России в годы Великой Отечественной войны. Один из героев - Крюков- служит немцам, второй - Елисеев - борется против немецких оккупантов.</t>
        </is>
      </c>
      <c r="L2547" s="2" t="inlineStr">
        <is>
          <t>Кино_СССР сводный каталог.xlsx: список фильмов (доп.)</t>
        </is>
      </c>
      <c r="M2547" s="2">
        <f>HYPERLINK("https://ru.wikipedia.org/w/index.php?search=%D0%97%D0%B0%D1%81%D0%B0%D0%B4%D0%B0%201980%20%D1%84%D0%B8%D0%BB%D1%8C%D0%BC","искать")</f>
        <v/>
      </c>
      <c r="N2547" s="3" t="n"/>
      <c r="O2547" s="2" t="n"/>
    </row>
    <row r="2548">
      <c r="A2548" s="2" t="n">
        <v>2547</v>
      </c>
      <c r="B2548" s="2" t="inlineStr">
        <is>
          <t>короткая</t>
        </is>
      </c>
      <c r="C2548" s="2" t="n">
        <v>9911</v>
      </c>
      <c r="D2548" s="3" t="inlineStr">
        <is>
          <t>Времена года</t>
        </is>
      </c>
      <c r="E2548" s="2" t="n">
        <v>1975</v>
      </c>
      <c r="F2548" s="2" t="inlineStr">
        <is>
          <t>кинофильм</t>
        </is>
      </c>
      <c r="G2548" s="2" t="inlineStr">
        <is>
          <t>Армянская студия</t>
        </is>
      </c>
      <c r="H2548" s="2" t="n">
        <v>253</v>
      </c>
      <c r="I2548" s="2" t="inlineStr"/>
      <c r="J2548" s="2" t="inlineStr"/>
      <c r="K2548" s="3" t="inlineStr">
        <is>
          <t>Фильм повествует о кратком отрезке жизни армянского села величиною в один год. За этот год перед зрителем проносятся различные картины из жизни селян, их борьба со стихией и природой — борьба, в основе которой лежат созидание и бесконечная тяга к жизни.</t>
        </is>
      </c>
      <c r="L2548" s="2" t="inlineStr">
        <is>
          <t>https://www.kino-teatr.ru/short/movie/sov/92803/annot/</t>
        </is>
      </c>
      <c r="M2548" s="2">
        <f>HYPERLINK("https://ru.wikipedia.org/w/index.php?search=%D0%92%D1%80%D0%B5%D0%BC%D0%B5%D0%BD%D0%B0%20%D0%B3%D0%BE%D0%B4%D0%B0%201975%20%D1%84%D0%B8%D0%BB%D1%8C%D0%BC","искать")</f>
        <v/>
      </c>
      <c r="N2548" s="3" t="n"/>
      <c r="O2548" s="2" t="n"/>
    </row>
    <row r="2549">
      <c r="A2549" s="2" t="n">
        <v>2548</v>
      </c>
      <c r="B2549" s="2" t="inlineStr">
        <is>
          <t>короткая</t>
        </is>
      </c>
      <c r="C2549" s="2" t="n">
        <v>9980</v>
      </c>
      <c r="D2549" s="3" t="inlineStr">
        <is>
          <t>Чистая доска</t>
        </is>
      </c>
      <c r="E2549" s="2" t="n">
        <v>1981</v>
      </c>
      <c r="F2549" s="2" t="inlineStr">
        <is>
          <t>телефильм</t>
        </is>
      </c>
      <c r="G2549" s="2" t="inlineStr">
        <is>
          <t>Грузинская студия телефильмов</t>
        </is>
      </c>
      <c r="H2549" s="2" t="n">
        <v>253</v>
      </c>
      <c r="I2549" s="2" t="inlineStr"/>
      <c r="J2549" s="2" t="inlineStr"/>
      <c r="K2549" s="3" t="inlineStr">
        <is>
          <t>Шестиклассник Нико разбивает стекло в классе. Учительница хочет вызвать его родителей, но одноклассница провинившегося мальчика Эка пытается спасти его от наказания. Школьники, не поняв истинных намерений Эки, поступают с ней несправедливо. Нико, которы</t>
        </is>
      </c>
      <c r="L2549" s="2" t="inlineStr">
        <is>
          <t>https://www.kino-teatr.ru/short/movie/sov/16520/annot/</t>
        </is>
      </c>
      <c r="M2549" s="2">
        <f>HYPERLINK("https://ru.wikipedia.org/w/index.php?search=%D0%A7%D0%B8%D1%81%D1%82%D0%B0%D1%8F%20%D0%B4%D0%BE%D1%81%D0%BA%D0%B0%201981%20%D1%84%D0%B8%D0%BB%D1%8C%D0%BC","искать")</f>
        <v/>
      </c>
      <c r="N2549" s="3" t="n"/>
      <c r="O2549" s="2" t="n"/>
    </row>
    <row r="2550">
      <c r="A2550" s="2" t="n">
        <v>2549</v>
      </c>
      <c r="B2550" s="2" t="inlineStr">
        <is>
          <t>короткая</t>
        </is>
      </c>
      <c r="C2550" s="2" t="n">
        <v>7230</v>
      </c>
      <c r="D2550" s="3" t="inlineStr">
        <is>
          <t>Бабушка для всех</t>
        </is>
      </c>
      <c r="E2550" s="2" t="n">
        <v>1987</v>
      </c>
      <c r="F2550" s="2" t="inlineStr">
        <is>
          <t>телефильм</t>
        </is>
      </c>
      <c r="G2550" s="2" t="inlineStr">
        <is>
          <t>Грузия-фильм, Второе творческое объединение</t>
        </is>
      </c>
      <c r="H2550" s="2" t="n">
        <v>254</v>
      </c>
      <c r="I2550" s="2" t="inlineStr"/>
      <c r="J2550" s="2" t="inlineStr"/>
      <c r="K2550" s="3" t="inlineStr">
        <is>
          <t>ბებია ყველასატვისი Детский танцевальный ансамбль готовится к республиканскому конкурсу. Кетеван, бабушка одного из маленьких танцоров, не жалея сил, помогает ребятам. Ансамбль становится лауреатом конкурса и его отправляют в гастрольную поездку за рубеж.</t>
        </is>
      </c>
      <c r="L2550" s="2" t="inlineStr">
        <is>
          <t>Кино_СССР сводный каталог.xlsx: список телефильмов</t>
        </is>
      </c>
      <c r="M2550" s="2">
        <f>HYPERLINK("https://ru.wikipedia.org/w/index.php?search=%D0%91%D0%B0%D0%B1%D1%83%D1%88%D0%BA%D0%B0%20%D0%B4%D0%BB%D1%8F%20%D0%B2%D1%81%D0%B5%D1%85%201987%20%D1%84%D0%B8%D0%BB%D1%8C%D0%BC","искать")</f>
        <v/>
      </c>
      <c r="N2550" s="3" t="n"/>
      <c r="O2550" s="2" t="n"/>
    </row>
    <row r="2551">
      <c r="A2551" s="2" t="n">
        <v>2550</v>
      </c>
      <c r="B2551" s="2" t="inlineStr">
        <is>
          <t>короткая</t>
        </is>
      </c>
      <c r="C2551" s="2" t="n">
        <v>8035</v>
      </c>
      <c r="D2551" s="3" t="inlineStr">
        <is>
          <t>Однажды в декабре</t>
        </is>
      </c>
      <c r="E2551" s="2" t="n">
        <v>1988</v>
      </c>
      <c r="F2551" s="2" t="inlineStr">
        <is>
          <t>телефильм</t>
        </is>
      </c>
      <c r="G2551" s="2" t="n"/>
      <c r="H2551" s="2" t="n">
        <v>254</v>
      </c>
      <c r="I2551" s="2" t="inlineStr"/>
      <c r="J2551" s="2" t="inlineStr"/>
      <c r="K2551" s="3" t="inlineStr">
        <is>
          <t>По рассказу Ю.Щербака «Гармоническое вдохновение». Герои фильма встречаются на концерте в Киевской филармонии. В жизнь каждого из четырех людей входит этот декабрьский вечер с удивительной музыкой Вивальди, которая помогает им вспомнить и понять прошлое.</t>
        </is>
      </c>
      <c r="L2551" s="2" t="inlineStr">
        <is>
          <t>Кино_СССР сводный каталог.xlsx: список телефильмов</t>
        </is>
      </c>
      <c r="M2551" s="2">
        <f>HYPERLINK("https://ru.wikipedia.org/w/index.php?search=%D0%9E%D0%B4%D0%BD%D0%B0%D0%B6%D0%B4%D1%8B%20%D0%B2%20%D0%B4%D0%B5%D0%BA%D0%B0%D0%B1%D1%80%D0%B5%201988%20%D1%84%D0%B8%D0%BB%D1%8C%D0%BC","искать")</f>
        <v/>
      </c>
      <c r="N2551" s="3" t="n"/>
      <c r="O2551" s="2" t="n"/>
    </row>
    <row r="2552">
      <c r="A2552" s="2" t="n">
        <v>2551</v>
      </c>
      <c r="B2552" s="2" t="inlineStr">
        <is>
          <t>короткая</t>
        </is>
      </c>
      <c r="C2552" s="2" t="n">
        <v>8106</v>
      </c>
      <c r="D2552" s="3" t="inlineStr">
        <is>
          <t>Песня всегда с нами</t>
        </is>
      </c>
      <c r="E2552" s="2" t="n">
        <v>1975</v>
      </c>
      <c r="F2552" s="2" t="inlineStr">
        <is>
          <t>телефильм</t>
        </is>
      </c>
      <c r="G2552" s="2" t="n"/>
      <c r="H2552" s="2" t="n">
        <v>254</v>
      </c>
      <c r="I2552" s="2" t="inlineStr"/>
      <c r="J2552" s="2" t="inlineStr"/>
      <c r="K2552" s="3" t="inlineStr">
        <is>
          <t>Молодая прекрасная певица начинает концерт в открытом музыкальном клубе горного курорта. Этот автобиографический сценарий описывает настоящие украинские и молдавские корни Софии Ротару в природном пейзаже мелодичной атмосферы Буковины в Западной Украине.</t>
        </is>
      </c>
      <c r="L2552" s="2" t="inlineStr">
        <is>
          <t>Кино_СССР сводный каталог.xlsx: список телефильмов</t>
        </is>
      </c>
      <c r="M2552" s="2">
        <f>HYPERLINK("https://ru.wikipedia.org/w/index.php?search=%D0%9F%D0%B5%D1%81%D0%BD%D1%8F%20%D0%B2%D1%81%D0%B5%D0%B3%D0%B4%D0%B0%20%D1%81%20%D0%BD%D0%B0%D0%BC%D0%B8%201975%20%D1%84%D0%B8%D0%BB%D1%8C%D0%BC","искать")</f>
        <v/>
      </c>
      <c r="N2552" s="3" t="n"/>
      <c r="O2552" s="2" t="n"/>
    </row>
    <row r="2553">
      <c r="A2553" s="2" t="n">
        <v>2552</v>
      </c>
      <c r="B2553" s="2" t="inlineStr">
        <is>
          <t>короткая</t>
        </is>
      </c>
      <c r="C2553" s="2" t="n">
        <v>8447</v>
      </c>
      <c r="D2553" s="3" t="inlineStr">
        <is>
          <t>Театральный сезон</t>
        </is>
      </c>
      <c r="E2553" s="2" t="n">
        <v>1989</v>
      </c>
      <c r="F2553" s="2" t="inlineStr">
        <is>
          <t>телефильм</t>
        </is>
      </c>
      <c r="G2553" s="2" t="n"/>
      <c r="H2553" s="2" t="n">
        <v>254</v>
      </c>
      <c r="I2553" s="2" t="inlineStr"/>
      <c r="J2553" s="2" t="inlineStr"/>
      <c r="K2553" s="3" t="inlineStr">
        <is>
          <t>В центре фильма – история любви журналистки Елены Голициной и актера Сергея Муратова. Их связывает большое взаимное чувство, но у Сергея есть жена и сын. Понимая, что Елена – его единственная настоящая любовь, Муратов все-таки не решается оставить семью.</t>
        </is>
      </c>
      <c r="L2553" s="2" t="inlineStr">
        <is>
          <t>Кино_СССР сводный каталог.xlsx: список телефильмов</t>
        </is>
      </c>
      <c r="M2553" s="2">
        <f>HYPERLINK("https://ru.wikipedia.org/w/index.php?search=%D0%A2%D0%B5%D0%B0%D1%82%D1%80%D0%B0%D0%BB%D1%8C%D0%BD%D1%8B%D0%B9%20%D1%81%D0%B5%D0%B7%D0%BE%D0%BD%201989%20%D1%84%D0%B8%D0%BB%D1%8C%D0%BC","искать")</f>
        <v/>
      </c>
      <c r="N2553" s="3" t="n"/>
      <c r="O2553" s="2" t="n"/>
    </row>
    <row r="2554">
      <c r="A2554" s="2" t="n">
        <v>2553</v>
      </c>
      <c r="B2554" s="2" t="inlineStr">
        <is>
          <t>короткая</t>
        </is>
      </c>
      <c r="C2554" s="2" t="n">
        <v>10074</v>
      </c>
      <c r="D2554" s="3" t="inlineStr">
        <is>
          <t>Особый подход</t>
        </is>
      </c>
      <c r="E2554" s="2" t="n">
        <v>1959</v>
      </c>
      <c r="F2554" s="2" t="inlineStr">
        <is>
          <t>фильм-спектакль</t>
        </is>
      </c>
      <c r="G2554" s="2" t="inlineStr">
        <is>
          <t>Мосфильм</t>
        </is>
      </c>
      <c r="H2554" s="2" t="n">
        <v>254</v>
      </c>
      <c r="I2554" s="2" t="inlineStr"/>
      <c r="J2554" s="2" t="inlineStr"/>
      <c r="K2554" s="3" t="inlineStr">
        <is>
          <t>Музыкальный фильм о бескомпромиссной борьбе против строительства новой дороги через прекрасный фруктовый сад, расположенный на территории детского сада. По разные стороны баррикад в битве против разгула бюрократизма за права детей оказались герои фильма.</t>
        </is>
      </c>
      <c r="L2554" s="2" t="inlineStr">
        <is>
          <t>https://www.kino-teatr.ru/teatr/movie/9348/annot/</t>
        </is>
      </c>
      <c r="M2554" s="2">
        <f>HYPERLINK("https://ru.wikipedia.org/w/index.php?search=%D0%9E%D1%81%D0%BE%D0%B1%D1%8B%D0%B9%20%D0%BF%D0%BE%D0%B4%D1%85%D0%BE%D0%B4%201959%20%D1%84%D0%B8%D0%BB%D1%8C%D0%BC","искать")</f>
        <v/>
      </c>
      <c r="N2554" s="3" t="n"/>
      <c r="O2554" s="2" t="n"/>
    </row>
    <row r="2555">
      <c r="A2555" s="2" t="n">
        <v>2554</v>
      </c>
      <c r="B2555" s="2" t="inlineStr">
        <is>
          <t>короткая</t>
        </is>
      </c>
      <c r="C2555" s="2" t="n">
        <v>10584</v>
      </c>
      <c r="D2555" s="3" t="inlineStr">
        <is>
          <t>Про мальчика, бабушку-газетчицу и разбитые очки</t>
        </is>
      </c>
      <c r="E2555" s="2" t="n">
        <v>1974</v>
      </c>
      <c r="F2555" s="2" t="inlineStr">
        <is>
          <t>фильм-спектакль</t>
        </is>
      </c>
      <c r="G2555" s="2" t="inlineStr">
        <is>
          <t>Центральное телевидение</t>
        </is>
      </c>
      <c r="H2555" s="2" t="n">
        <v>254</v>
      </c>
      <c r="I2555" s="2" t="inlineStr"/>
      <c r="J2555" s="2" t="inlineStr"/>
      <c r="K2555" s="3" t="inlineStr">
        <is>
          <t>На улице сильный мороз и никто не гуляет, а маленький мальчик пошел в газетный киоск за переводными картинками. Но бабушка-газетчица не может работать, она разбила очки.
История о маленьком мальчике, который помог бабушке-газетчице найти потерянные очки.</t>
        </is>
      </c>
      <c r="L2555" s="2" t="inlineStr">
        <is>
          <t>https://www.kino-teatr.ru/teatr/movie/107377/annot/</t>
        </is>
      </c>
      <c r="M2555" s="2">
        <f>HYPERLINK("https://ru.wikipedia.org/w/index.php?search=%D0%9F%D1%80%D0%BE%20%D0%BC%D0%B0%D0%BB%D1%8C%D1%87%D0%B8%D0%BA%D0%B0%2C%20%D0%B1%D0%B0%D0%B1%D1%83%D1%88%D0%BA%D1%83-%D0%B3%D0%B0%D0%B7%D0%B5%D1%82%D1%87%D0%B8%D1%86%D1%83%20%D0%B8%20%D1%80%D0%B0%D0%B7%D0%B1%D0%B8%D1%82%D1%8B%D0%B5%20%D0%BE%D1%87%D0%BA%D0%B8%201974%20%D1%84%D0%B8%D0%BB%D1%8C%D0%BC","искать")</f>
        <v/>
      </c>
      <c r="N2555" s="3" t="n"/>
      <c r="O2555" s="2" t="n"/>
    </row>
    <row r="2556">
      <c r="A2556" s="2" t="n">
        <v>2555</v>
      </c>
      <c r="B2556" s="2" t="inlineStr">
        <is>
          <t>короткая</t>
        </is>
      </c>
      <c r="C2556" s="2" t="n">
        <v>10984</v>
      </c>
      <c r="D2556" s="3" t="inlineStr">
        <is>
          <t>Вознаграждение - 1000 франков</t>
        </is>
      </c>
      <c r="E2556" s="2" t="n">
        <v>1983</v>
      </c>
      <c r="F2556" s="2" t="inlineStr">
        <is>
          <t>фильм-спектакль</t>
        </is>
      </c>
      <c r="G2556" s="2" t="inlineStr">
        <is>
          <t>Главная редакция литературно-драматических программ ЦТ</t>
        </is>
      </c>
      <c r="H2556" s="2" t="n">
        <v>254</v>
      </c>
      <c r="I2556" s="2" t="inlineStr"/>
      <c r="J2556" s="2" t="inlineStr"/>
      <c r="K2556" s="3" t="inlineStr">
        <is>
          <t>По мотивам одноименной пьесы французского писателя Виктора Гюго.
Париж. Зима 182… года.
Вор Глапье пытается скрыться от полиции. Ему помогает молодая девушка Сиприена, семья которой обнищала и находится в руках шантажистов. Глапье решает помочь Сиприене.</t>
        </is>
      </c>
      <c r="L2556" s="2" t="inlineStr">
        <is>
          <t>https://www.kino-teatr.ru/teatr/movie/12143/annot/</t>
        </is>
      </c>
      <c r="M2556" s="2">
        <f>HYPERLINK("https://ru.wikipedia.org/w/index.php?search=%D0%92%D0%BE%D0%B7%D0%BD%D0%B0%D0%B3%D1%80%D0%B0%D0%B6%D0%B4%D0%B5%D0%BD%D0%B8%D0%B5%20-%201000%20%D1%84%D1%80%D0%B0%D0%BD%D0%BA%D0%BE%D0%B2%201983%20%D1%84%D0%B8%D0%BB%D1%8C%D0%BC","искать")</f>
        <v/>
      </c>
      <c r="N2556" s="3" t="n"/>
      <c r="O2556" s="2" t="n"/>
    </row>
    <row r="2557">
      <c r="A2557" s="2" t="n">
        <v>2556</v>
      </c>
      <c r="B2557" s="2" t="inlineStr">
        <is>
          <t>короткая</t>
        </is>
      </c>
      <c r="C2557" s="2" t="n">
        <v>11083</v>
      </c>
      <c r="D2557" s="3" t="inlineStr">
        <is>
          <t>Союзник пролетариата</t>
        </is>
      </c>
      <c r="E2557" s="2" t="n">
        <v>1985</v>
      </c>
      <c r="F2557" s="2" t="inlineStr">
        <is>
          <t>фильм-спектакль</t>
        </is>
      </c>
      <c r="G2557" s="2" t="inlineStr">
        <is>
          <t>Главная редакция научно-популярных и учебных программ ЦТ</t>
        </is>
      </c>
      <c r="H2557" s="2" t="n">
        <v>254</v>
      </c>
      <c r="I2557" s="2" t="inlineStr"/>
      <c r="J2557" s="2" t="inlineStr"/>
      <c r="K2557" s="3" t="inlineStr">
        <is>
          <t>О подлинных событиях 1905 года - создании в деревне Марково крестьянской республики. В телеспектакле рассказывается о реальных деятелях Марковской республики: волостном старшине Иване Рыжове, агрономе Алексее Зубрилине, писателе Сергее Сёменове и других.</t>
        </is>
      </c>
      <c r="L2557" s="2" t="inlineStr">
        <is>
          <t>https://www.kino-teatr.ru/teatr/movie/107358/annot/</t>
        </is>
      </c>
      <c r="M2557" s="2">
        <f>HYPERLINK("https://ru.wikipedia.org/w/index.php?search=%D0%A1%D0%BE%D1%8E%D0%B7%D0%BD%D0%B8%D0%BA%20%D0%BF%D1%80%D0%BE%D0%BB%D0%B5%D1%82%D0%B0%D1%80%D0%B8%D0%B0%D1%82%D0%B0%201985%20%D1%84%D0%B8%D0%BB%D1%8C%D0%BC","искать")</f>
        <v/>
      </c>
      <c r="N2557" s="3" t="n"/>
      <c r="O2557" s="2" t="n"/>
    </row>
    <row r="2558">
      <c r="A2558" s="2" t="n">
        <v>2557</v>
      </c>
      <c r="B2558" s="2" t="inlineStr">
        <is>
          <t>короткая</t>
        </is>
      </c>
      <c r="C2558" s="2" t="n">
        <v>8079</v>
      </c>
      <c r="D2558" s="3" t="inlineStr">
        <is>
          <t>Парашюты на деревьях</t>
        </is>
      </c>
      <c r="E2558" s="2" t="n">
        <v>1973</v>
      </c>
      <c r="F2558" s="2" t="inlineStr">
        <is>
          <t>телефильм</t>
        </is>
      </c>
      <c r="G2558" s="2" t="n"/>
      <c r="H2558" s="2" t="n">
        <v>255</v>
      </c>
      <c r="I2558" s="2" t="inlineStr"/>
      <c r="J2558" s="2" t="inlineStr"/>
      <c r="K2558" s="3" t="inlineStr">
        <is>
          <t>По материалам одноименной документальной книги Наполеона Ридевского. О героической деятельности советской разведгруппы под руководством капитана Крылатых на территории Восточной Пруссии в 1944 году. 1-я серия — «Волчье логово»; 2-я серия — «На плацдарме».</t>
        </is>
      </c>
      <c r="L2558" s="2" t="inlineStr">
        <is>
          <t>Кино_СССР сводный каталог.xlsx: список телефильмов</t>
        </is>
      </c>
      <c r="M2558" s="2">
        <f>HYPERLINK("https://ru.wikipedia.org/w/index.php?search=%D0%9F%D0%B0%D1%80%D0%B0%D1%88%D1%8E%D1%82%D1%8B%20%D0%BD%D0%B0%20%D0%B4%D0%B5%D1%80%D0%B5%D0%B2%D1%8C%D1%8F%D1%85%201973%20%D1%84%D0%B8%D0%BB%D1%8C%D0%BC","искать")</f>
        <v/>
      </c>
      <c r="N2558" s="3" t="n"/>
      <c r="O2558" s="2" t="n"/>
    </row>
    <row r="2559">
      <c r="A2559" s="2" t="n">
        <v>2558</v>
      </c>
      <c r="B2559" s="2" t="inlineStr">
        <is>
          <t>короткая</t>
        </is>
      </c>
      <c r="C2559" s="2" t="n">
        <v>8470</v>
      </c>
      <c r="D2559" s="3" t="inlineStr">
        <is>
          <t>Трест, который лопнул</t>
        </is>
      </c>
      <c r="E2559" s="2" t="n">
        <v>1982</v>
      </c>
      <c r="F2559" s="2" t="inlineStr">
        <is>
          <t>телефильм</t>
        </is>
      </c>
      <c r="G2559" s="2" t="n"/>
      <c r="H2559" s="2" t="n">
        <v>255</v>
      </c>
      <c r="I2559" s="2" t="inlineStr"/>
      <c r="J2559" s="2" t="inlineStr"/>
      <c r="K2559" s="3" t="inlineStr">
        <is>
          <t>Приключения двух очаровательных мошенников, живущих за счет доверчивых простаков, знаменитых благодаря великому писателю О.Генри. Не все и не всегда им удается так, как они задумали первоначально, но сколько выдумки в их остроумном поиске хлеба насущного.</t>
        </is>
      </c>
      <c r="L2559" s="2" t="inlineStr">
        <is>
          <t>Кино_СССР сводный каталог.xlsx: список телефильмов</t>
        </is>
      </c>
      <c r="M2559" s="2">
        <f>HYPERLINK("https://ru.wikipedia.org/w/index.php?search=%D0%A2%D1%80%D0%B5%D1%81%D1%82%2C%20%D0%BA%D0%BE%D1%82%D0%BE%D1%80%D1%8B%D0%B9%20%D0%BB%D0%BE%D0%BF%D0%BD%D1%83%D0%BB%201982%20%D1%84%D0%B8%D0%BB%D1%8C%D0%BC","искать")</f>
        <v/>
      </c>
      <c r="N2559" s="3" t="n"/>
      <c r="O2559" s="2" t="n"/>
    </row>
    <row r="2560">
      <c r="A2560" s="2" t="n">
        <v>2559</v>
      </c>
      <c r="B2560" s="2" t="inlineStr">
        <is>
          <t>короткая</t>
        </is>
      </c>
      <c r="C2560" s="2" t="n">
        <v>7368</v>
      </c>
      <c r="D2560" s="3" t="inlineStr">
        <is>
          <t>Волшебный голос Джельсомино</t>
        </is>
      </c>
      <c r="E2560" s="2" t="n">
        <v>1977</v>
      </c>
      <c r="F2560" s="2" t="inlineStr">
        <is>
          <t>телефильм</t>
        </is>
      </c>
      <c r="G2560" s="2" t="inlineStr">
        <is>
          <t>Одесская киностудия</t>
        </is>
      </c>
      <c r="H2560" s="2" t="n">
        <v>256</v>
      </c>
      <c r="I2560" s="2" t="inlineStr"/>
      <c r="J2560" s="2" t="inlineStr"/>
      <c r="K2560" s="3" t="inlineStr">
        <is>
          <t>Телефильм по одноименной сказке Дж. Родари. О мальчике Джельсомино, у которого был удивительный голос, способный рушить стены. Благодаря этому дару он вместе со своими друзьями и кошкой-хромоножкой свергают жестокого диктатора, пытающегося развязать войну.</t>
        </is>
      </c>
      <c r="L2560" s="2" t="inlineStr">
        <is>
          <t>Кино_СССР сводный каталог.xlsx: список телефильмов</t>
        </is>
      </c>
      <c r="M2560" s="2">
        <f>HYPERLINK("https://ru.wikipedia.org/w/index.php?search=%D0%92%D0%BE%D0%BB%D1%88%D0%B5%D0%B1%D0%BD%D1%8B%D0%B9%20%D0%B3%D0%BE%D0%BB%D0%BE%D1%81%20%D0%94%D0%B6%D0%B5%D0%BB%D1%8C%D1%81%D0%BE%D0%BC%D0%B8%D0%BD%D0%BE%201977%20%D1%84%D0%B8%D0%BB%D1%8C%D0%BC","искать")</f>
        <v/>
      </c>
      <c r="N2560" s="3" t="n"/>
      <c r="O2560" s="2" t="n"/>
    </row>
    <row r="2561">
      <c r="A2561" s="2" t="n">
        <v>2560</v>
      </c>
      <c r="B2561" s="2" t="inlineStr">
        <is>
          <t>короткая</t>
        </is>
      </c>
      <c r="C2561" s="2" t="n">
        <v>7642</v>
      </c>
      <c r="D2561" s="3" t="inlineStr">
        <is>
          <t>Зелёный фургон</t>
        </is>
      </c>
      <c r="E2561" s="2" t="n">
        <v>1983</v>
      </c>
      <c r="F2561" s="2" t="inlineStr">
        <is>
          <t>телефильм</t>
        </is>
      </c>
      <c r="G2561" s="2" t="inlineStr">
        <is>
          <t>Одесская к/с</t>
        </is>
      </c>
      <c r="H2561" s="2" t="n">
        <v>256</v>
      </c>
      <c r="I2561" s="2" t="inlineStr"/>
      <c r="J2561" s="2" t="inlineStr"/>
      <c r="K2561" s="3" t="inlineStr">
        <is>
          <t>Телефильм по мотивам одноименной повести А. Козачинского. Время действия - двадцатые годы. Бывший форвард гимназической футбольной команды становится начальником одесского уездного отделения милиции - борется с самогонщиками, конокрадами и другой нечистью.</t>
        </is>
      </c>
      <c r="L2561" s="2" t="inlineStr">
        <is>
          <t>Кино_СССР сводный каталог.xlsx: список телефильмов</t>
        </is>
      </c>
      <c r="M2561" s="2">
        <f>HYPERLINK("https://ru.wikipedia.org/w/index.php?search=%D0%97%D0%B5%D0%BB%D1%91%D0%BD%D1%8B%D0%B9%20%D1%84%D1%83%D1%80%D0%B3%D0%BE%D0%BD%201983%20%D1%84%D0%B8%D0%BB%D1%8C%D0%BC","искать")</f>
        <v/>
      </c>
      <c r="N2561" s="3" t="n"/>
      <c r="O2561" s="2" t="n"/>
    </row>
    <row r="2562">
      <c r="A2562" s="2" t="n">
        <v>2561</v>
      </c>
      <c r="B2562" s="2" t="inlineStr">
        <is>
          <t>короткая</t>
        </is>
      </c>
      <c r="C2562" s="2" t="n">
        <v>7679</v>
      </c>
      <c r="D2562" s="3" t="inlineStr">
        <is>
          <t>Из жизни земского врача</t>
        </is>
      </c>
      <c r="E2562" s="2" t="n">
        <v>1984</v>
      </c>
      <c r="F2562" s="2" t="inlineStr">
        <is>
          <t>телефильм</t>
        </is>
      </c>
      <c r="G2562" s="2" t="inlineStr">
        <is>
          <t>Лентелефильм</t>
        </is>
      </c>
      <c r="H2562" s="2" t="n">
        <v>256</v>
      </c>
      <c r="I2562" s="2" t="inlineStr"/>
      <c r="J2562" s="2" t="inlineStr"/>
      <c r="K2562" s="3" t="inlineStr">
        <is>
          <t>Телефильм по мотивам рассказов Антона Павловича Чехова. Рассказ о нескольких днях земского врача и его работе в сельской больнице. Надо выслушать всех и успокоить, потому что, как писал Чехов, "должность врача - не только лечить раны, но и врачевать душу".</t>
        </is>
      </c>
      <c r="L2562" s="2" t="inlineStr">
        <is>
          <t>Кино_СССР сводный каталог.xlsx: список телефильмов</t>
        </is>
      </c>
      <c r="M2562" s="2">
        <f>HYPERLINK("https://ru.wikipedia.org/w/index.php?search=%D0%98%D0%B7%20%D0%B6%D0%B8%D0%B7%D0%BD%D0%B8%20%D0%B7%D0%B5%D0%BC%D1%81%D0%BA%D0%BE%D0%B3%D0%BE%20%D0%B2%D1%80%D0%B0%D1%87%D0%B0%201984%20%D1%84%D0%B8%D0%BB%D1%8C%D0%BC","искать")</f>
        <v/>
      </c>
      <c r="N2562" s="3" t="n"/>
      <c r="O2562" s="2" t="n"/>
    </row>
    <row r="2563">
      <c r="A2563" s="2" t="n">
        <v>2562</v>
      </c>
      <c r="B2563" s="2" t="inlineStr">
        <is>
          <t>короткая</t>
        </is>
      </c>
      <c r="C2563" s="2" t="n">
        <v>7705</v>
      </c>
      <c r="D2563" s="3" t="inlineStr">
        <is>
          <t>Камила</t>
        </is>
      </c>
      <c r="E2563" s="2" t="n">
        <v>1980</v>
      </c>
      <c r="F2563" s="2" t="inlineStr">
        <is>
          <t>телефильм</t>
        </is>
      </c>
      <c r="G2563" s="2" t="n"/>
      <c r="H2563" s="2" t="n">
        <v>256</v>
      </c>
      <c r="I2563" s="2" t="inlineStr"/>
      <c r="J2563" s="2" t="inlineStr"/>
      <c r="K2563" s="3" t="inlineStr">
        <is>
          <t>Телефильм. Родители первоклассницы Камилы вовсе не настаивали на ее музыкальном образовании. Однако, после встречи с композитором, замечательным человеком и чутким педагогом, Камила сама поступит в музыкальную школу и будет одной из самых способных учениц.</t>
        </is>
      </c>
      <c r="L2563" s="2" t="inlineStr">
        <is>
          <t>Кино_СССР сводный каталог.xlsx: список телефильмов</t>
        </is>
      </c>
      <c r="M2563" s="2">
        <f>HYPERLINK("https://ru.wikipedia.org/w/index.php?search=%D0%9A%D0%B0%D0%BC%D0%B8%D0%BB%D0%B0%201980%20%D1%84%D0%B8%D0%BB%D1%8C%D0%BC","искать")</f>
        <v/>
      </c>
      <c r="N2563" s="3" t="n"/>
      <c r="O2563" s="2" t="n"/>
    </row>
    <row r="2564">
      <c r="A2564" s="2" t="n">
        <v>2563</v>
      </c>
      <c r="B2564" s="2" t="inlineStr">
        <is>
          <t>короткая</t>
        </is>
      </c>
      <c r="C2564" s="2" t="n">
        <v>8171</v>
      </c>
      <c r="D2564" s="3" t="inlineStr">
        <is>
          <t>Последний снег</t>
        </is>
      </c>
      <c r="E2564" s="2" t="n">
        <v>1970</v>
      </c>
      <c r="F2564" s="2" t="inlineStr">
        <is>
          <t>телефильм</t>
        </is>
      </c>
      <c r="G2564" s="2" t="n"/>
      <c r="H2564" s="2" t="n">
        <v>256</v>
      </c>
      <c r="I2564" s="2" t="inlineStr"/>
      <c r="J2564" s="2" t="inlineStr"/>
      <c r="K2564" s="3" t="inlineStr">
        <is>
          <t>Действие происходит во время Великой Отечественной войны на Северном Кавказе. Психологический поединок между учительницей Чабахан Басиевой и немецким майором. Она предпочла смерть рабству. Посмертно награждена орденом Великой Отечественной войны 1 степени.</t>
        </is>
      </c>
      <c r="L2564" s="2" t="inlineStr">
        <is>
          <t>Кино_СССР сводный каталог.xlsx: список телефильмов</t>
        </is>
      </c>
      <c r="M2564" s="2">
        <f>HYPERLINK("https://ru.wikipedia.org/w/index.php?search=%D0%9F%D0%BE%D1%81%D0%BB%D0%B5%D0%B4%D0%BD%D0%B8%D0%B9%20%D1%81%D0%BD%D0%B5%D0%B3%201970%20%D1%84%D0%B8%D0%BB%D1%8C%D0%BC","искать")</f>
        <v/>
      </c>
      <c r="N2564" s="3" t="n"/>
      <c r="O2564" s="2" t="n"/>
    </row>
    <row r="2565">
      <c r="A2565" s="2" t="n">
        <v>2564</v>
      </c>
      <c r="B2565" s="2" t="inlineStr">
        <is>
          <t>короткая</t>
        </is>
      </c>
      <c r="C2565" s="2" t="n">
        <v>8497</v>
      </c>
      <c r="D2565" s="3" t="inlineStr">
        <is>
          <t>Удивительные приключения Дениса Кораблёва</t>
        </is>
      </c>
      <c r="E2565" s="2" t="n">
        <v>1979</v>
      </c>
      <c r="F2565" s="2" t="inlineStr">
        <is>
          <t>телефильм</t>
        </is>
      </c>
      <c r="G2565" s="2" t="n"/>
      <c r="H2565" s="2" t="n">
        <v>256</v>
      </c>
      <c r="I2565" s="2" t="inlineStr"/>
      <c r="J2565" s="2" t="inlineStr"/>
      <c r="K2565" s="3" t="inlineStr">
        <is>
          <t>Телефильм по мотивам книги Виктора Драгунского "Денискины рассказы". О веселых приключениях восьмилетнего Дениски Кораблева. В фильме использованы рассказы Драгунского «Ровно двадцать пять кило», «Не хуже вас, цирковых!», «Друг детства», «Девочка на шаре».</t>
        </is>
      </c>
      <c r="L2565" s="2" t="inlineStr">
        <is>
          <t>Кино_СССР сводный каталог.xlsx: список телефильмов</t>
        </is>
      </c>
      <c r="M2565" s="2">
        <f>HYPERLINK("https://ru.wikipedia.org/w/index.php?search=%D0%A3%D0%B4%D0%B8%D0%B2%D0%B8%D1%82%D0%B5%D0%BB%D1%8C%D0%BD%D1%8B%D0%B5%20%D0%BF%D1%80%D0%B8%D0%BA%D0%BB%D1%8E%D1%87%D0%B5%D0%BD%D0%B8%D1%8F%20%D0%94%D0%B5%D0%BD%D0%B8%D1%81%D0%B0%20%D0%9A%D0%BE%D1%80%D0%B0%D0%B1%D0%BB%D1%91%D0%B2%D0%B0%201979%20%D1%84%D0%B8%D0%BB%D1%8C%D0%BC","искать")</f>
        <v/>
      </c>
      <c r="N2565" s="3" t="n"/>
      <c r="O2565" s="2" t="n"/>
    </row>
    <row r="2566">
      <c r="A2566" s="2" t="n">
        <v>2565</v>
      </c>
      <c r="B2566" s="2" t="inlineStr">
        <is>
          <t>короткая</t>
        </is>
      </c>
      <c r="C2566" s="2" t="n">
        <v>9629</v>
      </c>
      <c r="D2566" s="3" t="inlineStr">
        <is>
          <t>Свет и тени</t>
        </is>
      </c>
      <c r="E2566" s="2" t="n">
        <v>1933</v>
      </c>
      <c r="F2566" s="2" t="inlineStr">
        <is>
          <t>кинофильм</t>
        </is>
      </c>
      <c r="G2566" s="2" t="n"/>
      <c r="H2566" s="2" t="n">
        <v>256</v>
      </c>
      <c r="I2566" s="2" t="inlineStr"/>
      <c r="J2566" s="2" t="inlineStr"/>
      <c r="K2566" s="3" t="inlineStr">
        <is>
          <t>Լույս և ստվերներ "Социальная драма о борьбе сельской учительницы с кулаком и недалеким председателем сельсовета за новый уклад в деревне. ...Какое-то время демонстрировалась в Армении, но, видимо, после упоминания картины в передовой статье "Правды" от 26.</t>
        </is>
      </c>
      <c r="L2566" s="2" t="inlineStr">
        <is>
          <t>Кино_СССР сводный каталог.xlsx: список фильмов (доп.)</t>
        </is>
      </c>
      <c r="M2566" s="2">
        <f>HYPERLINK("https://ru.wikipedia.org/w/index.php?search=%D0%A1%D0%B2%D0%B5%D1%82%20%D0%B8%20%D1%82%D0%B5%D0%BD%D0%B8%201933%20%D1%84%D0%B8%D0%BB%D1%8C%D0%BC","искать")</f>
        <v/>
      </c>
      <c r="N2566" s="3" t="n"/>
      <c r="O2566" s="2" t="n"/>
    </row>
    <row r="2567">
      <c r="A2567" s="2" t="n">
        <v>2566</v>
      </c>
      <c r="B2567" s="2" t="inlineStr">
        <is>
          <t>короткая</t>
        </is>
      </c>
      <c r="C2567" s="2" t="n">
        <v>9763</v>
      </c>
      <c r="D2567" s="3" t="inlineStr">
        <is>
          <t>Шальная баба</t>
        </is>
      </c>
      <c r="E2567" s="2" t="n">
        <v>1991</v>
      </c>
      <c r="F2567" s="2" t="inlineStr">
        <is>
          <t>кинофильм</t>
        </is>
      </c>
      <c r="G2567" s="2" t="n"/>
      <c r="H2567" s="2" t="n">
        <v>256</v>
      </c>
      <c r="I2567" s="2" t="inlineStr"/>
      <c r="J2567" s="2" t="inlineStr"/>
      <c r="K2567" s="3" t="inlineStr">
        <is>
          <t>Художник, которому бандиты дали на хранение пурпурную папку, не может ее найти. Тогда злодеи похищают его сына, чтобы доказать серьезность своих намерений. Мать, к которой случайно попадает пистолет с патронами, берется за дело сама, не надеясь на милицию.</t>
        </is>
      </c>
      <c r="L2567" s="2" t="inlineStr">
        <is>
          <t>Кино_СССР сводный каталог.xlsx: список фильмов (доп.)</t>
        </is>
      </c>
      <c r="M2567" s="2">
        <f>HYPERLINK("https://ru.wikipedia.org/w/index.php?search=%D0%A8%D0%B0%D0%BB%D1%8C%D0%BD%D0%B0%D1%8F%20%D0%B1%D0%B0%D0%B1%D0%B0%201991%20%D1%84%D0%B8%D0%BB%D1%8C%D0%BC","искать")</f>
        <v/>
      </c>
      <c r="N2567" s="3" t="n"/>
      <c r="O2567" s="2" t="n"/>
    </row>
    <row r="2568">
      <c r="A2568" s="2" t="n">
        <v>2567</v>
      </c>
      <c r="B2568" s="2" t="inlineStr">
        <is>
          <t>короткая</t>
        </is>
      </c>
      <c r="C2568" s="2" t="n">
        <v>10131</v>
      </c>
      <c r="D2568" s="3" t="inlineStr">
        <is>
          <t>Трефовый король</t>
        </is>
      </c>
      <c r="E2568" s="2" t="n">
        <v>1964</v>
      </c>
      <c r="F2568" s="2" t="inlineStr">
        <is>
          <t>фильм-спектакль</t>
        </is>
      </c>
      <c r="G2568" s="2" t="inlineStr">
        <is>
          <t>Центральное телевидение</t>
        </is>
      </c>
      <c r="H2568" s="2" t="n">
        <v>256</v>
      </c>
      <c r="I2568" s="2" t="inlineStr"/>
      <c r="J2568" s="2" t="inlineStr"/>
      <c r="K2568" s="3" t="inlineStr">
        <is>
          <t>По одноименному произведению Владимира Пистоленко.
Коллектив работников швейного ателье, состоящий преимущественно из цыган, готовится к смотру художественной самодеятельности.
В телеспектакле звучат цыганские, русские, украинские народные песни и романсы.</t>
        </is>
      </c>
      <c r="L2568" s="2" t="inlineStr">
        <is>
          <t>https://www.kino-teatr.ru/teatr/movie/80173/annot/</t>
        </is>
      </c>
      <c r="M2568" s="2">
        <f>HYPERLINK("https://ru.wikipedia.org/w/index.php?search=%D0%A2%D1%80%D0%B5%D1%84%D0%BE%D0%B2%D1%8B%D0%B9%20%D0%BA%D0%BE%D1%80%D0%BE%D0%BB%D1%8C%201964%20%D1%84%D0%B8%D0%BB%D1%8C%D0%BC","искать")</f>
        <v/>
      </c>
      <c r="N2568" s="3" t="n"/>
      <c r="O2568" s="2" t="n"/>
    </row>
    <row r="2569">
      <c r="A2569" s="2" t="n">
        <v>2568</v>
      </c>
      <c r="B2569" s="2" t="inlineStr">
        <is>
          <t>короткая</t>
        </is>
      </c>
      <c r="C2569" s="2" t="n">
        <v>7218</v>
      </c>
      <c r="D2569" s="3" t="inlineStr">
        <is>
          <t>Арбатский мотив</t>
        </is>
      </c>
      <c r="E2569" s="2" t="n">
        <v>1990</v>
      </c>
      <c r="F2569" s="2" t="inlineStr">
        <is>
          <t>телефильм</t>
        </is>
      </c>
      <c r="G2569" s="2" t="n"/>
      <c r="H2569" s="2" t="n">
        <v>257</v>
      </c>
      <c r="I2569" s="2" t="inlineStr"/>
      <c r="J2569" s="2" t="inlineStr"/>
      <c r="K2569" s="3" t="inlineStr">
        <is>
          <t>Действие происходит в одном из старых московских домов на Арбате. В предназначенном на снос доме живет семидесятилетняя Вера Васильевна, не желающая покидать места, где жили Есенин, Маяковский, Булгаков... Фильм первый — «Старый дом», второй — «Наследство».</t>
        </is>
      </c>
      <c r="L2569" s="2" t="inlineStr">
        <is>
          <t>Кино_СССР сводный каталог.xlsx: список телефильмов</t>
        </is>
      </c>
      <c r="M2569" s="2">
        <f>HYPERLINK("https://ru.wikipedia.org/w/index.php?search=%D0%90%D1%80%D0%B1%D0%B0%D1%82%D1%81%D0%BA%D0%B8%D0%B9%20%D0%BC%D0%BE%D1%82%D0%B8%D0%B2%201990%20%D1%84%D0%B8%D0%BB%D1%8C%D0%BC","искать")</f>
        <v/>
      </c>
      <c r="N2569" s="3" t="n"/>
      <c r="O2569" s="2" t="n"/>
    </row>
    <row r="2570">
      <c r="A2570" s="2" t="n">
        <v>2569</v>
      </c>
      <c r="B2570" s="2" t="inlineStr">
        <is>
          <t>короткая</t>
        </is>
      </c>
      <c r="C2570" s="2" t="n">
        <v>7514</v>
      </c>
      <c r="D2570" s="3" t="inlineStr">
        <is>
          <t>Дикий пляж</t>
        </is>
      </c>
      <c r="E2570" s="2" t="n">
        <v>1990</v>
      </c>
      <c r="F2570" s="2" t="inlineStr">
        <is>
          <t>телефильм</t>
        </is>
      </c>
      <c r="G2570" s="2" t="n"/>
      <c r="H2570" s="2" t="n">
        <v>257</v>
      </c>
      <c r="I2570" s="2" t="inlineStr"/>
      <c r="J2570" s="2" t="inlineStr"/>
      <c r="K2570" s="3" t="inlineStr">
        <is>
          <t>По рассказу Виталия Москаленко. На пустынном пляже собирается компания молодых мужчин. Один из них приводит свою подругу. Очень скоро обычный пикник превращается в пьяную оргию с насилием. Друг девушки, страдая от беспомощности, кончает жизнь самоубийством.</t>
        </is>
      </c>
      <c r="L2570" s="2" t="inlineStr">
        <is>
          <t>Кино_СССР сводный каталог.xlsx: список телефильмов</t>
        </is>
      </c>
      <c r="M2570" s="2">
        <f>HYPERLINK("https://ru.wikipedia.org/w/index.php?search=%D0%94%D0%B8%D0%BA%D0%B8%D0%B9%20%D0%BF%D0%BB%D1%8F%D0%B6%201990%20%D1%84%D0%B8%D0%BB%D1%8C%D0%BC","искать")</f>
        <v/>
      </c>
      <c r="N2570" s="3" t="n"/>
      <c r="O2570" s="2" t="n"/>
    </row>
    <row r="2571">
      <c r="A2571" s="2" t="n">
        <v>2570</v>
      </c>
      <c r="B2571" s="2" t="inlineStr">
        <is>
          <t>короткая</t>
        </is>
      </c>
      <c r="C2571" s="2" t="n">
        <v>8209</v>
      </c>
      <c r="D2571" s="3" t="inlineStr">
        <is>
          <t>Приключения принца Флоризеля</t>
        </is>
      </c>
      <c r="E2571" s="2" t="n">
        <v>1979</v>
      </c>
      <c r="F2571" s="2" t="inlineStr">
        <is>
          <t>телефильм</t>
        </is>
      </c>
      <c r="G2571" s="2" t="inlineStr">
        <is>
          <t>Ленфильм</t>
        </is>
      </c>
      <c r="H2571" s="2" t="n">
        <v>257</v>
      </c>
      <c r="I2571" s="2" t="inlineStr"/>
      <c r="J2571" s="2" t="inlineStr"/>
      <c r="K2571" s="3" t="inlineStr">
        <is>
          <t>Пародия на авантюрно-приключенческий жанр. По мотивам циклов рассказов "Клуб самоубийц" и "Алмаз раджи" Р.-Л. Стивенсона. Жизнь так скучна порой, что развлечением становится даже спасение бедного художника, пожелавшего расстаться с миром, бросившись в реку.</t>
        </is>
      </c>
      <c r="L2571" s="2" t="inlineStr">
        <is>
          <t>Кино_СССР сводный каталог.xlsx: список телефильмов</t>
        </is>
      </c>
      <c r="M2571" s="2">
        <f>HYPERLINK("https://ru.wikipedia.org/w/index.php?search=%D0%9F%D1%80%D0%B8%D0%BA%D0%BB%D1%8E%D1%87%D0%B5%D0%BD%D0%B8%D1%8F%20%D0%BF%D1%80%D0%B8%D0%BD%D1%86%D0%B0%20%D0%A4%D0%BB%D0%BE%D1%80%D0%B8%D0%B7%D0%B5%D0%BB%D1%8F%201979%20%D1%84%D0%B8%D0%BB%D1%8C%D0%BC","искать")</f>
        <v/>
      </c>
      <c r="N2571" s="3" t="n"/>
      <c r="O2571" s="2" t="n"/>
    </row>
    <row r="2572">
      <c r="A2572" s="2" t="n">
        <v>2571</v>
      </c>
      <c r="B2572" s="2" t="inlineStr">
        <is>
          <t>короткая</t>
        </is>
      </c>
      <c r="C2572" s="2" t="n">
        <v>9520</v>
      </c>
      <c r="D2572" s="3" t="inlineStr">
        <is>
          <t>Одинокий голос человека</t>
        </is>
      </c>
      <c r="E2572" s="2" t="n">
        <v>1978</v>
      </c>
      <c r="F2572" s="2" t="inlineStr">
        <is>
          <t>кинофильм</t>
        </is>
      </c>
      <c r="G2572" s="2" t="n"/>
      <c r="H2572" s="2" t="n">
        <v>257</v>
      </c>
      <c r="I2572" s="2" t="inlineStr"/>
      <c r="J2572" s="2" t="inlineStr"/>
      <c r="K2572" s="3" t="inlineStr">
        <is>
          <t>"Одинокий голос человека" - первый игровой фильм Александра Сокурова ("Телец", "Молох", "Дни затмения") по мотивам повести Андрея Платонова "Река Потудань". История любви красноармейца Никиты, вернувшегося с гражданской войны, и Любы, студентки "из бывших".</t>
        </is>
      </c>
      <c r="L2572" s="2" t="inlineStr">
        <is>
          <t>Кино_СССР сводный каталог.xlsx: список фильмов (доп.)</t>
        </is>
      </c>
      <c r="M2572" s="2">
        <f>HYPERLINK("https://ru.wikipedia.org/w/index.php?search=%D0%9E%D0%B4%D0%B8%D0%BD%D0%BE%D0%BA%D0%B8%D0%B9%20%D0%B3%D0%BE%D0%BB%D0%BE%D1%81%20%D1%87%D0%B5%D0%BB%D0%BE%D0%B2%D0%B5%D0%BA%D0%B0%201978%20%D1%84%D0%B8%D0%BB%D1%8C%D0%BC","искать")</f>
        <v/>
      </c>
      <c r="N2572" s="3" t="n"/>
      <c r="O2572" s="2" t="n"/>
    </row>
    <row r="2573">
      <c r="A2573" s="2" t="n">
        <v>2572</v>
      </c>
      <c r="B2573" s="2" t="inlineStr">
        <is>
          <t>короткая</t>
        </is>
      </c>
      <c r="C2573" s="2" t="n">
        <v>11367</v>
      </c>
      <c r="D2573" s="3" t="inlineStr">
        <is>
          <t>Голубые города</t>
        </is>
      </c>
      <c r="E2573" s="2" t="n">
        <v>1985</v>
      </c>
      <c r="F2573" s="2" t="inlineStr">
        <is>
          <t>не игровое</t>
        </is>
      </c>
      <c r="G2573" s="2" t="n"/>
      <c r="H2573" s="2" t="n">
        <v>257</v>
      </c>
      <c r="I2573" s="2" t="inlineStr"/>
      <c r="J2573" s="2" t="inlineStr"/>
      <c r="K2573" s="3" t="inlineStr">
        <is>
          <t>Фильм-концерт. В фильме прозвучали песни и мелодии из кинофильмов композитора А.П.Петрова. На стихи поэтов: Б.Ахмадулиной, Ю.Друниной, М.Цветаевой, Ю.Берга, Е.Евтушенко, Л.Куклина, А.Масленникова, Г.Поженяна, Э.Рязанова, К.Рыжова, С.Фогельсона, Г.Шпаликова.</t>
        </is>
      </c>
      <c r="L2573" s="2" t="inlineStr">
        <is>
          <t>Кино_СССР телефильмы и пропуски включить в базу.xlsx</t>
        </is>
      </c>
      <c r="M2573" s="2">
        <f>HYPERLINK("https://ru.wikipedia.org/w/index.php?search=%D0%93%D0%BE%D0%BB%D1%83%D0%B1%D1%8B%D0%B5%20%D0%B3%D0%BE%D1%80%D0%BE%D0%B4%D0%B0%201985%20%D1%84%D0%B8%D0%BB%D1%8C%D0%BC","искать")</f>
        <v/>
      </c>
      <c r="N2573" s="3" t="n"/>
      <c r="O2573" s="2" t="n"/>
    </row>
    <row r="2574">
      <c r="A2574" s="2" t="n">
        <v>2573</v>
      </c>
      <c r="B2574" s="2" t="inlineStr">
        <is>
          <t>короткая</t>
        </is>
      </c>
      <c r="C2574" s="2" t="n">
        <v>8849</v>
      </c>
      <c r="D2574" s="3" t="inlineStr">
        <is>
          <t>Мрачная долина</t>
        </is>
      </c>
      <c r="E2574" s="2" t="n">
        <v>1934</v>
      </c>
      <c r="F2574" s="2" t="inlineStr">
        <is>
          <t>кинофильм</t>
        </is>
      </c>
      <c r="G2574" s="2" t="n"/>
      <c r="H2574" s="2" t="n">
        <v>258</v>
      </c>
      <c r="I2574" s="2" t="inlineStr"/>
      <c r="J2574" s="2" t="inlineStr"/>
      <c r="K2574" s="3" t="inlineStr">
        <is>
          <t>Для борьбы с малярией власти решили построить водопровод в центре так называемого Хмурого поля, прозванного владениями Царевны-Лягушки. Чтобы помешать строительству, кулак Парма заводит двоих рабочих, Кавтара и Гвади, в болото и оставляет их там на погибель.</t>
        </is>
      </c>
      <c r="L2574" s="2" t="inlineStr">
        <is>
          <t>Кино_СССР сводный каталог.xlsx: список фильмов (доп.)</t>
        </is>
      </c>
      <c r="M2574" s="2">
        <f>HYPERLINK("https://ru.wikipedia.org/w/index.php?search=%D0%9C%D1%80%D0%B0%D1%87%D0%BD%D0%B0%D1%8F%20%D0%B4%D0%BE%D0%BB%D0%B8%D0%BD%D0%B0%201934%20%D1%84%D0%B8%D0%BB%D1%8C%D0%BC","искать")</f>
        <v/>
      </c>
      <c r="N2574" s="3" t="n"/>
      <c r="O2574" s="2" t="n"/>
    </row>
    <row r="2575">
      <c r="A2575" s="2" t="n">
        <v>2574</v>
      </c>
      <c r="B2575" s="2" t="inlineStr">
        <is>
          <t>короткая</t>
        </is>
      </c>
      <c r="C2575" s="2" t="n">
        <v>8989</v>
      </c>
      <c r="D2575" s="3" t="inlineStr">
        <is>
          <t>Прости нас, Господи!</t>
        </is>
      </c>
      <c r="E2575" s="2" t="n">
        <v>1989</v>
      </c>
      <c r="F2575" s="2" t="inlineStr">
        <is>
          <t>кинофильм</t>
        </is>
      </c>
      <c r="G2575" s="2" t="n"/>
      <c r="H2575" s="2" t="n">
        <v>258</v>
      </c>
      <c r="I2575" s="2" t="inlineStr"/>
      <c r="J2575" s="2" t="inlineStr"/>
      <c r="K2575" s="3" t="inlineStr">
        <is>
          <t>Фильм создан по мотивам повести шведского писателя П.Лагерквиста "Палач". Это антифашистская аллегория о Вечном Зле. Действие происходит в какой-то северной стране. Крестьяне,сидящие в корчме, рассказывают страшные истории из своей жизни о встрече с Палачом.</t>
        </is>
      </c>
      <c r="L2575" s="2" t="inlineStr">
        <is>
          <t>Кино_СССР сводный каталог.xlsx: список фильмов (доп.)</t>
        </is>
      </c>
      <c r="M2575" s="2">
        <f>HYPERLINK("https://ru.wikipedia.org/w/index.php?search=%D0%9F%D1%80%D0%BE%D1%81%D1%82%D0%B8%20%D0%BD%D0%B0%D1%81%2C%20%D0%93%D0%BE%D1%81%D0%BF%D0%BE%D0%B4%D0%B8%21%201989%20%D1%84%D0%B8%D0%BB%D1%8C%D0%BC","искать")</f>
        <v/>
      </c>
      <c r="N2575" s="3" t="n"/>
      <c r="O2575" s="2" t="n"/>
    </row>
    <row r="2576">
      <c r="A2576" s="2" t="n">
        <v>2575</v>
      </c>
      <c r="B2576" s="2" t="inlineStr">
        <is>
          <t>короткая</t>
        </is>
      </c>
      <c r="C2576" s="2" t="n">
        <v>7685</v>
      </c>
      <c r="D2576" s="3" t="inlineStr">
        <is>
          <t>Инспектор Лосев</t>
        </is>
      </c>
      <c r="E2576" s="2" t="n">
        <v>1982</v>
      </c>
      <c r="F2576" s="2" t="inlineStr">
        <is>
          <t>телефильм</t>
        </is>
      </c>
      <c r="G2576" s="2" t="n"/>
      <c r="H2576" s="2" t="n">
        <v>259</v>
      </c>
      <c r="I2576" s="2" t="inlineStr"/>
      <c r="J2576" s="2" t="inlineStr"/>
      <c r="K2576" s="3" t="inlineStr">
        <is>
          <t>Телесериал по одноимённой книге писателя Аркадия Адамова. Сериал рассказывает о том, как сотрудники милиции, расследуя дело о грабежах и убийствах в гостиницах сумели не только обезвредить, но и разоблачить крупных расхитителей социалистической собственности.</t>
        </is>
      </c>
      <c r="L2576" s="2" t="inlineStr">
        <is>
          <t>Кино_СССР сводный каталог.xlsx: список телефильмов</t>
        </is>
      </c>
      <c r="M2576" s="2">
        <f>HYPERLINK("https://ru.wikipedia.org/w/index.php?search=%D0%98%D0%BD%D1%81%D0%BF%D0%B5%D0%BA%D1%82%D0%BE%D1%80%20%D0%9B%D0%BE%D1%81%D0%B5%D0%B2%201982%20%D1%84%D0%B8%D0%BB%D1%8C%D0%BC","искать")</f>
        <v/>
      </c>
      <c r="N2576" s="3" t="n"/>
      <c r="O2576" s="2" t="n"/>
    </row>
    <row r="2577">
      <c r="A2577" s="2" t="n">
        <v>2576</v>
      </c>
      <c r="B2577" s="2" t="inlineStr">
        <is>
          <t>короткая</t>
        </is>
      </c>
      <c r="C2577" s="2" t="n">
        <v>9098</v>
      </c>
      <c r="D2577" s="3" t="inlineStr">
        <is>
          <t>Тёплая мозаика ретро и чуть-чуть</t>
        </is>
      </c>
      <c r="E2577" s="2" t="n">
        <v>1990</v>
      </c>
      <c r="F2577" s="2" t="inlineStr">
        <is>
          <t>кинофильм</t>
        </is>
      </c>
      <c r="G2577" s="2" t="n"/>
      <c r="H2577" s="2" t="n">
        <v>259</v>
      </c>
      <c r="I2577" s="2" t="inlineStr"/>
      <c r="J2577" s="2" t="inlineStr"/>
      <c r="K2577" s="3" t="inlineStr">
        <is>
          <t>В центре фильма — два персонажа: один одержим любовью к искусству, другой стремится взять от жизни все, что можно. Претендующий на высокое осмысление трудной и в общем-то никчемной жизни каждого в отдельности, сюжет распадается на две сентиментальные истории.</t>
        </is>
      </c>
      <c r="L2577" s="2" t="inlineStr">
        <is>
          <t>Кино_СССР сводный каталог.xlsx: список фильмов (доп.)</t>
        </is>
      </c>
      <c r="M2577" s="2">
        <f>HYPERLINK("https://ru.wikipedia.org/w/index.php?search=%D0%A2%D1%91%D0%BF%D0%BB%D0%B0%D1%8F%20%D0%BC%D0%BE%D0%B7%D0%B0%D0%B8%D0%BA%D0%B0%20%D1%80%D0%B5%D1%82%D1%80%D0%BE%20%D0%B8%20%D1%87%D1%83%D1%82%D1%8C-%D1%87%D1%83%D1%82%D1%8C%201990%20%D1%84%D0%B8%D0%BB%D1%8C%D0%BC","искать")</f>
        <v/>
      </c>
      <c r="N2577" s="3" t="n"/>
      <c r="O2577" s="2" t="n"/>
    </row>
    <row r="2578">
      <c r="A2578" s="2" t="n">
        <v>2577</v>
      </c>
      <c r="B2578" s="2" t="inlineStr">
        <is>
          <t>короткая</t>
        </is>
      </c>
      <c r="C2578" s="2" t="n">
        <v>9637</v>
      </c>
      <c r="D2578" s="3" t="inlineStr">
        <is>
          <t>Семейные фотографии</t>
        </is>
      </c>
      <c r="E2578" s="2" t="n">
        <v>1989</v>
      </c>
      <c r="F2578" s="2" t="inlineStr">
        <is>
          <t>кинофильм</t>
        </is>
      </c>
      <c r="G2578" s="2" t="n"/>
      <c r="H2578" s="2" t="n">
        <v>259</v>
      </c>
      <c r="I2578" s="2" t="inlineStr"/>
      <c r="J2578" s="2" t="inlineStr"/>
      <c r="K2578" s="3" t="inlineStr">
        <is>
          <t>Действие фильма происходит в провинциальном эстонском городке. Десятиклассник Калле готовится к последним школьным экзаменам. Герой часто посещает ресторан, где работает его мать: ему нравится следить за посетителями и мечтать самой красивой девушке в городе.</t>
        </is>
      </c>
      <c r="L2578" s="2" t="inlineStr">
        <is>
          <t>Кино_СССР сводный каталог.xlsx: список фильмов (доп.)</t>
        </is>
      </c>
      <c r="M2578" s="2">
        <f>HYPERLINK("https://ru.wikipedia.org/w/index.php?search=%D0%A1%D0%B5%D0%BC%D0%B5%D0%B9%D0%BD%D1%8B%D0%B5%20%D1%84%D0%BE%D1%82%D0%BE%D0%B3%D1%80%D0%B0%D1%84%D0%B8%D0%B8%201989%20%D1%84%D0%B8%D0%BB%D1%8C%D0%BC","искать")</f>
        <v/>
      </c>
      <c r="N2578" s="3" t="n"/>
      <c r="O2578" s="2" t="n"/>
    </row>
    <row r="2579">
      <c r="A2579" s="2" t="n">
        <v>2578</v>
      </c>
      <c r="B2579" s="2" t="inlineStr">
        <is>
          <t>короткая</t>
        </is>
      </c>
      <c r="C2579" s="2" t="n">
        <v>7278</v>
      </c>
      <c r="D2579" s="3" t="inlineStr">
        <is>
          <t>Будь здоров, дорогой!</t>
        </is>
      </c>
      <c r="E2579" s="2" t="n">
        <v>1981</v>
      </c>
      <c r="F2579" s="2" t="inlineStr">
        <is>
          <t>телефильм</t>
        </is>
      </c>
      <c r="G2579" s="2" t="inlineStr">
        <is>
          <t>Грузия-фильм</t>
        </is>
      </c>
      <c r="H2579" s="2" t="n">
        <v>260</v>
      </c>
      <c r="I2579" s="2" t="inlineStr"/>
      <c r="J2579" s="2" t="inlineStr"/>
      <c r="K2579" s="3" t="inlineStr">
        <is>
          <t>იცოცხლე, გენაცვალე! Телефильм состоит из 4-х новелл: * «Ужин» * «Секрет» * «Командировка» * «Моцарт» Четыре новеллы, объединенные общей темой доброты и внимания к окружающим людям, рассказывают о приключениях двух пожилых, но не потерявших вкус к жизни грузин.</t>
        </is>
      </c>
      <c r="L2579" s="2" t="inlineStr">
        <is>
          <t>Кино_СССР сводный каталог.xlsx: список телефильмов</t>
        </is>
      </c>
      <c r="M2579" s="2">
        <f>HYPERLINK("https://ru.wikipedia.org/w/index.php?search=%D0%91%D1%83%D0%B4%D1%8C%20%D0%B7%D0%B4%D0%BE%D1%80%D0%BE%D0%B2%2C%20%D0%B4%D0%BE%D1%80%D0%BE%D0%B3%D0%BE%D0%B9%21%201981%20%D1%84%D0%B8%D0%BB%D1%8C%D0%BC","искать")</f>
        <v/>
      </c>
      <c r="N2579" s="3" t="n"/>
      <c r="O2579" s="2" t="n"/>
    </row>
    <row r="2580">
      <c r="A2580" s="2" t="n">
        <v>2579</v>
      </c>
      <c r="B2580" s="2" t="inlineStr">
        <is>
          <t>короткая</t>
        </is>
      </c>
      <c r="C2580" s="2" t="n">
        <v>9122</v>
      </c>
      <c r="D2580" s="3" t="inlineStr">
        <is>
          <t>Удачная охота</t>
        </is>
      </c>
      <c r="E2580" s="2" t="n">
        <v>1983</v>
      </c>
      <c r="F2580" s="2" t="inlineStr">
        <is>
          <t>кинофильм</t>
        </is>
      </c>
      <c r="G2580" s="2" t="n"/>
      <c r="H2580" s="2" t="n">
        <v>260</v>
      </c>
      <c r="I2580" s="2" t="inlineStr"/>
      <c r="J2580" s="2" t="inlineStr"/>
      <c r="K2580" s="3" t="inlineStr">
        <is>
          <t>Два заядлых охотника, работающих в одной организации, периодически встречаются в лесу на охоте. Каждый раз у одного из них – то ружьё дорогое появится, то автомобиль "Нива". На вопрос коллеги "Откуда такое богатство?", тот отвечает: "На сберкнижку откладывал".</t>
        </is>
      </c>
      <c r="L2580" s="2" t="inlineStr">
        <is>
          <t>Кино_СССР сводный каталог.xlsx: список фильмов (доп.)</t>
        </is>
      </c>
      <c r="M2580" s="2">
        <f>HYPERLINK("https://ru.wikipedia.org/w/index.php?search=%D0%A3%D0%B4%D0%B0%D1%87%D0%BD%D0%B0%D1%8F%20%D0%BE%D1%85%D0%BE%D1%82%D0%B0%201983%20%D1%84%D0%B8%D0%BB%D1%8C%D0%BC","искать")</f>
        <v/>
      </c>
      <c r="N2580" s="3" t="n"/>
      <c r="O2580" s="2" t="n"/>
    </row>
    <row r="2581">
      <c r="A2581" s="2" t="n">
        <v>2580</v>
      </c>
      <c r="B2581" s="2" t="inlineStr">
        <is>
          <t>короткая</t>
        </is>
      </c>
      <c r="C2581" s="2" t="n">
        <v>9598</v>
      </c>
      <c r="D2581" s="3" t="inlineStr">
        <is>
          <t>Прометей</t>
        </is>
      </c>
      <c r="E2581" s="2" t="n">
        <v>1936</v>
      </c>
      <c r="F2581" s="2" t="inlineStr">
        <is>
          <t>кинофильм</t>
        </is>
      </c>
      <c r="G2581" s="2" t="n"/>
      <c r="H2581" s="2" t="n">
        <v>260</v>
      </c>
      <c r="I2581" s="2" t="inlineStr"/>
      <c r="J2581" s="2" t="inlineStr"/>
      <c r="K2581" s="3" t="inlineStr">
        <is>
          <t>Крепостного парня Ивася пан сдаёт на Кавказ в солдаты, а его невесту отправляет в публичный дом. Под влиянием революционера Гаврилова, разжалованного в солдаты, герой становится сознательным борцом и, вернувшись в родное село, поднимает крестьянское восстание.</t>
        </is>
      </c>
      <c r="L2581" s="2" t="inlineStr">
        <is>
          <t>Кино_СССР сводный каталог.xlsx: список фильмов (доп.)</t>
        </is>
      </c>
      <c r="M2581" s="2">
        <f>HYPERLINK("https://ru.wikipedia.org/w/index.php?search=%D0%9F%D1%80%D0%BE%D0%BC%D0%B5%D1%82%D0%B5%D0%B9%201936%20%D1%84%D0%B8%D0%BB%D1%8C%D0%BC","искать")</f>
        <v/>
      </c>
      <c r="N2581" s="3" t="n"/>
      <c r="O2581" s="2" t="n"/>
    </row>
    <row r="2582">
      <c r="A2582" s="2" t="n">
        <v>2581</v>
      </c>
      <c r="B2582" s="2" t="inlineStr">
        <is>
          <t>короткая</t>
        </is>
      </c>
      <c r="C2582" s="2" t="n">
        <v>9707</v>
      </c>
      <c r="D2582" s="3" t="inlineStr">
        <is>
          <t>Узник замка Иф</t>
        </is>
      </c>
      <c r="E2582" s="2" t="n">
        <v>1988</v>
      </c>
      <c r="F2582" s="2" t="inlineStr">
        <is>
          <t>кинофильм</t>
        </is>
      </c>
      <c r="G2582" s="2" t="n"/>
      <c r="H2582" s="2" t="n">
        <v>260</v>
      </c>
      <c r="I2582" s="2" t="inlineStr"/>
      <c r="J2582" s="2" t="inlineStr"/>
      <c r="K2582" s="3" t="inlineStr">
        <is>
          <t>Приключенческий фильм в трех частях: "Аббат Фариа", "Граф Монте-Кристо" и "Аз воздам" - по мотивам романа Александра Дюма-отца "Граф Монте-Кристо". В самый канун свадьбы с любимой девушкой Эдмон Дантес по ложному обвинению становится узником мрачного замка Иф.</t>
        </is>
      </c>
      <c r="L2582" s="2" t="inlineStr">
        <is>
          <t>Кино_СССР сводный каталог.xlsx: список фильмов (доп.)</t>
        </is>
      </c>
      <c r="M2582" s="2">
        <f>HYPERLINK("https://ru.wikipedia.org/w/index.php?search=%D0%A3%D0%B7%D0%BD%D0%B8%D0%BA%20%D0%B7%D0%B0%D0%BC%D0%BA%D0%B0%20%D0%98%D1%84%201988%20%D1%84%D0%B8%D0%BB%D1%8C%D0%BC","искать")</f>
        <v/>
      </c>
      <c r="N2582" s="3" t="n"/>
      <c r="O2582" s="2" t="n"/>
    </row>
    <row r="2583">
      <c r="A2583" s="2" t="n">
        <v>2582</v>
      </c>
      <c r="B2583" s="2" t="inlineStr">
        <is>
          <t>короткая</t>
        </is>
      </c>
      <c r="C2583" s="2" t="n">
        <v>10383</v>
      </c>
      <c r="D2583" s="3" t="inlineStr">
        <is>
          <t>Вкус хлеба</t>
        </is>
      </c>
      <c r="E2583" s="2" t="n">
        <v>1971</v>
      </c>
      <c r="F2583" s="2" t="inlineStr">
        <is>
          <t>фильм-спектакль</t>
        </is>
      </c>
      <c r="G2583" s="2" t="inlineStr">
        <is>
          <t>Центральное телевидение</t>
        </is>
      </c>
      <c r="H2583" s="2" t="n">
        <v>260</v>
      </c>
      <c r="I2583" s="2" t="inlineStr"/>
      <c r="J2583" s="2" t="inlineStr"/>
      <c r="K2583" s="3" t="inlineStr">
        <is>
          <t>По мотивам повести Элигия Ставского "Домой".
Действие происходит в первый послевоенный год. Двое ленинградских подростков, переживших блокаду, отправляются на Украину за хлебом. Во время этого путешествия им довелось понять цену человеческой доброты и доверия.</t>
        </is>
      </c>
      <c r="L2583" s="2" t="inlineStr">
        <is>
          <t>https://www.kino-teatr.ru/teatr/movie/93039/annot/</t>
        </is>
      </c>
      <c r="M2583" s="2">
        <f>HYPERLINK("https://ru.wikipedia.org/w/index.php?search=%D0%92%D0%BA%D1%83%D1%81%20%D1%85%D0%BB%D0%B5%D0%B1%D0%B0%201971%20%D1%84%D0%B8%D0%BB%D1%8C%D0%BC","искать")</f>
        <v/>
      </c>
      <c r="N2583" s="3" t="n"/>
      <c r="O2583" s="2" t="n"/>
    </row>
    <row r="2584">
      <c r="A2584" s="2" t="n">
        <v>2583</v>
      </c>
      <c r="B2584" s="2" t="inlineStr">
        <is>
          <t>короткая</t>
        </is>
      </c>
      <c r="C2584" s="2" t="n">
        <v>7277</v>
      </c>
      <c r="D2584" s="3" t="inlineStr">
        <is>
          <t>Будни и праздники Серафимы Глюкиной</t>
        </is>
      </c>
      <c r="E2584" s="2" t="n">
        <v>1988</v>
      </c>
      <c r="F2584" s="2" t="inlineStr">
        <is>
          <t>телефильм</t>
        </is>
      </c>
      <c r="G2584" s="2" t="n"/>
      <c r="H2584" s="2" t="n">
        <v>261</v>
      </c>
      <c r="I2584" s="2" t="inlineStr"/>
      <c r="J2584" s="2" t="inlineStr"/>
      <c r="K2584" s="3" t="inlineStr">
        <is>
          <t>Серафима Глюкина - добрая, интеллигентная и очень гордая женщина. Ее отец подарил городу ценнейшую коллекцию музыкальных инструментов, а она ютится в коммунальной квартире. И в тот момент, когда героиня меньше всего этого ждала, к ней приходит настоящая любовь.</t>
        </is>
      </c>
      <c r="L2584" s="2" t="inlineStr">
        <is>
          <t>Кино_СССР сводный каталог.xlsx: список телефильмов</t>
        </is>
      </c>
      <c r="M2584" s="2">
        <f>HYPERLINK("https://ru.wikipedia.org/w/index.php?search=%D0%91%D1%83%D0%B4%D0%BD%D0%B8%20%D0%B8%20%D0%BF%D1%80%D0%B0%D0%B7%D0%B4%D0%BD%D0%B8%D0%BA%D0%B8%20%D0%A1%D0%B5%D1%80%D0%B0%D1%84%D0%B8%D0%BC%D1%8B%20%D0%93%D0%BB%D1%8E%D0%BA%D0%B8%D0%BD%D0%BE%D0%B9%201988%20%D1%84%D0%B8%D0%BB%D1%8C%D0%BC","искать")</f>
        <v/>
      </c>
      <c r="N2584" s="3" t="n"/>
      <c r="O2584" s="2" t="n"/>
    </row>
    <row r="2585">
      <c r="A2585" s="2" t="n">
        <v>2584</v>
      </c>
      <c r="B2585" s="2" t="inlineStr">
        <is>
          <t>короткая</t>
        </is>
      </c>
      <c r="C2585" s="2" t="n">
        <v>7922</v>
      </c>
      <c r="D2585" s="3" t="inlineStr">
        <is>
          <t>Мы, нижеподписавшиеся</t>
        </is>
      </c>
      <c r="E2585" s="2" t="n">
        <v>1981</v>
      </c>
      <c r="F2585" s="2" t="inlineStr">
        <is>
          <t>телефильм</t>
        </is>
      </c>
      <c r="G2585" s="2" t="n"/>
      <c r="H2585" s="2" t="n">
        <v>261</v>
      </c>
      <c r="I2585" s="2" t="inlineStr"/>
      <c r="J2585" s="2" t="inlineStr"/>
      <c r="K2585" s="3" t="inlineStr">
        <is>
          <t>Телефильм. По пьесе Александра Гельмана. События происходят в поезде. Приемочная комиссия, выявив недоделки в построенном хлебозаводе и не подписав акт его сдачи, возвращается в областной центр Елино. Леня Шиндин всеми силами пытается изменить решение комиссии.</t>
        </is>
      </c>
      <c r="L2585" s="2" t="inlineStr">
        <is>
          <t>Кино_СССР сводный каталог.xlsx: список телефильмов</t>
        </is>
      </c>
      <c r="M2585" s="2">
        <f>HYPERLINK("https://ru.wikipedia.org/w/index.php?search=%D0%9C%D1%8B%2C%20%D0%BD%D0%B8%D0%B6%D0%B5%D0%BF%D0%BE%D0%B4%D0%BF%D0%B8%D1%81%D0%B0%D0%B2%D1%88%D0%B8%D0%B5%D1%81%D1%8F%201981%20%D1%84%D0%B8%D0%BB%D1%8C%D0%BC","искать")</f>
        <v/>
      </c>
      <c r="N2585" s="3" t="n"/>
      <c r="O2585" s="2" t="n"/>
    </row>
    <row r="2586">
      <c r="A2586" s="2" t="n">
        <v>2585</v>
      </c>
      <c r="B2586" s="2" t="inlineStr">
        <is>
          <t>короткая</t>
        </is>
      </c>
      <c r="C2586" s="2" t="n">
        <v>8565</v>
      </c>
      <c r="D2586" s="3" t="inlineStr">
        <is>
          <t>Что такое Ералаш?</t>
        </is>
      </c>
      <c r="E2586" s="2" t="n">
        <v>1986</v>
      </c>
      <c r="F2586" s="2" t="inlineStr">
        <is>
          <t>телефильм</t>
        </is>
      </c>
      <c r="G2586" s="2" t="n"/>
      <c r="H2586" s="2" t="n">
        <v>261</v>
      </c>
      <c r="I2586" s="2" t="inlineStr"/>
      <c r="J2586" s="2" t="inlineStr"/>
      <c r="K2586" s="3" t="inlineStr">
        <is>
          <t>Музыкально-телевизионный фильм-представление, посвященный десятилетнему юбилею детского киножурнала "Ералаш". С участием ансамбля "Бим-бом", детского хореографического ансамбля "Школьные годы", эстрадного театра кукол "Марионетки" Дворца культуры "Буревестник".</t>
        </is>
      </c>
      <c r="L2586" s="2" t="inlineStr">
        <is>
          <t>Кино_СССР сводный каталог.xlsx: список телефильмов</t>
        </is>
      </c>
      <c r="M2586" s="2">
        <f>HYPERLINK("https://ru.wikipedia.org/w/index.php?search=%D0%A7%D1%82%D0%BE%20%D1%82%D0%B0%D0%BA%D0%BE%D0%B5%20%D0%95%D1%80%D0%B0%D0%BB%D0%B0%D1%88%3F%201986%20%D1%84%D0%B8%D0%BB%D1%8C%D0%BC","искать")</f>
        <v/>
      </c>
      <c r="N2586" s="3" t="n"/>
      <c r="O2586" s="2" t="n"/>
    </row>
    <row r="2587">
      <c r="A2587" s="2" t="n">
        <v>2586</v>
      </c>
      <c r="B2587" s="2" t="inlineStr">
        <is>
          <t>короткая</t>
        </is>
      </c>
      <c r="C2587" s="2" t="n">
        <v>8654</v>
      </c>
      <c r="D2587" s="3" t="inlineStr">
        <is>
          <t>Взбесившийся автобус</t>
        </is>
      </c>
      <c r="E2587" s="2" t="n">
        <v>1990</v>
      </c>
      <c r="F2587" s="2" t="inlineStr">
        <is>
          <t>кинофильм</t>
        </is>
      </c>
      <c r="G2587" s="2" t="inlineStr">
        <is>
          <t>Киностудия им. М. Горького; Экспериментальное творческое объединение «Ладья»; КТК «Бенефис»</t>
        </is>
      </c>
      <c r="H2587" s="2" t="n">
        <v>261</v>
      </c>
      <c r="I2587" s="2" t="inlineStr"/>
      <c r="J2587" s="2" t="inlineStr"/>
      <c r="K2587" s="3" t="inlineStr">
        <is>
          <t>В основе фильма - подлинные события декабря 1988 года, когда в Орджоникидзе (Северный Кавказ) был захвачен автобус с детьми. Школьники вместе с учительницей оказались заложниками преступников, требовавших крупную сумму валюты и возможность вылететь за границу..</t>
        </is>
      </c>
      <c r="L2587" s="2" t="inlineStr">
        <is>
          <t>Кино_СССР сводный каталог.xlsx: список фильмов (доп.)</t>
        </is>
      </c>
      <c r="M2587" s="2">
        <f>HYPERLINK("https://ru.wikipedia.org/w/index.php?search=%D0%92%D0%B7%D0%B1%D0%B5%D1%81%D0%B8%D0%B2%D1%88%D0%B8%D0%B9%D1%81%D1%8F%20%D0%B0%D0%B2%D1%82%D0%BE%D0%B1%D1%83%D1%81%201990%20%D1%84%D0%B8%D0%BB%D1%8C%D0%BC","искать")</f>
        <v/>
      </c>
      <c r="N2587" s="3" t="n"/>
      <c r="O2587" s="2" t="n"/>
    </row>
    <row r="2588">
      <c r="A2588" s="2" t="n">
        <v>2587</v>
      </c>
      <c r="B2588" s="2" t="inlineStr">
        <is>
          <t>короткая</t>
        </is>
      </c>
      <c r="C2588" s="2" t="n">
        <v>9554</v>
      </c>
      <c r="D2588" s="3" t="inlineStr">
        <is>
          <t>По прозвищу Зверь</t>
        </is>
      </c>
      <c r="E2588" s="2" t="n">
        <v>1990</v>
      </c>
      <c r="F2588" s="2" t="inlineStr">
        <is>
          <t>кинофильм</t>
        </is>
      </c>
      <c r="G2588" s="2" t="n"/>
      <c r="H2588" s="2" t="n">
        <v>261</v>
      </c>
      <c r="I2588" s="2" t="inlineStr"/>
      <c r="J2588" s="2" t="inlineStr"/>
      <c r="K2588" s="3" t="inlineStr">
        <is>
          <t>Фильм поставлен по ставшей бестселлером книге Виктора Доценко. Вернувшийся из Афганистана Савелий Говорков вступает в противоборство с мафией. Но парня подставили, и он попадает в тюрьму. Бежав из заключения, Говорков разоблачает главарей мафиозной группировки.</t>
        </is>
      </c>
      <c r="L2588" s="2" t="inlineStr">
        <is>
          <t>Кино_СССР сводный каталог.xlsx: список фильмов (доп.)</t>
        </is>
      </c>
      <c r="M2588" s="2">
        <f>HYPERLINK("https://ru.wikipedia.org/w/index.php?search=%D0%9F%D0%BE%20%D0%BF%D1%80%D0%BE%D0%B7%D0%B2%D0%B8%D1%89%D1%83%20%D0%97%D0%B2%D0%B5%D1%80%D1%8C%201990%20%D1%84%D0%B8%D0%BB%D1%8C%D0%BC","искать")</f>
        <v/>
      </c>
      <c r="N2588" s="3" t="n"/>
      <c r="O2588" s="2" t="n"/>
    </row>
    <row r="2589">
      <c r="A2589" s="2" t="n">
        <v>2588</v>
      </c>
      <c r="B2589" s="2" t="inlineStr">
        <is>
          <t>короткая</t>
        </is>
      </c>
      <c r="C2589" s="2" t="n">
        <v>11142</v>
      </c>
      <c r="D2589" s="3" t="inlineStr">
        <is>
          <t>Большевики</t>
        </is>
      </c>
      <c r="E2589" s="2" t="n">
        <v>1987</v>
      </c>
      <c r="F2589" s="2" t="inlineStr">
        <is>
          <t>фильм-спектакль</t>
        </is>
      </c>
      <c r="G2589" s="2" t="inlineStr">
        <is>
          <t>Главная редакция литературно-драматических программ ЦТ</t>
        </is>
      </c>
      <c r="H2589" s="2" t="n">
        <v>261</v>
      </c>
      <c r="I2589" s="2" t="inlineStr"/>
      <c r="J2589" s="2" t="inlineStr"/>
      <c r="K2589" s="3" t="inlineStr">
        <is>
          <t>По одноименной пьесе Михаила Шатрова.
Действие спектакля происходит 30 августа 1918 года во время заседания Совнаркома в день, когда было совершено покушение на жизнь Ленина. Большевики должны решить, является ли террор допустимым средством борьбы за революцию.</t>
        </is>
      </c>
      <c r="L2589" s="2" t="inlineStr">
        <is>
          <t>https://www.kino-teatr.ru/teatr/movie/603/annot/</t>
        </is>
      </c>
      <c r="M2589" s="2">
        <f>HYPERLINK("https://ru.wikipedia.org/w/index.php?search=%D0%91%D0%BE%D0%BB%D1%8C%D1%88%D0%B5%D0%B2%D0%B8%D0%BA%D0%B8%201987%20%D1%84%D0%B8%D0%BB%D1%8C%D0%BC","искать")</f>
        <v/>
      </c>
      <c r="N2589" s="3" t="n"/>
      <c r="O2589" s="2" t="n"/>
    </row>
    <row r="2590">
      <c r="A2590" s="2" t="n">
        <v>2589</v>
      </c>
      <c r="B2590" s="2" t="inlineStr">
        <is>
          <t>короткая</t>
        </is>
      </c>
      <c r="C2590" s="2" t="n">
        <v>8745</v>
      </c>
      <c r="D2590" s="3" t="inlineStr">
        <is>
          <t>Избранник</t>
        </is>
      </c>
      <c r="E2590" s="2" t="n">
        <v>1991</v>
      </c>
      <c r="F2590" s="2" t="inlineStr">
        <is>
          <t>кинофильм</t>
        </is>
      </c>
      <c r="G2590" s="2" t="n"/>
      <c r="H2590" s="2" t="n">
        <v>262</v>
      </c>
      <c r="I2590" s="2" t="inlineStr"/>
      <c r="J2590" s="2" t="inlineStr"/>
      <c r="K2590" s="3" t="inlineStr">
        <is>
          <t>რჩეული По роману Проспера Мериме "Maтео Фальконе". Сюжет Мериме перенесен на грузинскую почву во времена Гражданской войны. 1921 год. В мире и спокойствии живет с женой и сыном крестьянин Джуна. Уравновешенную жизнь крестьян нарушает приход в село Красной Армии.</t>
        </is>
      </c>
      <c r="L2590" s="2" t="inlineStr">
        <is>
          <t>Кино_СССР сводный каталог.xlsx: список фильмов (доп.)</t>
        </is>
      </c>
      <c r="M2590" s="2">
        <f>HYPERLINK("https://ru.wikipedia.org/w/index.php?search=%D0%98%D0%B7%D0%B1%D1%80%D0%B0%D0%BD%D0%BD%D0%B8%D0%BA%201991%20%D1%84%D0%B8%D0%BB%D1%8C%D0%BC","искать")</f>
        <v/>
      </c>
      <c r="N2590" s="3" t="n"/>
      <c r="O2590" s="2" t="n"/>
    </row>
    <row r="2591">
      <c r="A2591" s="2" t="n">
        <v>2590</v>
      </c>
      <c r="B2591" s="2" t="inlineStr">
        <is>
          <t>короткая</t>
        </is>
      </c>
      <c r="C2591" s="2" t="n">
        <v>9101</v>
      </c>
      <c r="D2591" s="3" t="inlineStr">
        <is>
          <t>Тихая невестка</t>
        </is>
      </c>
      <c r="E2591" s="2" t="n">
        <v>1967</v>
      </c>
      <c r="F2591" s="2" t="inlineStr">
        <is>
          <t>кинофильм</t>
        </is>
      </c>
      <c r="G2591" s="2" t="n"/>
      <c r="H2591" s="2" t="n">
        <v>262</v>
      </c>
      <c r="I2591" s="2" t="inlineStr"/>
      <c r="J2591" s="2" t="inlineStr"/>
      <c r="K2591" s="3" t="inlineStr">
        <is>
          <t>По одноименной повести Н.Джулаева Городская девушка-туркменка приехала в колхоз, чтобы выйти замуж за своего парня. Жених предложил уехать назад в город, чтобы не делать свадьбу по строгим туркменским обычаям. Девушка отказалась, чтобы понравиться матери жениха.</t>
        </is>
      </c>
      <c r="L2591" s="2" t="inlineStr">
        <is>
          <t>Кино_СССР сводный каталог.xlsx: список фильмов (доп.)</t>
        </is>
      </c>
      <c r="M2591" s="2">
        <f>HYPERLINK("https://ru.wikipedia.org/w/index.php?search=%D0%A2%D0%B8%D1%85%D0%B0%D1%8F%20%D0%BD%D0%B5%D0%B2%D0%B5%D1%81%D1%82%D0%BA%D0%B0%201967%20%D1%84%D0%B8%D0%BB%D1%8C%D0%BC","искать")</f>
        <v/>
      </c>
      <c r="N2591" s="3" t="n"/>
      <c r="O2591" s="2" t="n"/>
    </row>
    <row r="2592">
      <c r="A2592" s="2" t="n">
        <v>2591</v>
      </c>
      <c r="B2592" s="2" t="inlineStr">
        <is>
          <t>короткая</t>
        </is>
      </c>
      <c r="C2592" s="2" t="n">
        <v>7189</v>
      </c>
      <c r="D2592" s="3" t="inlineStr">
        <is>
          <t>Август</t>
        </is>
      </c>
      <c r="E2592" s="2" t="n">
        <v>1978</v>
      </c>
      <c r="F2592" s="2" t="inlineStr">
        <is>
          <t>телефильм</t>
        </is>
      </c>
      <c r="G2592" s="2" t="n"/>
      <c r="H2592" s="2" t="n">
        <v>263</v>
      </c>
      <c r="I2592" s="2" t="inlineStr"/>
      <c r="J2592" s="2" t="inlineStr"/>
      <c r="K2592" s="3" t="inlineStr">
        <is>
          <t>По мотивам новелл Г.Матевосяна "На станции", "Алхо", "Начало", "Август". Герой фильма, выпускник университета, вернувшись домой, в горное село, приходит к пониманию, что простое человеческое счастье заключено в таких простых понятиях, как родной дом, родное село.</t>
        </is>
      </c>
      <c r="L2592" s="2" t="inlineStr">
        <is>
          <t>Кино_СССР сводный каталог.xlsx: список телефильмов</t>
        </is>
      </c>
      <c r="M2592" s="2">
        <f>HYPERLINK("https://ru.wikipedia.org/w/index.php?search=%D0%90%D0%B2%D0%B3%D1%83%D1%81%D1%82%201978%20%D1%84%D0%B8%D0%BB%D1%8C%D0%BC","искать")</f>
        <v/>
      </c>
      <c r="N2592" s="3" t="n"/>
      <c r="O2592" s="2" t="n"/>
    </row>
    <row r="2593">
      <c r="A2593" s="2" t="n">
        <v>2592</v>
      </c>
      <c r="B2593" s="2" t="inlineStr">
        <is>
          <t>короткая</t>
        </is>
      </c>
      <c r="C2593" s="2" t="n">
        <v>8142</v>
      </c>
      <c r="D2593" s="3" t="inlineStr">
        <is>
          <t>Подснежники</t>
        </is>
      </c>
      <c r="E2593" s="2" t="n">
        <v>1974</v>
      </c>
      <c r="F2593" s="2" t="inlineStr">
        <is>
          <t>телефильм</t>
        </is>
      </c>
      <c r="G2593" s="2" t="n"/>
      <c r="H2593" s="2" t="n">
        <v>263</v>
      </c>
      <c r="I2593" s="2" t="inlineStr"/>
      <c r="J2593" s="2" t="inlineStr"/>
      <c r="K2593" s="3" t="inlineStr">
        <is>
          <t>Телефильм. Группа школьников, решив поздравить своих мам с праздником 8-го марта, отправляются в горы за подснежниками. В пути их ожидают различные приключения, им приходится преодолевать немало трудностей. Но несмотря на это, ребята возвращаются домой с цветами.</t>
        </is>
      </c>
      <c r="L2593" s="2" t="inlineStr">
        <is>
          <t>Кино_СССР сводный каталог.xlsx: список телефильмов</t>
        </is>
      </c>
      <c r="M2593" s="2">
        <f>HYPERLINK("https://ru.wikipedia.org/w/index.php?search=%D0%9F%D0%BE%D0%B4%D1%81%D0%BD%D0%B5%D0%B6%D0%BD%D0%B8%D0%BA%D0%B8%201974%20%D1%84%D0%B8%D0%BB%D1%8C%D0%BC","искать")</f>
        <v/>
      </c>
      <c r="N2593" s="3" t="n"/>
      <c r="O2593" s="2" t="n"/>
    </row>
    <row r="2594">
      <c r="A2594" s="2" t="n">
        <v>2593</v>
      </c>
      <c r="B2594" s="2" t="inlineStr">
        <is>
          <t>короткая</t>
        </is>
      </c>
      <c r="C2594" s="2" t="n">
        <v>9731</v>
      </c>
      <c r="D2594" s="3" t="inlineStr">
        <is>
          <t>Хатабала</t>
        </is>
      </c>
      <c r="E2594" s="2" t="n">
        <v>1971</v>
      </c>
      <c r="F2594" s="2" t="inlineStr">
        <is>
          <t>кинофильм</t>
        </is>
      </c>
      <c r="G2594" s="2" t="n"/>
      <c r="H2594" s="2" t="n">
        <v>263</v>
      </c>
      <c r="I2594" s="2" t="inlineStr"/>
      <c r="J2594" s="2" t="inlineStr"/>
      <c r="K2594" s="3" t="inlineStr">
        <is>
          <t>По пьесе Габриэла Сундукяна. По-армянски "хатабала" - переполох, кутерьма, недоразумение, путаница. Все это начинается в доме богатого ереванского купца с приездом молодого человека из Петербурга, за которого хозяин хочет выдать свою засидевшуюся в невестах дочь.</t>
        </is>
      </c>
      <c r="L2594" s="2" t="inlineStr">
        <is>
          <t>Кино_СССР сводный каталог.xlsx: список фильмов (доп.)</t>
        </is>
      </c>
      <c r="M2594" s="2">
        <f>HYPERLINK("https://ru.wikipedia.org/w/index.php?search=%D0%A5%D0%B0%D1%82%D0%B0%D0%B1%D0%B0%D0%BB%D0%B0%201971%20%D1%84%D0%B8%D0%BB%D1%8C%D0%BC","искать")</f>
        <v/>
      </c>
      <c r="N2594" s="3" t="n"/>
      <c r="O2594" s="2" t="n"/>
    </row>
    <row r="2595">
      <c r="A2595" s="2" t="n">
        <v>2594</v>
      </c>
      <c r="B2595" s="2" t="inlineStr">
        <is>
          <t>короткая</t>
        </is>
      </c>
      <c r="C2595" s="2" t="n">
        <v>7537</v>
      </c>
      <c r="D2595" s="3" t="inlineStr">
        <is>
          <t>Дом на дюнах</t>
        </is>
      </c>
      <c r="E2595" s="2" t="n">
        <v>1984</v>
      </c>
      <c r="F2595" s="2" t="inlineStr">
        <is>
          <t>телефильм</t>
        </is>
      </c>
      <c r="G2595" s="2" t="n"/>
      <c r="H2595" s="2" t="n">
        <v>264</v>
      </c>
      <c r="I2595" s="2" t="inlineStr"/>
      <c r="J2595" s="2" t="inlineStr"/>
      <c r="K2595" s="3" t="inlineStr">
        <is>
          <t>Телефильм по одноименной повести Роберта Стивенсона. Уединенный дом на дюнах, стоящий на краю болотистой пустоши, привлекает внимание каких-то странных людей, похожих на разбойников. Обитатели дома и гости живут как в осаде. Какая же тайна связана с хозяином дома?</t>
        </is>
      </c>
      <c r="L2595" s="2" t="inlineStr">
        <is>
          <t>Кино_СССР сводный каталог.xlsx: список телефильмов</t>
        </is>
      </c>
      <c r="M2595" s="2">
        <f>HYPERLINK("https://ru.wikipedia.org/w/index.php?search=%D0%94%D0%BE%D0%BC%20%D0%BD%D0%B0%20%D0%B4%D1%8E%D0%BD%D0%B0%D1%85%201984%20%D1%84%D0%B8%D0%BB%D1%8C%D0%BC","искать")</f>
        <v/>
      </c>
      <c r="N2595" s="3" t="n"/>
      <c r="O2595" s="2" t="n"/>
    </row>
    <row r="2596">
      <c r="A2596" s="2" t="n">
        <v>2595</v>
      </c>
      <c r="B2596" s="2" t="inlineStr">
        <is>
          <t>короткая</t>
        </is>
      </c>
      <c r="C2596" s="2" t="n">
        <v>8741</v>
      </c>
      <c r="D2596" s="3" t="inlineStr">
        <is>
          <t>И чёрт с нами</t>
        </is>
      </c>
      <c r="E2596" s="2" t="n">
        <v>1991</v>
      </c>
      <c r="F2596" s="2" t="inlineStr">
        <is>
          <t>кинофильм</t>
        </is>
      </c>
      <c r="G2596" s="2" t="n"/>
      <c r="H2596" s="2" t="n">
        <v>264</v>
      </c>
      <c r="I2596" s="2" t="inlineStr"/>
      <c r="J2596" s="2" t="inlineStr"/>
      <c r="K2596" s="3" t="inlineStr">
        <is>
          <t>Сталин и Берия узнали о том, что такое анабиоз. Изобретателю был отдан большевистский приказ внедрить открытие в жизнь, в результате чего в 1990 году в южном приморском городке появляется в самый разгар праздника смеха сам Иосиф Виссарионович собственной персоной.</t>
        </is>
      </c>
      <c r="L2596" s="2" t="inlineStr">
        <is>
          <t>Кино_СССР сводный каталог.xlsx: список фильмов (доп.)</t>
        </is>
      </c>
      <c r="M2596" s="2">
        <f>HYPERLINK("https://ru.wikipedia.org/w/index.php?search=%D0%98%20%D1%87%D1%91%D1%80%D1%82%20%D1%81%20%D0%BD%D0%B0%D0%BC%D0%B8%201991%20%D1%84%D0%B8%D0%BB%D1%8C%D0%BC","искать")</f>
        <v/>
      </c>
      <c r="N2596" s="3" t="n"/>
      <c r="O2596" s="2" t="n"/>
    </row>
    <row r="2597">
      <c r="A2597" s="2" t="n">
        <v>2596</v>
      </c>
      <c r="B2597" s="2" t="inlineStr">
        <is>
          <t>короткая</t>
        </is>
      </c>
      <c r="C2597" s="2" t="n">
        <v>9140</v>
      </c>
      <c r="D2597" s="3" t="inlineStr">
        <is>
          <t>Формула памяти</t>
        </is>
      </c>
      <c r="E2597" s="2" t="n">
        <v>1982</v>
      </c>
      <c r="F2597" s="2" t="inlineStr">
        <is>
          <t>кинофильм</t>
        </is>
      </c>
      <c r="G2597" s="2" t="n"/>
      <c r="H2597" s="2" t="n">
        <v>264</v>
      </c>
      <c r="I2597" s="2" t="inlineStr"/>
      <c r="J2597" s="2" t="inlineStr"/>
      <c r="K2597" s="3" t="inlineStr">
        <is>
          <t>По мотивам одноименного романа Бориса Никольского. Под руководством академика Архипова ведутся исследования в области памяти. Ему, как и многим другим мыслящим людям, небезразлично, в каких целях могут быть использованы научные открытия и насколько они современны.</t>
        </is>
      </c>
      <c r="L2597" s="2" t="inlineStr">
        <is>
          <t>Кино_СССР сводный каталог.xlsx: список фильмов (доп.)</t>
        </is>
      </c>
      <c r="M2597" s="2">
        <f>HYPERLINK("https://ru.wikipedia.org/w/index.php?search=%D0%A4%D0%BE%D1%80%D0%BC%D1%83%D0%BB%D0%B0%20%D0%BF%D0%B0%D0%BC%D1%8F%D1%82%D0%B8%201982%20%D1%84%D0%B8%D0%BB%D1%8C%D0%BC","искать")</f>
        <v/>
      </c>
      <c r="N2597" s="3" t="n"/>
      <c r="O2597" s="2" t="n"/>
    </row>
    <row r="2598">
      <c r="A2598" s="2" t="n">
        <v>2597</v>
      </c>
      <c r="B2598" s="2" t="inlineStr">
        <is>
          <t>короткая</t>
        </is>
      </c>
      <c r="C2598" s="2" t="n">
        <v>7469</v>
      </c>
      <c r="D2598" s="3" t="inlineStr">
        <is>
          <t>Д'Артаньян и три мушкетёра</t>
        </is>
      </c>
      <c r="E2598" s="2" t="n">
        <v>1979</v>
      </c>
      <c r="F2598" s="2" t="inlineStr">
        <is>
          <t>телефильм</t>
        </is>
      </c>
      <c r="G2598" s="2" t="inlineStr">
        <is>
          <t>Одесская к/с</t>
        </is>
      </c>
      <c r="H2598" s="2" t="n">
        <v>265</v>
      </c>
      <c r="I2598" s="2" t="inlineStr"/>
      <c r="J2598" s="2" t="inlineStr"/>
      <c r="K2598" s="3" t="inlineStr">
        <is>
          <t>Музыкальный фильм, снятый по одному из самых знаменитых приключенческих романов Александра Дюма. Четверо друзей - мушкетеров спасают честь королевы Франции, вступают в единоборство со всесильным кардиналом Ришелье и коварной миледи, а главное - наслаждаются жизнью.</t>
        </is>
      </c>
      <c r="L2598" s="2" t="inlineStr">
        <is>
          <t>Кино_СССР сводный каталог.xlsx: список телефильмов</t>
        </is>
      </c>
      <c r="M2598" s="2">
        <f>HYPERLINK("https://ru.wikipedia.org/w/index.php?search=%D0%94%27%D0%90%D1%80%D1%82%D0%B0%D0%BD%D1%8C%D1%8F%D0%BD%20%D0%B8%20%D1%82%D1%80%D0%B8%20%D0%BC%D1%83%D1%88%D0%BA%D0%B5%D1%82%D1%91%D1%80%D0%B0%201979%20%D1%84%D0%B8%D0%BB%D1%8C%D0%BC","искать")</f>
        <v/>
      </c>
      <c r="N2598" s="3" t="n"/>
      <c r="O2598" s="2" t="n"/>
    </row>
    <row r="2599">
      <c r="A2599" s="2" t="n">
        <v>2598</v>
      </c>
      <c r="B2599" s="2" t="inlineStr">
        <is>
          <t>короткая</t>
        </is>
      </c>
      <c r="C2599" s="2" t="n">
        <v>7680</v>
      </c>
      <c r="D2599" s="3" t="inlineStr">
        <is>
          <t>Из жития Остапа Вишни</t>
        </is>
      </c>
      <c r="E2599" s="2" t="n">
        <v>1991</v>
      </c>
      <c r="F2599" s="2" t="inlineStr">
        <is>
          <t>телефильм</t>
        </is>
      </c>
      <c r="G2599" s="2" t="n"/>
      <c r="H2599" s="2" t="n">
        <v>265</v>
      </c>
      <c r="I2599" s="2" t="inlineStr"/>
      <c r="J2599" s="2" t="inlineStr"/>
      <c r="K2599" s="3" t="inlineStr">
        <is>
          <t>Биграфическая картина о наиболее драматическом периоде жизни известного украинского писателя Остапа Вишни, который в тридцатые годы был репрессирован и сослан в Сибирь. Верная жена и помощница Варвара Маслюченко разделила его участь и последовала за мужем в ссылку.</t>
        </is>
      </c>
      <c r="L2599" s="2" t="inlineStr">
        <is>
          <t>Кино_СССР сводный каталог.xlsx: список телефильмов</t>
        </is>
      </c>
      <c r="M2599" s="2">
        <f>HYPERLINK("https://ru.wikipedia.org/w/index.php?search=%D0%98%D0%B7%20%D0%B6%D0%B8%D1%82%D0%B8%D1%8F%20%D0%9E%D1%81%D1%82%D0%B0%D0%BF%D0%B0%20%D0%92%D0%B8%D1%88%D0%BD%D0%B8%201991%20%D1%84%D0%B8%D0%BB%D1%8C%D0%BC","искать")</f>
        <v/>
      </c>
      <c r="N2599" s="3" t="n"/>
      <c r="O2599" s="2" t="n"/>
    </row>
    <row r="2600">
      <c r="A2600" s="2" t="n">
        <v>2599</v>
      </c>
      <c r="B2600" s="2" t="inlineStr">
        <is>
          <t>короткая</t>
        </is>
      </c>
      <c r="C2600" s="2" t="n">
        <v>8389</v>
      </c>
      <c r="D2600" s="3" t="inlineStr">
        <is>
          <t>Спасибо за нелётную погоду</t>
        </is>
      </c>
      <c r="E2600" s="2" t="n">
        <v>1981</v>
      </c>
      <c r="F2600" s="2" t="inlineStr">
        <is>
          <t>телефильм</t>
        </is>
      </c>
      <c r="G2600" s="2" t="n"/>
      <c r="H2600" s="2" t="n">
        <v>265</v>
      </c>
      <c r="I2600" s="2" t="inlineStr"/>
      <c r="J2600" s="2" t="inlineStr"/>
      <c r="K2600" s="3" t="inlineStr">
        <is>
          <t>Аэродром. Люди уезжают, приезжают, или сидят и ждут, если вылет задерживается из-за нелетной погоды. Диктор объявляет, что все скоро смогут улететь и гастроли артистов не задержатся. А пока, до вылета, все, что остается артистам - это петь для тех, кто ждет вылета.</t>
        </is>
      </c>
      <c r="L2600" s="2" t="inlineStr">
        <is>
          <t>Кино_СССР сводный каталог.xlsx: список телефильмов</t>
        </is>
      </c>
      <c r="M2600" s="2">
        <f>HYPERLINK("https://ru.wikipedia.org/w/index.php?search=%D0%A1%D0%BF%D0%B0%D1%81%D0%B8%D0%B1%D0%BE%20%D0%B7%D0%B0%20%D0%BD%D0%B5%D0%BB%D1%91%D1%82%D0%BD%D1%83%D1%8E%20%D0%BF%D0%BE%D0%B3%D0%BE%D0%B4%D1%83%201981%20%D1%84%D0%B8%D0%BB%D1%8C%D0%BC","искать")</f>
        <v/>
      </c>
      <c r="N2600" s="3" t="n"/>
      <c r="O2600" s="2" t="n"/>
    </row>
    <row r="2601">
      <c r="A2601" s="2" t="n">
        <v>2600</v>
      </c>
      <c r="B2601" s="2" t="inlineStr">
        <is>
          <t>короткая</t>
        </is>
      </c>
      <c r="C2601" s="2" t="n">
        <v>8744</v>
      </c>
      <c r="D2601" s="3" t="inlineStr">
        <is>
          <t>Игра с огнем</t>
        </is>
      </c>
      <c r="E2601" s="2" t="n">
        <v>1990</v>
      </c>
      <c r="F2601" s="2" t="inlineStr">
        <is>
          <t>кинофильм</t>
        </is>
      </c>
      <c r="G2601" s="2" t="n"/>
      <c r="H2601" s="2" t="n">
        <v>265</v>
      </c>
      <c r="I2601" s="2" t="inlineStr"/>
      <c r="J2601" s="2" t="inlineStr"/>
      <c r="K2601" s="3" t="inlineStr">
        <is>
          <t>Молодая женщина выбрала очень трудную работу, и стала инспектором в колонии трудновоспитуемых детей. Она подружилась с одним ребенком и старается, чтобы мальчик не втягивался в черный мир. Но реальность суровей и беспощадней. Она в этой борьбе за мальчика погибает.</t>
        </is>
      </c>
      <c r="L2601" s="2" t="inlineStr">
        <is>
          <t>Кино_СССР сводный каталог.xlsx: список фильмов (доп.)</t>
        </is>
      </c>
      <c r="M2601" s="2">
        <f>HYPERLINK("https://ru.wikipedia.org/w/index.php?search=%D0%98%D0%B3%D1%80%D0%B0%20%D1%81%20%D0%BE%D0%B3%D0%BD%D0%B5%D0%BC%201990%20%D1%84%D0%B8%D0%BB%D1%8C%D0%BC","искать")</f>
        <v/>
      </c>
      <c r="N2601" s="3" t="n"/>
      <c r="O2601" s="2" t="n"/>
    </row>
    <row r="2602">
      <c r="A2602" s="2" t="n">
        <v>2601</v>
      </c>
      <c r="B2602" s="2" t="inlineStr">
        <is>
          <t>короткая</t>
        </is>
      </c>
      <c r="C2602" s="2" t="n">
        <v>8772</v>
      </c>
      <c r="D2602" s="3" t="inlineStr">
        <is>
          <t>Контакт</t>
        </is>
      </c>
      <c r="E2602" s="2" t="n">
        <v>1989</v>
      </c>
      <c r="F2602" s="2" t="inlineStr">
        <is>
          <t>кинофильм</t>
        </is>
      </c>
      <c r="G2602" s="2" t="n"/>
      <c r="H2602" s="2" t="n">
        <v>265</v>
      </c>
      <c r="I2602" s="2" t="inlineStr"/>
      <c r="J2602" s="2" t="inlineStr"/>
      <c r="K2602" s="3" t="inlineStr">
        <is>
          <t>В поисках жилья студент находит объявление о сдаче квартиры за вполне приемлемую плату — и сразу дает согласие женщине, недавно похоронившей сына, соблюдать все ее условия. Юноша въезжает в квартиру и постепенно становится свидетелем непонятных мистических явлений.</t>
        </is>
      </c>
      <c r="L2602" s="2" t="inlineStr">
        <is>
          <t>Кино_СССР сводный каталог.xlsx: список фильмов (доп.)</t>
        </is>
      </c>
      <c r="M2602" s="2">
        <f>HYPERLINK("https://ru.wikipedia.org/w/index.php?search=%D0%9A%D0%BE%D0%BD%D1%82%D0%B0%D0%BA%D1%82%201989%20%D1%84%D0%B8%D0%BB%D1%8C%D0%BC","искать")</f>
        <v/>
      </c>
      <c r="N2602" s="3" t="n"/>
      <c r="O2602" s="2" t="n"/>
    </row>
    <row r="2603">
      <c r="A2603" s="2" t="n">
        <v>2602</v>
      </c>
      <c r="B2603" s="2" t="inlineStr">
        <is>
          <t>короткая</t>
        </is>
      </c>
      <c r="C2603" s="2" t="n">
        <v>9288</v>
      </c>
      <c r="D2603" s="3" t="inlineStr">
        <is>
          <t>Все решает мгновение</t>
        </is>
      </c>
      <c r="E2603" s="2" t="n">
        <v>1979</v>
      </c>
      <c r="F2603" s="2" t="inlineStr">
        <is>
          <t>кинофильм</t>
        </is>
      </c>
      <c r="G2603" s="2" t="n"/>
      <c r="H2603" s="2" t="n">
        <v>265</v>
      </c>
      <c r="I2603" s="2" t="inlineStr"/>
      <c r="J2603" s="2" t="inlineStr"/>
      <c r="K2603" s="3" t="inlineStr">
        <is>
          <t>Широкоформатный фильм. Спортивная драма о советской девушке, пловчихе-самородке (Галина Беляева), устанавливающей с легкостью мировые рекорды на тренировках, но не могущей преодолеть барьер страха выступления на международных соревнованиях при заполненных трибунах.</t>
        </is>
      </c>
      <c r="L2603" s="2" t="inlineStr">
        <is>
          <t>Кино_СССР сводный каталог.xlsx: список фильмов (доп.)</t>
        </is>
      </c>
      <c r="M2603" s="2">
        <f>HYPERLINK("https://ru.wikipedia.org/w/index.php?search=%D0%92%D1%81%D0%B5%20%D1%80%D0%B5%D1%88%D0%B0%D0%B5%D1%82%20%D0%BC%D0%B3%D0%BD%D0%BE%D0%B2%D0%B5%D0%BD%D0%B8%D0%B5%201979%20%D1%84%D0%B8%D0%BB%D1%8C%D0%BC","искать")</f>
        <v/>
      </c>
      <c r="N2603" s="3" t="n"/>
      <c r="O2603" s="2" t="n"/>
    </row>
    <row r="2604">
      <c r="A2604" s="2" t="n">
        <v>2603</v>
      </c>
      <c r="B2604" s="2" t="inlineStr">
        <is>
          <t>короткая</t>
        </is>
      </c>
      <c r="C2604" s="2" t="n">
        <v>9831</v>
      </c>
      <c r="D2604" s="3" t="inlineStr">
        <is>
          <t>Возвращение Одиссея</t>
        </is>
      </c>
      <c r="E2604" s="2" t="n">
        <v>1966</v>
      </c>
      <c r="F2604" s="2" t="inlineStr">
        <is>
          <t>телефильм</t>
        </is>
      </c>
      <c r="G2604" s="2" t="inlineStr">
        <is>
          <t>Мосфильм по заказу ЦТ</t>
        </is>
      </c>
      <c r="H2604" s="2" t="n">
        <v>265</v>
      </c>
      <c r="I2604" s="2" t="inlineStr"/>
      <c r="J2604" s="2" t="inlineStr"/>
      <c r="K2604" s="3" t="inlineStr">
        <is>
          <t>Телефильм по одноименному рассказу Б.Лавренева.
Во время войны девушка из приморского городка спасла раненого советского моряка. Ей удалось переправить его в горы к прартизанам. Между молодыми людьми возникает любовь, которая помогает пройти через многие испытания.</t>
        </is>
      </c>
      <c r="L2604" s="2" t="inlineStr">
        <is>
          <t>https://www.kino-teatr.ru/short/movie/sov/89434/annot/</t>
        </is>
      </c>
      <c r="M2604" s="2">
        <f>HYPERLINK("https://ru.wikipedia.org/w/index.php?search=%D0%92%D0%BE%D0%B7%D0%B2%D1%80%D0%B0%D1%89%D0%B5%D0%BD%D0%B8%D0%B5%20%D0%9E%D0%B4%D0%B8%D1%81%D1%81%D0%B5%D1%8F%201966%20%D1%84%D0%B8%D0%BB%D1%8C%D0%BC","искать")</f>
        <v/>
      </c>
      <c r="N2604" s="3" t="n"/>
      <c r="O2604" s="2" t="n"/>
    </row>
    <row r="2605">
      <c r="A2605" s="2" t="n">
        <v>2604</v>
      </c>
      <c r="B2605" s="2" t="inlineStr">
        <is>
          <t>короткая</t>
        </is>
      </c>
      <c r="C2605" s="2" t="n">
        <v>10938</v>
      </c>
      <c r="D2605" s="3" t="inlineStr">
        <is>
          <t>Долг судного дня</t>
        </is>
      </c>
      <c r="E2605" s="2" t="n">
        <v>1982</v>
      </c>
      <c r="F2605" s="2" t="inlineStr">
        <is>
          <t>фильм-спектакль</t>
        </is>
      </c>
      <c r="G2605" s="2" t="n"/>
      <c r="H2605" s="2" t="n">
        <v>265</v>
      </c>
      <c r="I2605" s="2" t="inlineStr"/>
      <c r="J2605" s="2" t="inlineStr"/>
      <c r="K2605" s="3" t="inlineStr">
        <is>
          <t>Спектакль Узбекского национального академического драматического театра рассказывает о страданиях отца Сулеймана, потерявшего ребенка во время Второй мировой войны.
Спектакль поставлен по произведению узбекского драматурга и писателя Ульмаса Умарбекова (1934-1994).</t>
        </is>
      </c>
      <c r="L2605" s="2" t="inlineStr">
        <is>
          <t>https://www.kino-teatr.ru/teatr/movie/191242/annot/</t>
        </is>
      </c>
      <c r="M2605" s="2">
        <f>HYPERLINK("https://ru.wikipedia.org/w/index.php?search=%D0%94%D0%BE%D0%BB%D0%B3%20%D1%81%D1%83%D0%B4%D0%BD%D0%BE%D0%B3%D0%BE%20%D0%B4%D0%BD%D1%8F%201982%20%D1%84%D0%B8%D0%BB%D1%8C%D0%BC","искать")</f>
        <v/>
      </c>
      <c r="N2605" s="3" t="n"/>
      <c r="O2605" s="2" t="n"/>
    </row>
    <row r="2606">
      <c r="A2606" s="2" t="n">
        <v>2605</v>
      </c>
      <c r="B2606" s="2" t="inlineStr">
        <is>
          <t>короткая</t>
        </is>
      </c>
      <c r="C2606" s="2" t="n">
        <v>7328</v>
      </c>
      <c r="D2606" s="3" t="inlineStr">
        <is>
          <t>Весна двадцать девятого</t>
        </is>
      </c>
      <c r="E2606" s="2" t="n">
        <v>1975</v>
      </c>
      <c r="F2606" s="2" t="inlineStr">
        <is>
          <t>телефильм</t>
        </is>
      </c>
      <c r="G2606" s="2" t="inlineStr">
        <is>
          <t>Одесская к/с</t>
        </is>
      </c>
      <c r="H2606" s="2" t="n">
        <v>266</v>
      </c>
      <c r="I2606" s="2" t="inlineStr"/>
      <c r="J2606" s="2" t="inlineStr"/>
      <c r="K2606" s="3" t="inlineStr">
        <is>
          <t>Телефильм по мотивам пьес Н. Погодина. О строителях первой пятилетки. Герой фильма - директор строительства тракторного завода Григорий Гай, человек неиссякаемой энергии, беззаветно преданный делу, сумевший сплотить коллектив для досрочного завершения строительства.</t>
        </is>
      </c>
      <c r="L2606" s="2" t="inlineStr">
        <is>
          <t>Кино_СССР сводный каталог.xlsx: список телефильмов</t>
        </is>
      </c>
      <c r="M2606" s="2">
        <f>HYPERLINK("https://ru.wikipedia.org/w/index.php?search=%D0%92%D0%B5%D1%81%D0%BD%D0%B0%20%D0%B4%D0%B2%D0%B0%D0%B4%D1%86%D0%B0%D1%82%D1%8C%20%D0%B4%D0%B5%D0%B2%D1%8F%D1%82%D0%BE%D0%B3%D0%BE%201975%20%D1%84%D0%B8%D0%BB%D1%8C%D0%BC","искать")</f>
        <v/>
      </c>
      <c r="N2606" s="3" t="n"/>
      <c r="O2606" s="2" t="n"/>
    </row>
    <row r="2607">
      <c r="A2607" s="2" t="n">
        <v>2606</v>
      </c>
      <c r="B2607" s="2" t="inlineStr">
        <is>
          <t>короткая</t>
        </is>
      </c>
      <c r="C2607" s="2" t="n">
        <v>8231</v>
      </c>
      <c r="D2607" s="3" t="inlineStr">
        <is>
          <t>Происшествие в каникулы</t>
        </is>
      </c>
      <c r="E2607" s="2" t="n">
        <v>1981</v>
      </c>
      <c r="F2607" s="2" t="inlineStr">
        <is>
          <t>телефильм</t>
        </is>
      </c>
      <c r="G2607" s="2" t="n"/>
      <c r="H2607" s="2" t="n">
        <v>266</v>
      </c>
      <c r="I2607" s="2" t="inlineStr"/>
      <c r="J2607" s="2" t="inlineStr"/>
      <c r="K2607" s="3" t="inlineStr">
        <is>
          <t>По мотивам рассказов Э.Рауда "Детективнвя история" и "Телепатическая история". К семикласснику Юрнасу, который живет в небольшом поселке, из города на каникулы приезжает его сверстница Кярт. Юрнас и его друзья, желая развлечь Кярт, решают научить ее фотографировать.</t>
        </is>
      </c>
      <c r="L2607" s="2" t="inlineStr">
        <is>
          <t>Кино_СССР сводный каталог.xlsx: список телефильмов</t>
        </is>
      </c>
      <c r="M2607" s="2">
        <f>HYPERLINK("https://ru.wikipedia.org/w/index.php?search=%D0%9F%D1%80%D0%BE%D0%B8%D1%81%D1%88%D0%B5%D1%81%D1%82%D0%B2%D0%B8%D0%B5%20%D0%B2%20%D0%BA%D0%B0%D0%BD%D0%B8%D0%BA%D1%83%D0%BB%D1%8B%201981%20%D1%84%D0%B8%D0%BB%D1%8C%D0%BC","искать")</f>
        <v/>
      </c>
      <c r="N2607" s="3" t="n"/>
      <c r="O2607" s="2" t="n"/>
    </row>
    <row r="2608">
      <c r="A2608" s="2" t="n">
        <v>2607</v>
      </c>
      <c r="B2608" s="2" t="inlineStr">
        <is>
          <t>короткая</t>
        </is>
      </c>
      <c r="C2608" s="2" t="n">
        <v>9145</v>
      </c>
      <c r="D2608" s="3" t="inlineStr">
        <is>
          <t>Хмель</t>
        </is>
      </c>
      <c r="E2608" s="2" t="n">
        <v>1991</v>
      </c>
      <c r="F2608" s="2" t="inlineStr">
        <is>
          <t>кинофильм</t>
        </is>
      </c>
      <c r="G2608" s="2" t="n"/>
      <c r="H2608" s="2" t="n">
        <v>266</v>
      </c>
      <c r="I2608" s="2" t="inlineStr"/>
      <c r="J2608" s="2" t="inlineStr"/>
      <c r="K2608" s="3" t="inlineStr">
        <is>
          <t>Киновариант в одной серии.  Историческая драма по мотивам одноименного романа Алексея Черкасова. На протяжении почти четырех часов фильм рассказывает о жизни староверческой общины. На экране разыгрывается драма необычной жизни, история любви и страстей человеческих.</t>
        </is>
      </c>
      <c r="L2608" s="2" t="inlineStr">
        <is>
          <t>Кино_СССР сводный каталог.xlsx: список фильмов (доп.)</t>
        </is>
      </c>
      <c r="M2608" s="2">
        <f>HYPERLINK("https://ru.wikipedia.org/w/index.php?search=%D0%A5%D0%BC%D0%B5%D0%BB%D1%8C%201991%20%D1%84%D0%B8%D0%BB%D1%8C%D0%BC","искать")</f>
        <v/>
      </c>
      <c r="N2608" s="3" t="n"/>
      <c r="O2608" s="2" t="n"/>
    </row>
    <row r="2609">
      <c r="A2609" s="2" t="n">
        <v>2608</v>
      </c>
      <c r="B2609" s="2" t="inlineStr">
        <is>
          <t>короткая</t>
        </is>
      </c>
      <c r="C2609" s="2" t="n">
        <v>10829</v>
      </c>
      <c r="D2609" s="3" t="inlineStr">
        <is>
          <t>Ярость</t>
        </is>
      </c>
      <c r="E2609" s="2" t="n">
        <v>1979</v>
      </c>
      <c r="F2609" s="2" t="inlineStr">
        <is>
          <t>фильм-спектакль</t>
        </is>
      </c>
      <c r="G2609" s="2" t="inlineStr">
        <is>
          <t>Центральное телевидение</t>
        </is>
      </c>
      <c r="H2609" s="2" t="n">
        <v>266</v>
      </c>
      <c r="I2609" s="2" t="inlineStr"/>
      <c r="J2609" s="2" t="inlineStr"/>
      <c r="K2609" s="3" t="inlineStr">
        <is>
          <t>По мотивам романов Юлия Файбышенко "Розовый куст" и "В медвежьем углу".
Действие происходит в 20-годы ХХ столетия.
О трудовых буднях сотрудников уголовного розыска провинциального города, ведущих непримиримую борьбу с хорошо организованной бандой убийц и грабителей.</t>
        </is>
      </c>
      <c r="L2609" s="2" t="inlineStr">
        <is>
          <t>https://www.kino-teatr.ru/teatr/movie/8224/annot/</t>
        </is>
      </c>
      <c r="M2609" s="2">
        <f>HYPERLINK("https://ru.wikipedia.org/w/index.php?search=%D0%AF%D1%80%D0%BE%D1%81%D1%82%D1%8C%201979%20%D1%84%D0%B8%D0%BB%D1%8C%D0%BC","искать")</f>
        <v/>
      </c>
      <c r="N2609" s="3" t="n"/>
      <c r="O2609" s="2" t="n"/>
    </row>
    <row r="2610">
      <c r="A2610" s="2" t="n">
        <v>2609</v>
      </c>
      <c r="B2610" s="2" t="inlineStr">
        <is>
          <t>короткая</t>
        </is>
      </c>
      <c r="C2610" s="2" t="n">
        <v>11223</v>
      </c>
      <c r="D2610" s="3" t="inlineStr">
        <is>
          <t>Проводим эксперимент</t>
        </is>
      </c>
      <c r="E2610" s="2" t="n">
        <v>1988</v>
      </c>
      <c r="F2610" s="2" t="inlineStr">
        <is>
          <t>фильм-спектакль</t>
        </is>
      </c>
      <c r="G2610" s="2" t="inlineStr">
        <is>
          <t>Главная редакция литературно-драматических программ ЦТ</t>
        </is>
      </c>
      <c r="H2610" s="2" t="n">
        <v>266</v>
      </c>
      <c r="I2610" s="2" t="inlineStr"/>
      <c r="J2610" s="2" t="inlineStr"/>
      <c r="K2610" s="3" t="inlineStr">
        <is>
          <t>По пьесе Валентина Черных и Марка Захарова в постановке Севастопольского русского драматического театра имени А.В. Луначарского.
Сатирическая комедия об эксперименте на заводе, в ходе которого весь дминистративный аппарат был заменен молодыми сотрудниками-дублерами.</t>
        </is>
      </c>
      <c r="L2610" s="2" t="inlineStr">
        <is>
          <t>https://www.kino-teatr.ru/teatr/movie/81730/annot/</t>
        </is>
      </c>
      <c r="M2610" s="2">
        <f>HYPERLINK("https://ru.wikipedia.org/w/index.php?search=%D0%9F%D1%80%D0%BE%D0%B2%D0%BE%D0%B4%D0%B8%D0%BC%20%D1%8D%D0%BA%D1%81%D0%BF%D0%B5%D1%80%D0%B8%D0%BC%D0%B5%D0%BD%D1%82%201988%20%D1%84%D0%B8%D0%BB%D1%8C%D0%BC","искать")</f>
        <v/>
      </c>
      <c r="N2610" s="3" t="n"/>
      <c r="O2610" s="2" t="n"/>
    </row>
    <row r="2611">
      <c r="A2611" s="2" t="n">
        <v>2610</v>
      </c>
      <c r="B2611" s="2" t="inlineStr">
        <is>
          <t>короткая</t>
        </is>
      </c>
      <c r="C2611" s="2" t="n">
        <v>8133</v>
      </c>
      <c r="D2611" s="3" t="inlineStr">
        <is>
          <t>Под куполом цирка</t>
        </is>
      </c>
      <c r="E2611" s="2" t="n">
        <v>1989</v>
      </c>
      <c r="F2611" s="2" t="inlineStr">
        <is>
          <t>телефильм</t>
        </is>
      </c>
      <c r="G2611" s="2" t="n"/>
      <c r="H2611" s="2" t="n">
        <v>267</v>
      </c>
      <c r="I2611" s="2" t="inlineStr"/>
      <c r="J2611" s="2" t="inlineStr"/>
      <c r="K2611" s="3" t="inlineStr">
        <is>
          <t>Телевизионный фильм о выпускниках циркового училища по мотивам оперетты Исаака Дунаевского «Сын клоуна». Любящие друг друга молодые цирковые артисты Ирина и Максим никак не могут соединиться из-за пресловутого «треугольника», который, как выясняется, оказался мнимым.</t>
        </is>
      </c>
      <c r="L2611" s="2" t="inlineStr">
        <is>
          <t>Кино_СССР сводный каталог.xlsx: список телефильмов</t>
        </is>
      </c>
      <c r="M2611" s="2">
        <f>HYPERLINK("https://ru.wikipedia.org/w/index.php?search=%D0%9F%D0%BE%D0%B4%20%D0%BA%D1%83%D0%BF%D0%BE%D0%BB%D0%BE%D0%BC%20%D1%86%D0%B8%D1%80%D0%BA%D0%B0%201989%20%D1%84%D0%B8%D0%BB%D1%8C%D0%BC","искать")</f>
        <v/>
      </c>
      <c r="N2611" s="3" t="n"/>
      <c r="O2611" s="2" t="n"/>
    </row>
    <row r="2612">
      <c r="A2612" s="2" t="n">
        <v>2611</v>
      </c>
      <c r="B2612" s="2" t="inlineStr">
        <is>
          <t>короткая</t>
        </is>
      </c>
      <c r="C2612" s="2" t="n">
        <v>8267</v>
      </c>
      <c r="D2612" s="3" t="inlineStr">
        <is>
          <t>Расставаясь с детством</t>
        </is>
      </c>
      <c r="E2612" s="2" t="n">
        <v>1980</v>
      </c>
      <c r="F2612" s="2" t="inlineStr">
        <is>
          <t>телефильм</t>
        </is>
      </c>
      <c r="G2612" s="2" t="n"/>
      <c r="H2612" s="2" t="n">
        <v>267</v>
      </c>
      <c r="I2612" s="2" t="inlineStr"/>
      <c r="J2612" s="2" t="inlineStr"/>
      <c r="K2612" s="3" t="inlineStr">
        <is>
          <t>Подростки Касым Кабеков и Лиза Страхова активно участвуют в разоблачении жуликов и спекулянтов. Это скрепляет их дружбу, обогащает духовно, закаляет физически, хотя фильм и не ставит целью показать эволюцию возмужания характера подростков, разоблачающих преступников.</t>
        </is>
      </c>
      <c r="L2612" s="2" t="inlineStr">
        <is>
          <t>Кино_СССР сводный каталог.xlsx: список телефильмов</t>
        </is>
      </c>
      <c r="M2612" s="2">
        <f>HYPERLINK("https://ru.wikipedia.org/w/index.php?search=%D0%A0%D0%B0%D1%81%D1%81%D1%82%D0%B0%D0%B2%D0%B0%D1%8F%D1%81%D1%8C%20%D1%81%20%D0%B4%D0%B5%D1%82%D1%81%D1%82%D0%B2%D0%BE%D0%BC%201980%20%D1%84%D0%B8%D0%BB%D1%8C%D0%BC","искать")</f>
        <v/>
      </c>
      <c r="N2612" s="3" t="n"/>
      <c r="O2612" s="2" t="n"/>
    </row>
    <row r="2613">
      <c r="A2613" s="2" t="n">
        <v>2612</v>
      </c>
      <c r="B2613" s="2" t="inlineStr">
        <is>
          <t>короткая</t>
        </is>
      </c>
      <c r="C2613" s="2" t="n">
        <v>8444</v>
      </c>
      <c r="D2613" s="3" t="inlineStr">
        <is>
          <t>ТАСС уполномочен заявить...</t>
        </is>
      </c>
      <c r="E2613" s="2" t="n">
        <v>1984</v>
      </c>
      <c r="F2613" s="2" t="inlineStr">
        <is>
          <t>телефильм</t>
        </is>
      </c>
      <c r="G2613" s="2" t="inlineStr">
        <is>
          <t>к/с им. Горького</t>
        </is>
      </c>
      <c r="H2613" s="2" t="n">
        <v>267</v>
      </c>
      <c r="I2613" s="2" t="inlineStr"/>
      <c r="J2613" s="2" t="inlineStr"/>
      <c r="K2613" s="3" t="inlineStr">
        <is>
          <t>Телесериал. Политический детектив по мотивам повести Ю.Семёнова о деятельности советской контрразведки, пытающейся предотвратить организованный ЦРУ переворот в одной из африканских стран, дружественно настроенной к СССР, и разоблачившей в Москве американского агента.</t>
        </is>
      </c>
      <c r="L2613" s="2" t="inlineStr">
        <is>
          <t>Кино_СССР сводный каталог.xlsx: список телефильмов</t>
        </is>
      </c>
      <c r="M2613" s="2">
        <f>HYPERLINK("https://ru.wikipedia.org/w/index.php?search=%D0%A2%D0%90%D0%A1%D0%A1%20%D1%83%D0%BF%D0%BE%D0%BB%D0%BD%D0%BE%D0%BC%D0%BE%D1%87%D0%B5%D0%BD%20%D0%B7%D0%B0%D1%8F%D0%B2%D0%B8%D1%82%D1%8C...%201984%20%D1%84%D0%B8%D0%BB%D1%8C%D0%BC","искать")</f>
        <v/>
      </c>
      <c r="N2613" s="3" t="n"/>
      <c r="O2613" s="2" t="n"/>
    </row>
    <row r="2614">
      <c r="A2614" s="2" t="n">
        <v>2613</v>
      </c>
      <c r="B2614" s="2" t="inlineStr">
        <is>
          <t>короткая</t>
        </is>
      </c>
      <c r="C2614" s="2" t="n">
        <v>8496</v>
      </c>
      <c r="D2614" s="3" t="inlineStr">
        <is>
          <t>У старой мельницы</t>
        </is>
      </c>
      <c r="E2614" s="2" t="n">
        <v>1972</v>
      </c>
      <c r="F2614" s="2" t="inlineStr">
        <is>
          <t>телефильм</t>
        </is>
      </c>
      <c r="G2614" s="2" t="n"/>
      <c r="H2614" s="2" t="n">
        <v>267</v>
      </c>
      <c r="I2614" s="2" t="inlineStr"/>
      <c r="J2614" s="2" t="inlineStr"/>
      <c r="K2614" s="3" t="inlineStr">
        <is>
          <t>Молодая учительница Асель приезжает работать в сельскую школу и несмотря на трудности, конфликт с директором школы, решает остаться здесь, где когда-то обучал грамоте малых и взрослых ее отец. Он здесь, в селе Кадам, был первым учителем, оставив о себе добрую память.</t>
        </is>
      </c>
      <c r="L2614" s="2" t="inlineStr">
        <is>
          <t>Кино_СССР сводный каталог.xlsx: список телефильмов</t>
        </is>
      </c>
      <c r="M2614" s="2">
        <f>HYPERLINK("https://ru.wikipedia.org/w/index.php?search=%D0%A3%20%D1%81%D1%82%D0%B0%D1%80%D0%BE%D0%B9%20%D0%BC%D0%B5%D0%BB%D1%8C%D0%BD%D0%B8%D1%86%D1%8B%201972%20%D1%84%D0%B8%D0%BB%D1%8C%D0%BC","искать")</f>
        <v/>
      </c>
      <c r="N2614" s="3" t="n"/>
      <c r="O2614" s="2" t="n"/>
    </row>
    <row r="2615">
      <c r="A2615" s="2" t="n">
        <v>2614</v>
      </c>
      <c r="B2615" s="2" t="inlineStr">
        <is>
          <t>короткая</t>
        </is>
      </c>
      <c r="C2615" s="2" t="n">
        <v>9677</v>
      </c>
      <c r="D2615" s="3" t="inlineStr">
        <is>
          <t>Стукач</t>
        </is>
      </c>
      <c r="E2615" s="2" t="n">
        <v>1988</v>
      </c>
      <c r="F2615" s="2" t="inlineStr">
        <is>
          <t>кинофильм</t>
        </is>
      </c>
      <c r="G2615" s="2" t="n"/>
      <c r="H2615" s="2" t="n">
        <v>267</v>
      </c>
      <c r="I2615" s="2" t="inlineStr"/>
      <c r="J2615" s="2" t="inlineStr"/>
      <c r="K2615" s="3" t="inlineStr">
        <is>
          <t>Павел Восковой, первокурсник педагогического института, волей случая попадает в водоворот сложных взаимоотношений между группой студентов (отъявленных хулиганов) и ректором института. Социальная неискушенность и наивность Павла обеспечивают ему печальные последствия.</t>
        </is>
      </c>
      <c r="L2615" s="2" t="inlineStr">
        <is>
          <t>Кино_СССР сводный каталог.xlsx: список фильмов (доп.)</t>
        </is>
      </c>
      <c r="M2615" s="2">
        <f>HYPERLINK("https://ru.wikipedia.org/w/index.php?search=%D0%A1%D1%82%D1%83%D0%BA%D0%B0%D1%87%201988%20%D1%84%D0%B8%D0%BB%D1%8C%D0%BC","искать")</f>
        <v/>
      </c>
      <c r="N2615" s="3" t="n"/>
      <c r="O2615" s="2" t="n"/>
    </row>
    <row r="2616">
      <c r="A2616" s="2" t="n">
        <v>2615</v>
      </c>
      <c r="B2616" s="2" t="inlineStr">
        <is>
          <t>короткая</t>
        </is>
      </c>
      <c r="C2616" s="2" t="n">
        <v>10390</v>
      </c>
      <c r="D2616" s="3" t="inlineStr">
        <is>
          <t>Доктор Айболит</t>
        </is>
      </c>
      <c r="E2616" s="2" t="n">
        <v>1971</v>
      </c>
      <c r="F2616" s="2" t="inlineStr">
        <is>
          <t>фильм-спектакль</t>
        </is>
      </c>
      <c r="G2616" s="2" t="inlineStr">
        <is>
          <t>Экран</t>
        </is>
      </c>
      <c r="H2616" s="2" t="n">
        <v>267</v>
      </c>
      <c r="I2616" s="2" t="inlineStr"/>
      <c r="J2616" s="2" t="inlineStr"/>
      <c r="K2616" s="3" t="inlineStr">
        <is>
          <t>Добрый доктор Айболит с Танечкой и Ванечкой отправляются в Африку лечить обезьянок. Благодарные друзья-животные помогают им спастись от злого Бармалея и разбойников.
Балет по мотивам сказки К.Чуковского. Либретто П.Аболимовой. Балетмейстер-постановщик Николай Холфин.</t>
        </is>
      </c>
      <c r="L2616" s="2" t="inlineStr">
        <is>
          <t>https://www.kino-teatr.ru/teatr/movie/104644/annot/</t>
        </is>
      </c>
      <c r="M2616" s="2">
        <f>HYPERLINK("https://ru.wikipedia.org/w/index.php?search=%D0%94%D0%BE%D0%BA%D1%82%D0%BE%D1%80%20%D0%90%D0%B9%D0%B1%D0%BE%D0%BB%D0%B8%D1%82%201971%20%D1%84%D0%B8%D0%BB%D1%8C%D0%BC","искать")</f>
        <v/>
      </c>
      <c r="N2616" s="3" t="n"/>
      <c r="O2616" s="2" t="n"/>
    </row>
    <row r="2617">
      <c r="A2617" s="2" t="n">
        <v>2616</v>
      </c>
      <c r="B2617" s="2" t="inlineStr">
        <is>
          <t>короткая</t>
        </is>
      </c>
      <c r="C2617" s="2" t="n">
        <v>10525</v>
      </c>
      <c r="D2617" s="3" t="inlineStr">
        <is>
          <t>Ступени</t>
        </is>
      </c>
      <c r="E2617" s="2" t="n">
        <v>1973</v>
      </c>
      <c r="F2617" s="2" t="inlineStr">
        <is>
          <t>фильм-спектакль</t>
        </is>
      </c>
      <c r="G2617" s="2" t="inlineStr">
        <is>
          <t>Главная редакция литературно-драматических программ ЦТ</t>
        </is>
      </c>
      <c r="H2617" s="2" t="n">
        <v>267</v>
      </c>
      <c r="I2617" s="2" t="inlineStr"/>
      <c r="J2617" s="2" t="inlineStr"/>
      <c r="K2617" s="3" t="inlineStr">
        <is>
          <t>По мотивам романа В.Пистоленко "Крылья беркута".
Действие происходит в годы гражданской войны на Урале. Трудно разобраться молодой девушке Наде Корнеевой в происходящих событиях. Пережив много горя, пройдя сквозь испытания, она решает вступить в отряд Красной гвардии</t>
        </is>
      </c>
      <c r="L2617" s="2" t="inlineStr">
        <is>
          <t>https://www.kino-teatr.ru/teatr/movie/108383/annot/</t>
        </is>
      </c>
      <c r="M2617" s="2">
        <f>HYPERLINK("https://ru.wikipedia.org/w/index.php?search=%D0%A1%D1%82%D1%83%D0%BF%D0%B5%D0%BD%D0%B8%201973%20%D1%84%D0%B8%D0%BB%D1%8C%D0%BC","искать")</f>
        <v/>
      </c>
      <c r="N2617" s="3" t="n"/>
      <c r="O2617" s="2" t="n"/>
    </row>
    <row r="2618">
      <c r="A2618" s="2" t="n">
        <v>2617</v>
      </c>
      <c r="B2618" s="2" t="inlineStr">
        <is>
          <t>короткая</t>
        </is>
      </c>
      <c r="C2618" s="2" t="n">
        <v>10991</v>
      </c>
      <c r="D2618" s="3" t="inlineStr">
        <is>
          <t>Золотая рыбка</t>
        </is>
      </c>
      <c r="E2618" s="2" t="n">
        <v>1983</v>
      </c>
      <c r="F2618" s="2" t="inlineStr">
        <is>
          <t>фильм-спектакль</t>
        </is>
      </c>
      <c r="G2618" s="2" t="inlineStr">
        <is>
          <t>Центральное телевидение</t>
        </is>
      </c>
      <c r="H2618" s="2" t="n">
        <v>267</v>
      </c>
      <c r="I2618" s="2" t="inlineStr"/>
      <c r="J2618" s="2" t="inlineStr"/>
      <c r="K2618" s="3" t="inlineStr">
        <is>
          <t>По произведениям Михаила Зощенко, Ильи Ильфа, Михаила Жванецкого, Виктора Славкина, Григория Горина, Натальи Ильиной, Николая Гоголя, Михаила Булгакова.
Действие происходит в гостинице "Золотая рыбка", администрация которой исполняет различные пожелания своих гостей.</t>
        </is>
      </c>
      <c r="L2618" s="2" t="inlineStr">
        <is>
          <t>https://www.kino-teatr.ru/teatr/movie/2533/annot/</t>
        </is>
      </c>
      <c r="M2618" s="2">
        <f>HYPERLINK("https://ru.wikipedia.org/w/index.php?search=%D0%97%D0%BE%D0%BB%D0%BE%D1%82%D0%B0%D1%8F%20%D1%80%D1%8B%D0%B1%D0%BA%D0%B0%201983%20%D1%84%D0%B8%D0%BB%D1%8C%D0%BC","искать")</f>
        <v/>
      </c>
      <c r="N2618" s="3" t="n"/>
      <c r="O2618" s="2" t="n"/>
    </row>
    <row r="2619">
      <c r="A2619" s="2" t="n">
        <v>2618</v>
      </c>
      <c r="B2619" s="2" t="inlineStr">
        <is>
          <t>короткая</t>
        </is>
      </c>
      <c r="C2619" s="2" t="n">
        <v>7413</v>
      </c>
      <c r="D2619" s="3" t="inlineStr">
        <is>
          <t>Вся правда о Колумбе</t>
        </is>
      </c>
      <c r="E2619" s="2" t="n">
        <v>1970</v>
      </c>
      <c r="F2619" s="2" t="inlineStr">
        <is>
          <t>телефильм</t>
        </is>
      </c>
      <c r="G2619" s="2" t="n"/>
      <c r="H2619" s="2" t="n">
        <v>268</v>
      </c>
      <c r="I2619" s="2" t="inlineStr"/>
      <c r="J2619" s="2" t="inlineStr"/>
      <c r="K2619" s="3" t="inlineStr">
        <is>
          <t>Телефильм. Первый фильм из латиноамериканской трилогии Витаутаса Жалакявичюса (затем - "Это сладкое слово - свобода!" и "Кентавры") Фильм о колумбийской революции, о революционерах Пабло и Педро, носителях свободы и жертвах этой свободы, о философии борьбы за свободу.</t>
        </is>
      </c>
      <c r="L2619" s="2" t="inlineStr">
        <is>
          <t>Кино_СССР сводный каталог.xlsx: список телефильмов</t>
        </is>
      </c>
      <c r="M2619" s="2">
        <f>HYPERLINK("https://ru.wikipedia.org/w/index.php?search=%D0%92%D1%81%D1%8F%20%D0%BF%D1%80%D0%B0%D0%B2%D0%B4%D0%B0%20%D0%BE%20%D0%9A%D0%BE%D0%BB%D1%83%D0%BC%D0%B1%D0%B5%201970%20%D1%84%D0%B8%D0%BB%D1%8C%D0%BC","искать")</f>
        <v/>
      </c>
      <c r="N2619" s="3" t="n"/>
      <c r="O2619" s="2" t="n"/>
    </row>
    <row r="2620">
      <c r="A2620" s="2" t="n">
        <v>2619</v>
      </c>
      <c r="B2620" s="2" t="inlineStr">
        <is>
          <t>короткая</t>
        </is>
      </c>
      <c r="C2620" s="2" t="n">
        <v>7434</v>
      </c>
      <c r="D2620" s="3" t="inlineStr">
        <is>
          <t>Где ты был, Одиссей?</t>
        </is>
      </c>
      <c r="E2620" s="2" t="n">
        <v>1978</v>
      </c>
      <c r="F2620" s="2" t="inlineStr">
        <is>
          <t>телефильм</t>
        </is>
      </c>
      <c r="G2620" s="2" t="n"/>
      <c r="H2620" s="2" t="n">
        <v>268</v>
      </c>
      <c r="I2620" s="2" t="inlineStr"/>
      <c r="J2620" s="2" t="inlineStr"/>
      <c r="K2620" s="3" t="inlineStr">
        <is>
          <t>По мотивам повести Алексея Азарова "Дорога к Зевсу". История советского разведчика, мужественно боровшегося против немецких оккупантов в тылу врага в годы Великой Отечественной войны. События фильма начинаются летом 1944 года в Париже и переносятся в Берлин 1945 года.</t>
        </is>
      </c>
      <c r="L2620" s="2" t="inlineStr">
        <is>
          <t>Кино_СССР сводный каталог.xlsx: список телефильмов</t>
        </is>
      </c>
      <c r="M2620" s="2">
        <f>HYPERLINK("https://ru.wikipedia.org/w/index.php?search=%D0%93%D0%B4%D0%B5%20%D1%82%D1%8B%20%D0%B1%D1%8B%D0%BB%2C%20%D0%9E%D0%B4%D0%B8%D1%81%D1%81%D0%B5%D0%B9%3F%201978%20%D1%84%D0%B8%D0%BB%D1%8C%D0%BC","искать")</f>
        <v/>
      </c>
      <c r="N2620" s="3" t="n"/>
      <c r="O2620" s="2" t="n"/>
    </row>
    <row r="2621">
      <c r="A2621" s="2" t="n">
        <v>2620</v>
      </c>
      <c r="B2621" s="2" t="inlineStr">
        <is>
          <t>короткая</t>
        </is>
      </c>
      <c r="C2621" s="2" t="n">
        <v>9487</v>
      </c>
      <c r="D2621" s="3" t="inlineStr">
        <is>
          <t>На помощь, братцы!</t>
        </is>
      </c>
      <c r="E2621" s="2" t="n">
        <v>1988</v>
      </c>
      <c r="F2621" s="2" t="inlineStr">
        <is>
          <t>кинофильм</t>
        </is>
      </c>
      <c r="G2621" s="2" t="n"/>
      <c r="H2621" s="2" t="n">
        <v>268</v>
      </c>
      <c r="I2621" s="2" t="inlineStr"/>
      <c r="J2621" s="2" t="inlineStr"/>
      <c r="K2621" s="3" t="inlineStr">
        <is>
          <t>В некотором царстве, в некотором государстве решили бояре женить старого, давно овдовевшего царя. Выбрал он себе невесту из заморских краев, куда и дороги-то нет, и послал за ней дураков, воеводу и двух братьев, надеясь на то, что не смогут они выполнить этого наказа.</t>
        </is>
      </c>
      <c r="L2621" s="2" t="inlineStr">
        <is>
          <t>Кино_СССР сводный каталог.xlsx: список фильмов (доп.)</t>
        </is>
      </c>
      <c r="M2621" s="2">
        <f>HYPERLINK("https://ru.wikipedia.org/w/index.php?search=%D0%9D%D0%B0%20%D0%BF%D0%BE%D0%BC%D0%BE%D1%89%D1%8C%2C%20%D0%B1%D1%80%D0%B0%D1%82%D1%86%D1%8B%21%201988%20%D1%84%D0%B8%D0%BB%D1%8C%D0%BC","искать")</f>
        <v/>
      </c>
      <c r="N2621" s="3" t="n"/>
      <c r="O2621" s="2" t="n"/>
    </row>
    <row r="2622">
      <c r="A2622" s="2" t="n">
        <v>2621</v>
      </c>
      <c r="B2622" s="2" t="inlineStr">
        <is>
          <t>короткая</t>
        </is>
      </c>
      <c r="C2622" s="2" t="n">
        <v>10394</v>
      </c>
      <c r="D2622" s="3" t="inlineStr">
        <is>
          <t>Заячья школа</t>
        </is>
      </c>
      <c r="E2622" s="2" t="n">
        <v>1971</v>
      </c>
      <c r="F2622" s="2" t="inlineStr">
        <is>
          <t>фильм-спектакль</t>
        </is>
      </c>
      <c r="G2622" s="2" t="inlineStr">
        <is>
          <t>Центральное телевидение</t>
        </is>
      </c>
      <c r="H2622" s="2" t="n">
        <v>268</v>
      </c>
      <c r="I2622" s="2" t="inlineStr"/>
      <c r="J2622" s="2" t="inlineStr"/>
      <c r="K2622" s="3" t="inlineStr">
        <is>
          <t>Музыкальное кукольное представление с приключениями об одном дне из жизни веселой заячьей семьи. О хитрой Лисе и умном учителе Кролике. О школьных занятиях и о том, что может случиться по дороге в школу и как следует себя вести, чтобы не попасть в неприятные ситуации.</t>
        </is>
      </c>
      <c r="L2622" s="2" t="inlineStr">
        <is>
          <t>https://www.kino-teatr.ru/teatr/movie/107658/annot/</t>
        </is>
      </c>
      <c r="M2622" s="2">
        <f>HYPERLINK("https://ru.wikipedia.org/w/index.php?search=%D0%97%D0%B0%D1%8F%D1%87%D1%8C%D1%8F%20%D1%88%D0%BA%D0%BE%D0%BB%D0%B0%201971%20%D1%84%D0%B8%D0%BB%D1%8C%D0%BC","искать")</f>
        <v/>
      </c>
      <c r="N2622" s="3" t="n"/>
      <c r="O2622" s="2" t="n"/>
    </row>
    <row r="2623">
      <c r="A2623" s="2" t="n">
        <v>2622</v>
      </c>
      <c r="B2623" s="2" t="inlineStr">
        <is>
          <t>короткая</t>
        </is>
      </c>
      <c r="C2623" s="2" t="n">
        <v>10646</v>
      </c>
      <c r="D2623" s="3" t="inlineStr">
        <is>
          <t>Игра в каникулы</t>
        </is>
      </c>
      <c r="E2623" s="2" t="n">
        <v>1976</v>
      </c>
      <c r="F2623" s="2" t="inlineStr">
        <is>
          <t>фильм-спектакль</t>
        </is>
      </c>
      <c r="G2623" s="2" t="n"/>
      <c r="H2623" s="2" t="n">
        <v>268</v>
      </c>
      <c r="I2623" s="2" t="inlineStr"/>
      <c r="J2623" s="2" t="inlineStr"/>
      <c r="K2623" s="3" t="inlineStr">
        <is>
          <t>Телеспектакль театра Вахтангова по пьесе Михаила Себастьяна (1936).
В пансионате госпожи Вебер, затерянном в горах, на время августовских каникул отдыхают случайно приехавшие сюда люди. Но игра в каникулы, забвение и счастье объединили их, так непохожих друг на друга.</t>
        </is>
      </c>
      <c r="L2623" s="2" t="inlineStr">
        <is>
          <t>https://www.kino-teatr.ru/teatr/movie/133885/annot/</t>
        </is>
      </c>
      <c r="M2623" s="2">
        <f>HYPERLINK("https://ru.wikipedia.org/w/index.php?search=%D0%98%D0%B3%D1%80%D0%B0%20%D0%B2%20%D0%BA%D0%B0%D0%BD%D0%B8%D0%BA%D1%83%D0%BB%D1%8B%201976%20%D1%84%D0%B8%D0%BB%D1%8C%D0%BC","искать")</f>
        <v/>
      </c>
      <c r="N2623" s="3" t="n"/>
      <c r="O2623" s="2" t="n"/>
    </row>
    <row r="2624">
      <c r="A2624" s="2" t="n">
        <v>2623</v>
      </c>
      <c r="B2624" s="2" t="inlineStr">
        <is>
          <t>короткая</t>
        </is>
      </c>
      <c r="C2624" s="2" t="n">
        <v>10853</v>
      </c>
      <c r="D2624" s="3" t="inlineStr">
        <is>
          <t>Нора</t>
        </is>
      </c>
      <c r="E2624" s="2" t="n">
        <v>1980</v>
      </c>
      <c r="F2624" s="2" t="inlineStr">
        <is>
          <t>фильм-спектакль</t>
        </is>
      </c>
      <c r="G2624" s="2" t="inlineStr">
        <is>
          <t>Главная редакция литературно-драматический программ ЦТ</t>
        </is>
      </c>
      <c r="H2624" s="2" t="n">
        <v>268</v>
      </c>
      <c r="I2624" s="2" t="inlineStr"/>
      <c r="J2624" s="2" t="inlineStr"/>
      <c r="K2624" s="3" t="inlineStr">
        <is>
          <t>По мотивам драмы Генрика Ибсена "Кукольный дом" ("Нора)".
О судьбе молодой женщины Норы, живущей с любимым мужем и прелестными детьми. Драматические события заставили ее понять, что муж - черствый и сухой человек, для которого собственная репутация дороже судьбы Норы.</t>
        </is>
      </c>
      <c r="L2624" s="2" t="inlineStr">
        <is>
          <t>https://www.kino-teatr.ru/teatr/movie/4529/annot/</t>
        </is>
      </c>
      <c r="M2624" s="2">
        <f>HYPERLINK("https://ru.wikipedia.org/w/index.php?search=%D0%9D%D0%BE%D1%80%D0%B0%201980%20%D1%84%D0%B8%D0%BB%D1%8C%D0%BC","искать")</f>
        <v/>
      </c>
      <c r="N2624" s="3" t="n"/>
      <c r="O2624" s="2" t="n"/>
    </row>
    <row r="2625">
      <c r="A2625" s="2" t="n">
        <v>2624</v>
      </c>
      <c r="B2625" s="2" t="inlineStr">
        <is>
          <t>короткая</t>
        </is>
      </c>
      <c r="C2625" s="2" t="n">
        <v>11065</v>
      </c>
      <c r="D2625" s="3" t="inlineStr">
        <is>
          <t>Мамуре</t>
        </is>
      </c>
      <c r="E2625" s="2" t="n">
        <v>1985</v>
      </c>
      <c r="F2625" s="2" t="inlineStr">
        <is>
          <t>фильм-спектакль</t>
        </is>
      </c>
      <c r="G2625" s="2" t="n"/>
      <c r="H2625" s="2" t="n">
        <v>268</v>
      </c>
      <c r="I2625" s="2" t="inlineStr"/>
      <c r="J2625" s="2" t="inlineStr"/>
      <c r="K2625" s="3" t="inlineStr">
        <is>
          <t>По пьесе Жана Сармана.
106-летняя Селина Муре, сохранив молодость души и веру в искренние чувства, встаёт на защиту любви своей правнучки Мари-Жозефы и артиста цирка Франкера вопреки желанию её многочисленного семейства выдать девушку только за человека из клана Муре.</t>
        </is>
      </c>
      <c r="L2625" s="2" t="inlineStr">
        <is>
          <t>https://www.kino-teatr.ru/teatr/movie/100156/annot/</t>
        </is>
      </c>
      <c r="M2625" s="2">
        <f>HYPERLINK("https://ru.wikipedia.org/w/index.php?search=%D0%9C%D0%B0%D0%BC%D1%83%D1%80%D0%B5%201985%20%D1%84%D0%B8%D0%BB%D1%8C%D0%BC","искать")</f>
        <v/>
      </c>
      <c r="N2625" s="3" t="n"/>
      <c r="O2625" s="2" t="n"/>
    </row>
    <row r="2626">
      <c r="A2626" s="2" t="n">
        <v>2625</v>
      </c>
      <c r="B2626" s="2" t="inlineStr">
        <is>
          <t>короткая</t>
        </is>
      </c>
      <c r="C2626" s="2" t="n">
        <v>8055</v>
      </c>
      <c r="D2626" s="3" t="inlineStr">
        <is>
          <t>Осень приходит лесами</t>
        </is>
      </c>
      <c r="E2626" s="2" t="n">
        <v>1989</v>
      </c>
      <c r="F2626" s="2" t="inlineStr">
        <is>
          <t>телефильм</t>
        </is>
      </c>
      <c r="G2626" s="2" t="n"/>
      <c r="H2626" s="2" t="n">
        <v>269</v>
      </c>
      <c r="I2626" s="2" t="inlineStr"/>
      <c r="J2626" s="2" t="inlineStr"/>
      <c r="K2626" s="3" t="inlineStr">
        <is>
          <t>По мотивам одноименного романа Марюса Катилишкиса. Действие картины происходит в довоенной Литве. В фильме показана жизнь сельских жителей, их быт, страсти. Главный герой фильма - лесоруб Тилюс, мечтающий разбогатеть и запутавшийся в отношениях с несколькими женщинами.</t>
        </is>
      </c>
      <c r="L2626" s="2" t="inlineStr">
        <is>
          <t>Кино_СССР сводный каталог.xlsx: список телефильмов</t>
        </is>
      </c>
      <c r="M2626" s="2">
        <f>HYPERLINK("https://ru.wikipedia.org/w/index.php?search=%D0%9E%D1%81%D0%B5%D0%BD%D1%8C%20%D0%BF%D1%80%D0%B8%D1%85%D0%BE%D0%B4%D0%B8%D1%82%20%D0%BB%D0%B5%D1%81%D0%B0%D0%BC%D0%B8%201989%20%D1%84%D0%B8%D0%BB%D1%8C%D0%BC","искать")</f>
        <v/>
      </c>
      <c r="N2626" s="3" t="n"/>
      <c r="O2626" s="2" t="n"/>
    </row>
    <row r="2627">
      <c r="A2627" s="2" t="n">
        <v>2626</v>
      </c>
      <c r="B2627" s="2" t="inlineStr">
        <is>
          <t>короткая</t>
        </is>
      </c>
      <c r="C2627" s="2" t="n">
        <v>8167</v>
      </c>
      <c r="D2627" s="3" t="inlineStr">
        <is>
          <t>Последний визит</t>
        </is>
      </c>
      <c r="E2627" s="2" t="n">
        <v>1984</v>
      </c>
      <c r="F2627" s="2" t="inlineStr">
        <is>
          <t>телефильм</t>
        </is>
      </c>
      <c r="G2627" s="2" t="n"/>
      <c r="H2627" s="2" t="n">
        <v>269</v>
      </c>
      <c r="I2627" s="2" t="inlineStr"/>
      <c r="J2627" s="2" t="inlineStr"/>
      <c r="K2627" s="3" t="inlineStr">
        <is>
          <t>Телефильм. Политический детектив по мотивам повести Э.Карре "Смерть на вашингтонском приеме". Во время одной из своих командировок журналистка Сэйра Бертон получает известие о смерти мужа Тома. Уверенная в том, что это убийство, она начинает собственное расследование..</t>
        </is>
      </c>
      <c r="L2627" s="2" t="inlineStr">
        <is>
          <t>Кино_СССР сводный каталог.xlsx: список телефильмов</t>
        </is>
      </c>
      <c r="M2627" s="2">
        <f>HYPERLINK("https://ru.wikipedia.org/w/index.php?search=%D0%9F%D0%BE%D1%81%D0%BB%D0%B5%D0%B4%D0%BD%D0%B8%D0%B9%20%D0%B2%D0%B8%D0%B7%D0%B8%D1%82%201984%20%D1%84%D0%B8%D0%BB%D1%8C%D0%BC","искать")</f>
        <v/>
      </c>
      <c r="N2627" s="3" t="n"/>
      <c r="O2627" s="2" t="n"/>
    </row>
    <row r="2628">
      <c r="A2628" s="2" t="n">
        <v>2627</v>
      </c>
      <c r="B2628" s="2" t="inlineStr">
        <is>
          <t>короткая</t>
        </is>
      </c>
      <c r="C2628" s="2" t="n">
        <v>9921</v>
      </c>
      <c r="D2628" s="3" t="inlineStr">
        <is>
          <t>Пацура</t>
        </is>
      </c>
      <c r="E2628" s="2" t="n">
        <v>1976</v>
      </c>
      <c r="F2628" s="2" t="inlineStr">
        <is>
          <t>кинофильм</t>
        </is>
      </c>
      <c r="G2628" s="2" t="inlineStr">
        <is>
          <t>Грузия-фильм</t>
        </is>
      </c>
      <c r="H2628" s="2" t="n">
        <v>269</v>
      </c>
      <c r="I2628" s="2" t="inlineStr"/>
      <c r="J2628" s="2" t="inlineStr"/>
      <c r="K2628" s="3" t="inlineStr">
        <is>
          <t>ფაცურა
Действие фильма происходит в грузинской деревне в первые послевоенные годы. Родители Пацуры и ее сестер погибли. Нелегка жизнь девочек... Но, когда Пацуру захотели удочерить материально обеспеченные люди, она отказалась, не желая расставаться со своими сестрами.</t>
        </is>
      </c>
      <c r="L2628" s="2" t="inlineStr">
        <is>
          <t>https://www.kino-teatr.ru/short/movie/sov/84600/annot/</t>
        </is>
      </c>
      <c r="M2628" s="2">
        <f>HYPERLINK("https://ru.wikipedia.org/w/index.php?search=%D0%9F%D0%B0%D1%86%D1%83%D1%80%D0%B0%201976%20%D1%84%D0%B8%D0%BB%D1%8C%D0%BC","искать")</f>
        <v/>
      </c>
      <c r="N2628" s="3" t="n"/>
      <c r="O2628" s="2" t="n"/>
    </row>
    <row r="2629">
      <c r="A2629" s="2" t="n">
        <v>2628</v>
      </c>
      <c r="B2629" s="2" t="inlineStr">
        <is>
          <t>короткая</t>
        </is>
      </c>
      <c r="C2629" s="2" t="n">
        <v>10917</v>
      </c>
      <c r="D2629" s="3" t="inlineStr">
        <is>
          <t>Тарантул</t>
        </is>
      </c>
      <c r="E2629" s="2" t="n">
        <v>1981</v>
      </c>
      <c r="F2629" s="2" t="inlineStr">
        <is>
          <t>фильм-спектакль</t>
        </is>
      </c>
      <c r="G2629" s="2" t="inlineStr">
        <is>
          <t>Ленинградское телевидение</t>
        </is>
      </c>
      <c r="H2629" s="2" t="n">
        <v>269</v>
      </c>
      <c r="I2629" s="2" t="inlineStr"/>
      <c r="J2629" s="2" t="inlineStr"/>
      <c r="K2629" s="3" t="inlineStr">
        <is>
          <t>Телеспектакль по повести Германа Матвеева.
Подростки — Миша Алексеев и его приятели — помогли советским контрразведчикам выловить группу фашистских агентов, действовавших в Ленинграде во время блокады Ленинграда и пытавшихся совершить диверсию на водопроводной станции.</t>
        </is>
      </c>
      <c r="L2629" s="2" t="inlineStr">
        <is>
          <t>https://www.kino-teatr.ru/teatr/movie/16995/annot/</t>
        </is>
      </c>
      <c r="M2629" s="2">
        <f>HYPERLINK("https://ru.wikipedia.org/w/index.php?search=%D0%A2%D0%B0%D1%80%D0%B0%D0%BD%D1%82%D1%83%D0%BB%201981%20%D1%84%D0%B8%D0%BB%D1%8C%D0%BC","искать")</f>
        <v/>
      </c>
      <c r="N2629" s="3" t="n"/>
      <c r="O2629" s="2" t="n"/>
    </row>
    <row r="2630">
      <c r="A2630" s="2" t="n">
        <v>2629</v>
      </c>
      <c r="B2630" s="2" t="inlineStr">
        <is>
          <t>короткая</t>
        </is>
      </c>
      <c r="C2630" s="2" t="n">
        <v>7239</v>
      </c>
      <c r="D2630" s="3" t="inlineStr">
        <is>
          <t>Без году неделя</t>
        </is>
      </c>
      <c r="E2630" s="2" t="n">
        <v>1982</v>
      </c>
      <c r="F2630" s="2" t="inlineStr">
        <is>
          <t>телефильм</t>
        </is>
      </c>
      <c r="G2630" s="2" t="inlineStr">
        <is>
          <t>к/с им. Довженко</t>
        </is>
      </c>
      <c r="H2630" s="2" t="n">
        <v>270</v>
      </c>
      <c r="I2630" s="2" t="inlineStr"/>
      <c r="J2630" s="2" t="inlineStr"/>
      <c r="K2630" s="3" t="inlineStr">
        <is>
          <t>По повести Виктора Черевкова "Хроника одного летнего дня". Телефильм о юной выпускнице речного училища Насте Филимоновой. Старый и опытный капитан Яруга не верит, что Филимонова справится со своими обязанностями. Но Настя сумела доказать всем, что профессия ей по силам.</t>
        </is>
      </c>
      <c r="L2630" s="2" t="inlineStr">
        <is>
          <t>Кино_СССР сводный каталог.xlsx: список телефильмов</t>
        </is>
      </c>
      <c r="M2630" s="2">
        <f>HYPERLINK("https://ru.wikipedia.org/w/index.php?search=%D0%91%D0%B5%D0%B7%20%D0%B3%D0%BE%D0%B4%D1%83%20%D0%BD%D0%B5%D0%B4%D0%B5%D0%BB%D1%8F%201982%20%D1%84%D0%B8%D0%BB%D1%8C%D0%BC","искать")</f>
        <v/>
      </c>
      <c r="N2630" s="3" t="n"/>
      <c r="O2630" s="2" t="n"/>
    </row>
    <row r="2631">
      <c r="A2631" s="2" t="n">
        <v>2630</v>
      </c>
      <c r="B2631" s="2" t="inlineStr">
        <is>
          <t>короткая</t>
        </is>
      </c>
      <c r="C2631" s="2" t="n">
        <v>8309</v>
      </c>
      <c r="D2631" s="3" t="inlineStr">
        <is>
          <t>Свет в окне</t>
        </is>
      </c>
      <c r="E2631" s="2" t="n">
        <v>1980</v>
      </c>
      <c r="F2631" s="2" t="inlineStr">
        <is>
          <t>телефильм</t>
        </is>
      </c>
      <c r="G2631" s="2" t="inlineStr">
        <is>
          <t>Ленфильм</t>
        </is>
      </c>
      <c r="H2631" s="2" t="n">
        <v>270</v>
      </c>
      <c r="I2631" s="2" t="inlineStr"/>
      <c r="J2631" s="2" t="inlineStr"/>
      <c r="K2631" s="3" t="inlineStr">
        <is>
          <t>Телефильм. По мотивам одноименного очерка Татьяны Тэсс. У девочки умирает мама и она остается с новорожденной сестренкой и отцом, оба безутешные в своем горе... Со временем в доме появляется женщина, которая очень любит ее папу и, вероятно, сможет заменить умершую мать.</t>
        </is>
      </c>
      <c r="L2631" s="2" t="inlineStr">
        <is>
          <t>Кино_СССР сводный каталог.xlsx: список телефильмов</t>
        </is>
      </c>
      <c r="M2631" s="2">
        <f>HYPERLINK("https://ru.wikipedia.org/w/index.php?search=%D0%A1%D0%B2%D0%B5%D1%82%20%D0%B2%20%D0%BE%D0%BA%D0%BD%D0%B5%201980%20%D1%84%D0%B8%D0%BB%D1%8C%D0%BC","искать")</f>
        <v/>
      </c>
      <c r="N2631" s="3" t="n"/>
      <c r="O2631" s="2" t="n"/>
    </row>
    <row r="2632">
      <c r="A2632" s="2" t="n">
        <v>2631</v>
      </c>
      <c r="B2632" s="2" t="inlineStr">
        <is>
          <t>короткая</t>
        </is>
      </c>
      <c r="C2632" s="2" t="n">
        <v>8531</v>
      </c>
      <c r="D2632" s="3" t="inlineStr">
        <is>
          <t>Цель</t>
        </is>
      </c>
      <c r="E2632" s="2" t="n">
        <v>1980</v>
      </c>
      <c r="F2632" s="2" t="inlineStr">
        <is>
          <t>телефильм</t>
        </is>
      </c>
      <c r="G2632" s="2" t="n"/>
      <c r="H2632" s="2" t="n">
        <v>270</v>
      </c>
      <c r="I2632" s="2" t="inlineStr"/>
      <c r="J2632" s="2" t="inlineStr"/>
      <c r="K2632" s="3" t="inlineStr">
        <is>
          <t>მიზანი Действие телефильма происходит в Батуми в 1918 году. По заданию командования Красной Армии в город приезжает большевик-подпольщик Андро. Герой успешно организовывает взрыв на английском морском транспорте, где находится оружие, предназначенное для армии Деникина.</t>
        </is>
      </c>
      <c r="L2632" s="2" t="inlineStr">
        <is>
          <t>Кино_СССР сводный каталог.xlsx: список телефильмов</t>
        </is>
      </c>
      <c r="M2632" s="2">
        <f>HYPERLINK("https://ru.wikipedia.org/w/index.php?search=%D0%A6%D0%B5%D0%BB%D1%8C%201980%20%D1%84%D0%B8%D0%BB%D1%8C%D0%BC","искать")</f>
        <v/>
      </c>
      <c r="N2632" s="3" t="n"/>
      <c r="O2632" s="2" t="n"/>
    </row>
    <row r="2633">
      <c r="A2633" s="2" t="n">
        <v>2632</v>
      </c>
      <c r="B2633" s="2" t="inlineStr">
        <is>
          <t>короткая</t>
        </is>
      </c>
      <c r="C2633" s="2" t="n">
        <v>8924</v>
      </c>
      <c r="D2633" s="3" t="inlineStr">
        <is>
          <t>Первый день</t>
        </is>
      </c>
      <c r="E2633" s="2" t="n">
        <v>1936</v>
      </c>
      <c r="F2633" s="2" t="inlineStr">
        <is>
          <t>кинофильм</t>
        </is>
      </c>
      <c r="G2633" s="2" t="n"/>
      <c r="H2633" s="2" t="n">
        <v>270</v>
      </c>
      <c r="I2633" s="2" t="inlineStr"/>
      <c r="J2633" s="2" t="inlineStr"/>
      <c r="K2633" s="3" t="inlineStr">
        <is>
          <t>По мотивам рассказа А.И.Куприна «Белый пудель». Авторы фильма заменили старого шарманщика девушкой-революционеркой, распространяющей прокламации во время цирковых номеров пуделя. Документов, запрещающих фильм к прокату, разыскать не удалось, но фильм на экраны не вышел.</t>
        </is>
      </c>
      <c r="L2633" s="2" t="inlineStr">
        <is>
          <t>Кино_СССР сводный каталог.xlsx: список фильмов (доп.)</t>
        </is>
      </c>
      <c r="M2633" s="2">
        <f>HYPERLINK("https://ru.wikipedia.org/w/index.php?search=%D0%9F%D0%B5%D1%80%D0%B2%D1%8B%D0%B9%20%D0%B4%D0%B5%D0%BD%D1%8C%201936%20%D1%84%D0%B8%D0%BB%D1%8C%D0%BC","искать")</f>
        <v/>
      </c>
      <c r="N2633" s="3" t="n"/>
      <c r="O2633" s="2" t="n"/>
    </row>
    <row r="2634">
      <c r="A2634" s="2" t="n">
        <v>2633</v>
      </c>
      <c r="B2634" s="2" t="inlineStr">
        <is>
          <t>короткая</t>
        </is>
      </c>
      <c r="C2634" s="2" t="n">
        <v>9860</v>
      </c>
      <c r="D2634" s="3" t="inlineStr">
        <is>
          <t>Клоун</t>
        </is>
      </c>
      <c r="E2634" s="2" t="n">
        <v>1969</v>
      </c>
      <c r="F2634" s="2" t="inlineStr">
        <is>
          <t>кинофильм</t>
        </is>
      </c>
      <c r="G2634" s="2" t="inlineStr">
        <is>
          <t>Арменфильм</t>
        </is>
      </c>
      <c r="H2634" s="2" t="n">
        <v>270</v>
      </c>
      <c r="I2634" s="2" t="inlineStr"/>
      <c r="J2634" s="2" t="inlineStr"/>
      <c r="K2634" s="3" t="inlineStr">
        <is>
          <t>По одноименному рассказу М.Манвеляна.
К психиатру на прием приходит пациент, жалующийся на бессонницу, депрессию. Врач советует ему сходить в цирк, где выступает великолепный клоун, заражающий всех смехом и оптимизмом. Но оказывается, что пациент и есть тот самый клоун.</t>
        </is>
      </c>
      <c r="L2634" s="2" t="inlineStr">
        <is>
          <t>https://www.kino-teatr.ru/short/movie/sov/14146/annot/</t>
        </is>
      </c>
      <c r="M2634" s="2">
        <f>HYPERLINK("https://ru.wikipedia.org/w/index.php?search=%D0%9A%D0%BB%D0%BE%D1%83%D0%BD%201969%20%D1%84%D0%B8%D0%BB%D1%8C%D0%BC","искать")</f>
        <v/>
      </c>
      <c r="N2634" s="3" t="n"/>
      <c r="O2634" s="2" t="n"/>
    </row>
    <row r="2635">
      <c r="A2635" s="2" t="n">
        <v>2634</v>
      </c>
      <c r="B2635" s="2" t="inlineStr">
        <is>
          <t>короткая</t>
        </is>
      </c>
      <c r="C2635" s="2" t="n">
        <v>10752</v>
      </c>
      <c r="D2635" s="3" t="inlineStr">
        <is>
          <t>Лика</t>
        </is>
      </c>
      <c r="E2635" s="2" t="n">
        <v>1978</v>
      </c>
      <c r="F2635" s="2" t="inlineStr">
        <is>
          <t>фильм-спектакль</t>
        </is>
      </c>
      <c r="G2635" s="2" t="inlineStr">
        <is>
          <t>Главная редакция литературно-драматических программ ЦТ</t>
        </is>
      </c>
      <c r="H2635" s="2" t="n">
        <v>270</v>
      </c>
      <c r="I2635" s="2" t="inlineStr"/>
      <c r="J2635" s="2" t="inlineStr"/>
      <c r="K2635" s="3" t="inlineStr">
        <is>
          <t>По пьесе Армена Зурабова.
Героиня спектакля Лика уходит от мужа. К ней презжает старшая сестра Нина в надежде помочь сохранить семью. В споре сестер проявляются две несовместимые позиции. Лика хочет счастья, основанного на взаимной любви, Нина готова поступиться многим.</t>
        </is>
      </c>
      <c r="L2635" s="2" t="inlineStr">
        <is>
          <t>https://www.kino-teatr.ru/teatr/movie/13162/annot/</t>
        </is>
      </c>
      <c r="M2635" s="2">
        <f>HYPERLINK("https://ru.wikipedia.org/w/index.php?search=%D0%9B%D0%B8%D0%BA%D0%B0%201978%20%D1%84%D0%B8%D0%BB%D1%8C%D0%BC","искать")</f>
        <v/>
      </c>
      <c r="N2635" s="3" t="n"/>
      <c r="O2635" s="2" t="n"/>
    </row>
    <row r="2636">
      <c r="A2636" s="2" t="n">
        <v>2635</v>
      </c>
      <c r="B2636" s="2" t="inlineStr">
        <is>
          <t>короткая</t>
        </is>
      </c>
      <c r="C2636" s="2" t="n">
        <v>10758</v>
      </c>
      <c r="D2636" s="3" t="inlineStr">
        <is>
          <t>Мораль пани Дульской</t>
        </is>
      </c>
      <c r="E2636" s="2" t="n">
        <v>1978</v>
      </c>
      <c r="F2636" s="2" t="inlineStr">
        <is>
          <t>фильм-спектакль</t>
        </is>
      </c>
      <c r="G2636" s="2" t="inlineStr">
        <is>
          <t>Главная редакция литературно-драматических программ ЦТ</t>
        </is>
      </c>
      <c r="H2636" s="2" t="n">
        <v>270</v>
      </c>
      <c r="I2636" s="2" t="inlineStr"/>
      <c r="J2636" s="2" t="inlineStr"/>
      <c r="K2636" s="3" t="inlineStr">
        <is>
          <t>По пьесе Габриэли Запольской.
В доме Дульских все лгут друг другу. Старший сын Збышек, который не принимает моральные принципы своей матери, оказывается таким же, как и его родственники. Он отказывается от обещания жениться на горничной Ганке, и девушке приходится уйти.</t>
        </is>
      </c>
      <c r="L2636" s="2" t="inlineStr">
        <is>
          <t>https://www.kino-teatr.ru/teatr/movie/16543/annot/</t>
        </is>
      </c>
      <c r="M2636" s="2">
        <f>HYPERLINK("https://ru.wikipedia.org/w/index.php?search=%D0%9C%D0%BE%D1%80%D0%B0%D0%BB%D1%8C%20%D0%BF%D0%B0%D0%BD%D0%B8%20%D0%94%D1%83%D0%BB%D1%8C%D1%81%D0%BA%D0%BE%D0%B9%201978%20%D1%84%D0%B8%D0%BB%D1%8C%D0%BC","искать")</f>
        <v/>
      </c>
      <c r="N2636" s="3" t="n"/>
      <c r="O2636" s="2" t="n"/>
    </row>
    <row r="2637">
      <c r="A2637" s="2" t="n">
        <v>2636</v>
      </c>
      <c r="B2637" s="2" t="inlineStr">
        <is>
          <t>короткая</t>
        </is>
      </c>
      <c r="C2637" s="2" t="n">
        <v>7396</v>
      </c>
      <c r="D2637" s="3" t="inlineStr">
        <is>
          <t>Всадники</t>
        </is>
      </c>
      <c r="E2637" s="2" t="n">
        <v>1972</v>
      </c>
      <c r="F2637" s="2" t="inlineStr">
        <is>
          <t>телефильм</t>
        </is>
      </c>
      <c r="G2637" s="2" t="n"/>
      <c r="H2637" s="2" t="n">
        <v>271</v>
      </c>
      <c r="I2637" s="2" t="inlineStr"/>
      <c r="J2637" s="2" t="inlineStr"/>
      <c r="K2637" s="3" t="inlineStr">
        <is>
          <t>В июне 1941 года подростки Боря и Вилька помогают эвакуировать в тыл породистых скаковых лошадей. С огромным трудом они пробиваются по военным дорогам к своим, но неожиданно попадают в окружение. Здесь создадется партизанский отряд, и юные бойцы находят в нем свое место.</t>
        </is>
      </c>
      <c r="L2637" s="2" t="inlineStr">
        <is>
          <t>Кино_СССР сводный каталог.xlsx: список телефильмов</t>
        </is>
      </c>
      <c r="M2637" s="2">
        <f>HYPERLINK("https://ru.wikipedia.org/w/index.php?search=%D0%92%D1%81%D0%B0%D0%B4%D0%BD%D0%B8%D0%BA%D0%B8%201972%20%D1%84%D0%B8%D0%BB%D1%8C%D0%BC","искать")</f>
        <v/>
      </c>
      <c r="N2637" s="3" t="n"/>
      <c r="O2637" s="2" t="n"/>
    </row>
    <row r="2638">
      <c r="A2638" s="2" t="n">
        <v>2637</v>
      </c>
      <c r="B2638" s="2" t="inlineStr">
        <is>
          <t>короткая</t>
        </is>
      </c>
      <c r="C2638" s="2" t="n">
        <v>10361</v>
      </c>
      <c r="D2638" s="3" t="inlineStr">
        <is>
          <t>Карлик Нос</t>
        </is>
      </c>
      <c r="E2638" s="2" t="n">
        <v>1970</v>
      </c>
      <c r="F2638" s="2" t="inlineStr">
        <is>
          <t>фильм-спектакль</t>
        </is>
      </c>
      <c r="G2638" s="2" t="inlineStr">
        <is>
          <t>Центральное телевидение</t>
        </is>
      </c>
      <c r="H2638" s="2" t="n">
        <v>271</v>
      </c>
      <c r="I2638" s="2" t="inlineStr"/>
      <c r="J2638" s="2" t="inlineStr"/>
      <c r="K2638" s="3" t="inlineStr">
        <is>
          <t>По мотивам сказки немецкого писателя Вильгельма Гауфа.
Про мальчика Якоба, которого злая старуха заколдовала в карлика с длинным носом. При этом она одарила его умением готовить различные блюда и разбираться в травах. Все это помогло юноше вернуть себе прежнюю внешность.</t>
        </is>
      </c>
      <c r="L2638" s="2" t="inlineStr">
        <is>
          <t>https://www.kino-teatr.ru/teatr/movie/79869/annot/</t>
        </is>
      </c>
      <c r="M2638" s="2">
        <f>HYPERLINK("https://ru.wikipedia.org/w/index.php?search=%D0%9A%D0%B0%D1%80%D0%BB%D0%B8%D0%BA%20%D0%9D%D0%BE%D1%81%201970%20%D1%84%D0%B8%D0%BB%D1%8C%D0%BC","искать")</f>
        <v/>
      </c>
      <c r="N2638" s="3" t="n"/>
      <c r="O2638" s="2" t="n"/>
    </row>
    <row r="2639">
      <c r="A2639" s="2" t="n">
        <v>2638</v>
      </c>
      <c r="B2639" s="2" t="inlineStr">
        <is>
          <t>короткая</t>
        </is>
      </c>
      <c r="C2639" s="2" t="n">
        <v>8138</v>
      </c>
      <c r="D2639" s="3" t="inlineStr">
        <is>
          <t>Подготовка к экзамену</t>
        </is>
      </c>
      <c r="E2639" s="2" t="n">
        <v>1979</v>
      </c>
      <c r="F2639" s="2" t="inlineStr">
        <is>
          <t>телефильм</t>
        </is>
      </c>
      <c r="G2639" s="2" t="n"/>
      <c r="H2639" s="2" t="n">
        <v>272</v>
      </c>
      <c r="I2639" s="2" t="inlineStr"/>
      <c r="J2639" s="2" t="inlineStr"/>
      <c r="K2639" s="3" t="inlineStr">
        <is>
          <t>Телефильм по мотивам одноименной повести Н. Дементьева. Героине фильма Кате во сне на помощь пришел благородный незнакомец. Придя утром в школу, она знакомится с новичком и решает, что он – герой ее сна. Однако поступки юноши разрушают созданный Катей романтический образ.</t>
        </is>
      </c>
      <c r="L2639" s="2" t="inlineStr">
        <is>
          <t>Кино_СССР сводный каталог.xlsx: список телефильмов</t>
        </is>
      </c>
      <c r="M2639" s="2">
        <f>HYPERLINK("https://ru.wikipedia.org/w/index.php?search=%D0%9F%D0%BE%D0%B4%D0%B3%D0%BE%D1%82%D0%BE%D0%B2%D0%BA%D0%B0%20%D0%BA%20%D1%8D%D0%BA%D0%B7%D0%B0%D0%BC%D0%B5%D0%BD%D1%83%201979%20%D1%84%D0%B8%D0%BB%D1%8C%D0%BC","искать")</f>
        <v/>
      </c>
      <c r="N2639" s="3" t="n"/>
      <c r="O2639" s="2" t="n"/>
    </row>
    <row r="2640">
      <c r="A2640" s="2" t="n">
        <v>2639</v>
      </c>
      <c r="B2640" s="2" t="inlineStr">
        <is>
          <t>короткая</t>
        </is>
      </c>
      <c r="C2640" s="2" t="n">
        <v>8505</v>
      </c>
      <c r="D2640" s="3" t="inlineStr">
        <is>
          <t>Ускорение</t>
        </is>
      </c>
      <c r="E2640" s="2" t="n">
        <v>1983</v>
      </c>
      <c r="F2640" s="2" t="inlineStr">
        <is>
          <t>телефильм</t>
        </is>
      </c>
      <c r="G2640" s="2" t="n"/>
      <c r="H2640" s="2" t="n">
        <v>272</v>
      </c>
      <c r="I2640" s="2" t="inlineStr"/>
      <c r="J2640" s="2" t="inlineStr"/>
      <c r="K2640" s="3" t="inlineStr">
        <is>
          <t>Телесериал по мотивам романа Павла Загребельного "Разгон". Герой фильма - директор НИИ, ученый-кибернетик Петро Карналь. Картина построена как ретроспектива воспоминаний героя о военной юности и спутниках жизни, поводом для которых стала встреча с журналисткой Анастасией.</t>
        </is>
      </c>
      <c r="L2640" s="2" t="inlineStr">
        <is>
          <t>Кино_СССР сводный каталог.xlsx: список телефильмов</t>
        </is>
      </c>
      <c r="M2640" s="2">
        <f>HYPERLINK("https://ru.wikipedia.org/w/index.php?search=%D0%A3%D1%81%D0%BA%D0%BE%D1%80%D0%B5%D0%BD%D0%B8%D0%B5%201983%20%D1%84%D0%B8%D0%BB%D1%8C%D0%BC","искать")</f>
        <v/>
      </c>
      <c r="N2640" s="3" t="n"/>
      <c r="O2640" s="2" t="n"/>
    </row>
    <row r="2641">
      <c r="A2641" s="2" t="n">
        <v>2640</v>
      </c>
      <c r="B2641" s="2" t="inlineStr">
        <is>
          <t>короткая</t>
        </is>
      </c>
      <c r="C2641" s="2" t="n">
        <v>9703</v>
      </c>
      <c r="D2641" s="3" t="inlineStr">
        <is>
          <t>Убийство свидетеля</t>
        </is>
      </c>
      <c r="E2641" s="2" t="n">
        <v>1990</v>
      </c>
      <c r="F2641" s="2" t="inlineStr">
        <is>
          <t>кинофильм</t>
        </is>
      </c>
      <c r="G2641" s="2" t="n"/>
      <c r="H2641" s="2" t="n">
        <v>272</v>
      </c>
      <c r="I2641" s="2" t="inlineStr"/>
      <c r="J2641" s="2" t="inlineStr"/>
      <c r="K2641" s="3" t="inlineStr">
        <is>
          <t>По повести Юрия Маслова "Каракурт". Кто поставит точку в цепи загадочных убийств? Расследуя дерзкое вооруженное ограбление универмага, милиция выходит на администратора Мосэстрады Игоря Софина, след которого ведет в Сочи. Там, на море, происходит серия загадочных убийств.</t>
        </is>
      </c>
      <c r="L2641" s="2" t="inlineStr">
        <is>
          <t>Кино_СССР сводный каталог.xlsx: список фильмов (доп.)</t>
        </is>
      </c>
      <c r="M2641" s="2">
        <f>HYPERLINK("https://ru.wikipedia.org/w/index.php?search=%D0%A3%D0%B1%D0%B8%D0%B9%D1%81%D1%82%D0%B2%D0%BE%20%D1%81%D0%B2%D0%B8%D0%B4%D0%B5%D1%82%D0%B5%D0%BB%D1%8F%201990%20%D1%84%D0%B8%D0%BB%D1%8C%D0%BC","искать")</f>
        <v/>
      </c>
      <c r="N2641" s="3" t="n"/>
      <c r="O2641" s="2" t="n"/>
    </row>
    <row r="2642">
      <c r="A2642" s="2" t="n">
        <v>2641</v>
      </c>
      <c r="B2642" s="2" t="inlineStr">
        <is>
          <t>короткая</t>
        </is>
      </c>
      <c r="C2642" s="2" t="n">
        <v>10980</v>
      </c>
      <c r="D2642" s="3" t="inlineStr">
        <is>
          <t>В городе хорошая погода</t>
        </is>
      </c>
      <c r="E2642" s="2" t="n">
        <v>1983</v>
      </c>
      <c r="F2642" s="2" t="inlineStr">
        <is>
          <t>фильм-спектакль</t>
        </is>
      </c>
      <c r="G2642" s="2" t="inlineStr">
        <is>
          <t>Главная редакция литературно-драматических программ ЦТ</t>
        </is>
      </c>
      <c r="H2642" s="2" t="n">
        <v>272</v>
      </c>
      <c r="I2642" s="2" t="inlineStr"/>
      <c r="J2642" s="2" t="inlineStr"/>
      <c r="K2642" s="3" t="inlineStr">
        <is>
          <t>Производственная драма в стиле 80-х, облагороженная прекрасной игрой великолепных артистов.
О деятельности Леднёва, председателя исполкома небольшого городка. Не все ладится в работе и личной жизни героя, но в любых ситуациях проявляются его высокие нравственные качества.</t>
        </is>
      </c>
      <c r="L2642" s="2" t="inlineStr">
        <is>
          <t>https://www.kino-teatr.ru/teatr/movie/16544/annot/</t>
        </is>
      </c>
      <c r="M2642" s="2">
        <f>HYPERLINK("https://ru.wikipedia.org/w/index.php?search=%D0%92%20%D0%B3%D0%BE%D1%80%D0%BE%D0%B4%D0%B5%20%D1%85%D0%BE%D1%80%D0%BE%D1%88%D0%B0%D1%8F%20%D0%BF%D0%BE%D0%B3%D0%BE%D0%B4%D0%B0%201983%20%D1%84%D0%B8%D0%BB%D1%8C%D0%BC","искать")</f>
        <v/>
      </c>
      <c r="N2642" s="3" t="n"/>
      <c r="O2642" s="2" t="n"/>
    </row>
    <row r="2643">
      <c r="A2643" s="2" t="n">
        <v>2642</v>
      </c>
      <c r="B2643" s="2" t="inlineStr">
        <is>
          <t>короткая</t>
        </is>
      </c>
      <c r="C2643" s="2" t="n">
        <v>11034</v>
      </c>
      <c r="D2643" s="3" t="inlineStr">
        <is>
          <t>Ошибка великого Васи Осокина</t>
        </is>
      </c>
      <c r="E2643" s="2" t="n">
        <v>1984</v>
      </c>
      <c r="F2643" s="2" t="inlineStr">
        <is>
          <t>фильм-спектакль</t>
        </is>
      </c>
      <c r="G2643" s="2" t="inlineStr">
        <is>
          <t>Творческое объединение "Экран"</t>
        </is>
      </c>
      <c r="H2643" s="2" t="n">
        <v>272</v>
      </c>
      <c r="I2643" s="2" t="inlineStr"/>
      <c r="J2643" s="2" t="inlineStr"/>
      <c r="K2643" s="3" t="inlineStr">
        <is>
          <t>По пьесе Афанасия Салынского "Сладкая собачка, или Ошибка великого Васи Осокина" в постановке Государственного Центрального детского театра.
О необыкновенных приключениях юного ученого Васи Осокина и изобретенной им для совместного полета в космос шоколадной собачки Тюти.</t>
        </is>
      </c>
      <c r="L2643" s="2" t="inlineStr">
        <is>
          <t>https://www.kino-teatr.ru/teatr/movie/79871/annot/</t>
        </is>
      </c>
      <c r="M2643" s="2">
        <f>HYPERLINK("https://ru.wikipedia.org/w/index.php?search=%D0%9E%D1%88%D0%B8%D0%B1%D0%BA%D0%B0%20%D0%B2%D0%B5%D0%BB%D0%B8%D0%BA%D0%BE%D0%B3%D0%BE%20%D0%92%D0%B0%D1%81%D0%B8%20%D0%9E%D1%81%D0%BE%D0%BA%D0%B8%D0%BD%D0%B0%201984%20%D1%84%D0%B8%D0%BB%D1%8C%D0%BC","искать")</f>
        <v/>
      </c>
      <c r="N2643" s="3" t="n"/>
      <c r="O2643" s="2" t="n"/>
    </row>
    <row r="2644">
      <c r="A2644" s="2" t="n">
        <v>2643</v>
      </c>
      <c r="B2644" s="2" t="inlineStr">
        <is>
          <t>короткая</t>
        </is>
      </c>
      <c r="C2644" s="2" t="n">
        <v>7609</v>
      </c>
      <c r="D2644" s="3" t="inlineStr">
        <is>
          <t>За Ветлугой-рекой</t>
        </is>
      </c>
      <c r="E2644" s="2" t="n">
        <v>1986</v>
      </c>
      <c r="F2644" s="2" t="inlineStr">
        <is>
          <t>телефильм</t>
        </is>
      </c>
      <c r="G2644" s="2" t="n"/>
      <c r="H2644" s="2" t="n">
        <v>273</v>
      </c>
      <c r="I2644" s="2" t="inlineStr"/>
      <c r="J2644" s="2" t="inlineStr"/>
      <c r="K2644" s="3" t="inlineStr">
        <is>
          <t>По пьесе Радия Кушнеровича «Вдовий дом». В деревню в поисках музыкального фольклора приехал руководитель ансамбля. Он услышал строчку из неизвестной песни и приложил немалые усилия, чтобы выяснить её текст. Так состоялась его встреча с Леной, которая и была автором песни..</t>
        </is>
      </c>
      <c r="L2644" s="2" t="inlineStr">
        <is>
          <t>Кино_СССР сводный каталог.xlsx: список телефильмов</t>
        </is>
      </c>
      <c r="M2644" s="2">
        <f>HYPERLINK("https://ru.wikipedia.org/w/index.php?search=%D0%97%D0%B0%20%D0%92%D0%B5%D1%82%D0%BB%D1%83%D0%B3%D0%BE%D0%B9-%D1%80%D0%B5%D0%BA%D0%BE%D0%B9%201986%20%D1%84%D0%B8%D0%BB%D1%8C%D0%BC","искать")</f>
        <v/>
      </c>
      <c r="N2644" s="3" t="n"/>
      <c r="O2644" s="2" t="n"/>
    </row>
    <row r="2645">
      <c r="A2645" s="2" t="n">
        <v>2644</v>
      </c>
      <c r="B2645" s="2" t="inlineStr">
        <is>
          <t>короткая</t>
        </is>
      </c>
      <c r="C2645" s="2" t="n">
        <v>8011</v>
      </c>
      <c r="D2645" s="3" t="inlineStr">
        <is>
          <t>Ночные забавы</t>
        </is>
      </c>
      <c r="E2645" s="2" t="n">
        <v>1991</v>
      </c>
      <c r="F2645" s="2" t="inlineStr">
        <is>
          <t>телефильм</t>
        </is>
      </c>
      <c r="G2645" s="2" t="n"/>
      <c r="H2645" s="2" t="n">
        <v>273</v>
      </c>
      <c r="I2645" s="2" t="inlineStr"/>
      <c r="J2645" s="2" t="inlineStr"/>
      <c r="K2645" s="3" t="inlineStr">
        <is>
          <t>Пожилой саксофонист, ресторанный лабух, Александр коротает досуг после вечерних «выступлений» за странной забавой. Достает из кармана полученные за вечер купюры и набирает в телефоне номер, напечатанный на купюре, заводя развлекающий его разговор со случайным собеседником.</t>
        </is>
      </c>
      <c r="L2645" s="2" t="inlineStr">
        <is>
          <t>Кино_СССР сводный каталог.xlsx: список телефильмов</t>
        </is>
      </c>
      <c r="M2645" s="2">
        <f>HYPERLINK("https://ru.wikipedia.org/w/index.php?search=%D0%9D%D0%BE%D1%87%D0%BD%D1%8B%D0%B5%20%D0%B7%D0%B0%D0%B1%D0%B0%D0%B2%D1%8B%201991%20%D1%84%D0%B8%D0%BB%D1%8C%D0%BC","искать")</f>
        <v/>
      </c>
      <c r="N2645" s="3" t="n"/>
      <c r="O2645" s="2" t="n"/>
    </row>
    <row r="2646">
      <c r="A2646" s="2" t="n">
        <v>2645</v>
      </c>
      <c r="B2646" s="2" t="inlineStr">
        <is>
          <t>короткая</t>
        </is>
      </c>
      <c r="C2646" s="2" t="n">
        <v>8448</v>
      </c>
      <c r="D2646" s="3" t="inlineStr">
        <is>
          <t>Тени старого замка</t>
        </is>
      </c>
      <c r="E2646" s="2" t="n">
        <v>1966</v>
      </c>
      <c r="F2646" s="2" t="inlineStr">
        <is>
          <t>телефильм</t>
        </is>
      </c>
      <c r="G2646" s="2" t="n"/>
      <c r="H2646" s="2" t="n">
        <v>273</v>
      </c>
      <c r="I2646" s="2" t="inlineStr"/>
      <c r="J2646" s="2" t="inlineStr"/>
      <c r="K2646" s="3" t="inlineStr">
        <is>
          <t>5 серий: "Тайна зеленого охотника", "Рапорт Вальтера", "Человек,потерявший Родину", "Горести Ильмара", "Сокровища Совы". Телесериал. Экранизация повести Арнольда Негго "Остров великанов". Действие фильма разворачивается в 1948 году на одном из пограничных островов Эстонии.</t>
        </is>
      </c>
      <c r="L2646" s="2" t="inlineStr">
        <is>
          <t>Кино_СССР сводный каталог.xlsx: список телефильмов</t>
        </is>
      </c>
      <c r="M2646" s="2">
        <f>HYPERLINK("https://ru.wikipedia.org/w/index.php?search=%D0%A2%D0%B5%D0%BD%D0%B8%20%D1%81%D1%82%D0%B0%D1%80%D0%BE%D0%B3%D0%BE%20%D0%B7%D0%B0%D0%BC%D0%BA%D0%B0%201966%20%D1%84%D0%B8%D0%BB%D1%8C%D0%BC","искать")</f>
        <v/>
      </c>
      <c r="N2646" s="3" t="n"/>
      <c r="O2646" s="2" t="n"/>
    </row>
    <row r="2647">
      <c r="A2647" s="2" t="n">
        <v>2646</v>
      </c>
      <c r="B2647" s="2" t="inlineStr">
        <is>
          <t>короткая</t>
        </is>
      </c>
      <c r="C2647" s="2" t="n">
        <v>8600</v>
      </c>
      <c r="D2647" s="3" t="inlineStr">
        <is>
          <t>Это мы, господи...</t>
        </is>
      </c>
      <c r="E2647" s="2" t="n">
        <v>1990</v>
      </c>
      <c r="F2647" s="2" t="inlineStr">
        <is>
          <t>телефильм</t>
        </is>
      </c>
      <c r="G2647" s="2" t="n"/>
      <c r="H2647" s="2" t="n">
        <v>273</v>
      </c>
      <c r="I2647" s="2" t="inlineStr"/>
      <c r="J2647" s="2" t="inlineStr"/>
      <c r="K2647" s="3" t="inlineStr">
        <is>
          <t>По повести Константина Воробьева. 1941 год. Оборона Москвы. На передовую прибывает отряд кремлевских курсантов, отборные ребята, еще не «нюхавшие пороха». Их ждут тяжелые — физические и нравственные испытания. Фильм имеет подзаголовок — «Ястребов» (фамилия главного героя).</t>
        </is>
      </c>
      <c r="L2647" s="2" t="inlineStr">
        <is>
          <t>Кино_СССР сводный каталог.xlsx: список телефильмов</t>
        </is>
      </c>
      <c r="M2647" s="2">
        <f>HYPERLINK("https://ru.wikipedia.org/w/index.php?search=%D0%AD%D1%82%D0%BE%20%D0%BC%D1%8B%2C%20%D0%B3%D0%BE%D1%81%D0%BF%D0%BE%D0%B4%D0%B8...%201990%20%D1%84%D0%B8%D0%BB%D1%8C%D0%BC","искать")</f>
        <v/>
      </c>
      <c r="N2647" s="3" t="n"/>
      <c r="O2647" s="2" t="n"/>
    </row>
    <row r="2648">
      <c r="A2648" s="2" t="n">
        <v>2647</v>
      </c>
      <c r="B2648" s="2" t="inlineStr">
        <is>
          <t>короткая</t>
        </is>
      </c>
      <c r="C2648" s="2" t="n">
        <v>8885</v>
      </c>
      <c r="D2648" s="3" t="inlineStr">
        <is>
          <t>О странностях любви</t>
        </is>
      </c>
      <c r="E2648" s="2" t="n">
        <v>1936</v>
      </c>
      <c r="F2648" s="2" t="inlineStr">
        <is>
          <t>кинофильм</t>
        </is>
      </c>
      <c r="G2648" s="2" t="n"/>
      <c r="H2648" s="2" t="n">
        <v>273</v>
      </c>
      <c r="I2648" s="2" t="inlineStr"/>
      <c r="J2648" s="2" t="inlineStr"/>
      <c r="K2648" s="3" t="inlineStr">
        <is>
          <t>Водевиль. «Интрига построена на «классическом» недоразумении: две подруги, проводящие отпуск в крымском санатории, влюбляются в молодых людей. Один из них — поэт — выдает себя за планериста, другой — планерист — выдает себя за поэта, что и рождает цепь комедийных ситуаций.</t>
        </is>
      </c>
      <c r="L2648" s="2" t="inlineStr">
        <is>
          <t>Кино_СССР сводный каталог.xlsx: список фильмов (доп.)</t>
        </is>
      </c>
      <c r="M2648" s="2">
        <f>HYPERLINK("https://ru.wikipedia.org/w/index.php?search=%D0%9E%20%D1%81%D1%82%D1%80%D0%B0%D0%BD%D0%BD%D0%BE%D1%81%D1%82%D1%8F%D1%85%20%D0%BB%D1%8E%D0%B1%D0%B2%D0%B8%201936%20%D1%84%D0%B8%D0%BB%D1%8C%D0%BC","искать")</f>
        <v/>
      </c>
      <c r="N2648" s="3" t="n"/>
      <c r="O2648" s="2" t="n"/>
    </row>
    <row r="2649">
      <c r="A2649" s="2" t="n">
        <v>2648</v>
      </c>
      <c r="B2649" s="2" t="inlineStr">
        <is>
          <t>короткая</t>
        </is>
      </c>
      <c r="C2649" s="2" t="n">
        <v>9087</v>
      </c>
      <c r="D2649" s="3" t="inlineStr">
        <is>
          <t>Тайна рукописного Корана</t>
        </is>
      </c>
      <c r="E2649" s="2" t="n">
        <v>1991</v>
      </c>
      <c r="F2649" s="2" t="inlineStr">
        <is>
          <t>кинофильм</t>
        </is>
      </c>
      <c r="G2649" s="2" t="n"/>
      <c r="H2649" s="2" t="n">
        <v>273</v>
      </c>
      <c r="I2649" s="2" t="inlineStr"/>
      <c r="J2649" s="2" t="inlineStr"/>
      <c r="K2649" s="3" t="inlineStr">
        <is>
          <t>Основан на произведении народного писателя Дагестана Ахмедхана Абу-Бакара. Отражает события, происходившие в период революции и гражданской войны в Дагестане. Главный герой ее смелый и отважный Хасан встал во главе горцев, поднявшихся на борьбу за свободу и справедливость.</t>
        </is>
      </c>
      <c r="L2649" s="2" t="inlineStr">
        <is>
          <t>Кино_СССР сводный каталог.xlsx: список фильмов (доп.)</t>
        </is>
      </c>
      <c r="M2649" s="2">
        <f>HYPERLINK("https://ru.wikipedia.org/w/index.php?search=%D0%A2%D0%B0%D0%B9%D0%BD%D0%B0%20%D1%80%D1%83%D0%BA%D0%BE%D0%BF%D0%B8%D1%81%D0%BD%D0%BE%D0%B3%D0%BE%20%D0%9A%D0%BE%D1%80%D0%B0%D0%BD%D0%B0%201991%20%D1%84%D0%B8%D0%BB%D1%8C%D0%BC","искать")</f>
        <v/>
      </c>
      <c r="N2649" s="3" t="n"/>
      <c r="O2649" s="2" t="n"/>
    </row>
    <row r="2650">
      <c r="A2650" s="2" t="n">
        <v>2649</v>
      </c>
      <c r="B2650" s="2" t="inlineStr">
        <is>
          <t>короткая</t>
        </is>
      </c>
      <c r="C2650" s="2" t="n">
        <v>9503</v>
      </c>
      <c r="D2650" s="3" t="inlineStr">
        <is>
          <t>Неприкаянный</t>
        </is>
      </c>
      <c r="E2650" s="2" t="n">
        <v>1988</v>
      </c>
      <c r="F2650" s="2" t="inlineStr">
        <is>
          <t>кинофильм</t>
        </is>
      </c>
      <c r="G2650" s="2" t="n"/>
      <c r="H2650" s="2" t="n">
        <v>273</v>
      </c>
      <c r="I2650" s="2" t="inlineStr"/>
      <c r="J2650" s="2" t="inlineStr"/>
      <c r="K2650" s="3" t="inlineStr">
        <is>
          <t>По пьесе Владимира Арро ""Синее небо, а в нем облака (Прощание с Ветлугиным)". Старый хормейстер Ветлугин влюбляется в юную Веру, обладательницу дивного сопрано. Давно мечтающий о том, чтобы его хор исполнил "Глорию" Вивальди, Ветлугин приглашает девушку на главную партию.</t>
        </is>
      </c>
      <c r="L2650" s="2" t="inlineStr">
        <is>
          <t>Кино_СССР сводный каталог.xlsx: список фильмов (доп.)</t>
        </is>
      </c>
      <c r="M2650" s="2">
        <f>HYPERLINK("https://ru.wikipedia.org/w/index.php?search=%D0%9D%D0%B5%D0%BF%D1%80%D0%B8%D0%BA%D0%B0%D1%8F%D0%BD%D0%BD%D1%8B%D0%B9%201988%20%D1%84%D0%B8%D0%BB%D1%8C%D0%BC","искать")</f>
        <v/>
      </c>
      <c r="N2650" s="3" t="n"/>
      <c r="O2650" s="2" t="n"/>
    </row>
    <row r="2651">
      <c r="A2651" s="2" t="n">
        <v>2650</v>
      </c>
      <c r="B2651" s="2" t="inlineStr">
        <is>
          <t>короткая</t>
        </is>
      </c>
      <c r="C2651" s="2" t="n">
        <v>9666</v>
      </c>
      <c r="D2651" s="3" t="inlineStr">
        <is>
          <t>Спасённому - рай</t>
        </is>
      </c>
      <c r="E2651" s="2" t="n">
        <v>1988</v>
      </c>
      <c r="F2651" s="2" t="inlineStr">
        <is>
          <t>кинофильм</t>
        </is>
      </c>
      <c r="G2651" s="2" t="n"/>
      <c r="H2651" s="2" t="n">
        <v>273</v>
      </c>
      <c r="I2651" s="2" t="inlineStr"/>
      <c r="J2651" s="2" t="inlineStr"/>
      <c r="K2651" s="3" t="inlineStr">
        <is>
          <t>Застойные времена семидесятых годов дарили Грушакину каждый день похожий на предыдущий. Обильная и сытая еда провоцировала ностальгию по детдому и счастливому (хоть и военному) детству. Однажды в один из таких дней к нему приходит женщина, спасшая ему жизнь во время войны.</t>
        </is>
      </c>
      <c r="L2651" s="2" t="inlineStr">
        <is>
          <t>Кино_СССР сводный каталог.xlsx: список фильмов (доп.)</t>
        </is>
      </c>
      <c r="M2651" s="2">
        <f>HYPERLINK("https://ru.wikipedia.org/w/index.php?search=%D0%A1%D0%BF%D0%B0%D1%81%D1%91%D0%BD%D0%BD%D0%BE%D0%BC%D1%83%20-%20%D1%80%D0%B0%D0%B9%201988%20%D1%84%D0%B8%D0%BB%D1%8C%D0%BC","искать")</f>
        <v/>
      </c>
      <c r="N2651" s="3" t="n"/>
      <c r="O2651" s="2" t="n"/>
    </row>
    <row r="2652">
      <c r="A2652" s="2" t="n">
        <v>2651</v>
      </c>
      <c r="B2652" s="2" t="inlineStr">
        <is>
          <t>короткая</t>
        </is>
      </c>
      <c r="C2652" s="2" t="n">
        <v>10121</v>
      </c>
      <c r="D2652" s="3" t="inlineStr">
        <is>
          <t>Дети Ванюшина</t>
        </is>
      </c>
      <c r="E2652" s="2" t="n">
        <v>1964</v>
      </c>
      <c r="F2652" s="2" t="inlineStr">
        <is>
          <t>фильм-спектакль</t>
        </is>
      </c>
      <c r="G2652" s="2" t="inlineStr">
        <is>
          <t>Ленинградская студия телевидения</t>
        </is>
      </c>
      <c r="H2652" s="2" t="n">
        <v>273</v>
      </c>
      <c r="I2652" s="2" t="inlineStr"/>
      <c r="J2652" s="2" t="inlineStr"/>
      <c r="K2652" s="3" t="inlineStr">
        <is>
          <t>По одноименной пьесе Сергея Найденова.
Телеспектакль о крушении купеческой семьи Ванюшиных. Глава семьи оказывается чужим для своих детей. Семью раздирают острые противоречия, злоба, вражда, алчность. Не находя выхода из этой ситуации, Ванюшин решает наложить на себя руки.</t>
        </is>
      </c>
      <c r="L2652" s="2" t="inlineStr">
        <is>
          <t>https://www.kino-teatr.ru/teatr/movie/106409/annot/</t>
        </is>
      </c>
      <c r="M2652" s="2">
        <f>HYPERLINK("https://ru.wikipedia.org/w/index.php?search=%D0%94%D0%B5%D1%82%D0%B8%20%D0%92%D0%B0%D0%BD%D1%8E%D1%88%D0%B8%D0%BD%D0%B0%201964%20%D1%84%D0%B8%D0%BB%D1%8C%D0%BC","искать")</f>
        <v/>
      </c>
      <c r="N2652" s="3" t="n"/>
      <c r="O2652" s="2" t="n"/>
    </row>
    <row r="2653">
      <c r="A2653" s="2" t="n">
        <v>2652</v>
      </c>
      <c r="B2653" s="2" t="inlineStr">
        <is>
          <t>короткая</t>
        </is>
      </c>
      <c r="C2653" s="2" t="n">
        <v>10333</v>
      </c>
      <c r="D2653" s="3" t="inlineStr">
        <is>
          <t>Строгая девушка</t>
        </is>
      </c>
      <c r="E2653" s="2" t="n">
        <v>1969</v>
      </c>
      <c r="F2653" s="2" t="inlineStr">
        <is>
          <t>фильм-спектакль</t>
        </is>
      </c>
      <c r="G2653" s="2" t="inlineStr">
        <is>
          <t>Центральное телевидение</t>
        </is>
      </c>
      <c r="H2653" s="2" t="n">
        <v>273</v>
      </c>
      <c r="I2653" s="2" t="inlineStr"/>
      <c r="J2653" s="2" t="inlineStr"/>
      <c r="K2653" s="3" t="inlineStr">
        <is>
          <t>По одноименной пьесе Самуила Алёшина (1953-го года).
Девятиклассница Тоня осталась сиротой. Девушка приходит на завод, где когда-то работал ее отец. О том, как непросто складывалась ее трудовая биография и отношения с коллективом, о ее трудной любви рассказывает спектакль.</t>
        </is>
      </c>
      <c r="L2653" s="2" t="inlineStr">
        <is>
          <t>https://www.kino-teatr.ru/teatr/movie/17113/annot/</t>
        </is>
      </c>
      <c r="M2653" s="2">
        <f>HYPERLINK("https://ru.wikipedia.org/w/index.php?search=%D0%A1%D1%82%D1%80%D0%BE%D0%B3%D0%B0%D1%8F%20%D0%B4%D0%B5%D0%B2%D1%83%D1%88%D0%BA%D0%B0%201969%20%D1%84%D0%B8%D0%BB%D1%8C%D0%BC","искать")</f>
        <v/>
      </c>
      <c r="N2653" s="3" t="n"/>
      <c r="O2653" s="2" t="n"/>
    </row>
    <row r="2654">
      <c r="A2654" s="2" t="n">
        <v>2653</v>
      </c>
      <c r="B2654" s="2" t="inlineStr">
        <is>
          <t>короткая</t>
        </is>
      </c>
      <c r="C2654" s="2" t="n">
        <v>10598</v>
      </c>
      <c r="D2654" s="3" t="inlineStr">
        <is>
          <t>Беда от нежного сердца</t>
        </is>
      </c>
      <c r="E2654" s="2" t="n">
        <v>1975</v>
      </c>
      <c r="F2654" s="2" t="inlineStr">
        <is>
          <t>фильм-спектакль</t>
        </is>
      </c>
      <c r="G2654" s="2" t="n"/>
      <c r="H2654" s="2" t="n">
        <v>273</v>
      </c>
      <c r="I2654" s="2" t="inlineStr"/>
      <c r="J2654" s="2" t="inlineStr"/>
      <c r="K2654" s="3" t="inlineStr">
        <is>
          <t>По одноименному водевилю Владимира Соллогуба.
Сын богатого откупщика Александр, приехавший из Тамбова в Петербург, влюбляется в один вечер сразу в трех девушек. Но после ряда комедийных перипетий все кончается благополучно, и Александр выбирает себе в жены самую достойную.</t>
        </is>
      </c>
      <c r="L2654" s="2" t="inlineStr">
        <is>
          <t>https://www.kino-teatr.ru/teatr/movie/16141/annot/</t>
        </is>
      </c>
      <c r="M2654" s="2">
        <f>HYPERLINK("https://ru.wikipedia.org/w/index.php?search=%D0%91%D0%B5%D0%B4%D0%B0%20%D0%BE%D1%82%20%D0%BD%D0%B5%D0%B6%D0%BD%D0%BE%D0%B3%D0%BE%20%D1%81%D0%B5%D1%80%D0%B4%D1%86%D0%B0%201975%20%D1%84%D0%B8%D0%BB%D1%8C%D0%BC","искать")</f>
        <v/>
      </c>
      <c r="N2654" s="3" t="n"/>
      <c r="O2654" s="2" t="n"/>
    </row>
    <row r="2655">
      <c r="A2655" s="2" t="n">
        <v>2654</v>
      </c>
      <c r="B2655" s="2" t="inlineStr">
        <is>
          <t>короткая</t>
        </is>
      </c>
      <c r="C2655" s="2" t="n">
        <v>11368</v>
      </c>
      <c r="D2655" s="3" t="inlineStr">
        <is>
          <t>Город и песня</t>
        </is>
      </c>
      <c r="E2655" s="2" t="n">
        <v>1968</v>
      </c>
      <c r="F2655" s="2" t="inlineStr">
        <is>
          <t>не игровое</t>
        </is>
      </c>
      <c r="G2655" s="2" t="n"/>
      <c r="H2655" s="2" t="n">
        <v>273</v>
      </c>
      <c r="I2655" s="2" t="inlineStr"/>
      <c r="J2655" s="2" t="inlineStr"/>
      <c r="K2655" s="3" t="inlineStr">
        <is>
          <t>Фильм-концерт, снятый на фоне Ленинграда, черноморского побережья и берёзового леса. С участием артистов Ленинградского театра имени Ленинского комсомола, артистов балета Ленинградского мюзик-холла, певиц сестёр Фёдоровых, ансамбля пантомимы Ленинградского театра миниатюр.</t>
        </is>
      </c>
      <c r="L2655" s="2" t="inlineStr">
        <is>
          <t>Кино_СССР телефильмы и пропуски включить в базу.xlsx</t>
        </is>
      </c>
      <c r="M2655" s="2">
        <f>HYPERLINK("https://ru.wikipedia.org/w/index.php?search=%D0%93%D0%BE%D1%80%D0%BE%D0%B4%20%D0%B8%20%D0%BF%D0%B5%D1%81%D0%BD%D1%8F%201968%20%D1%84%D0%B8%D0%BB%D1%8C%D0%BC","искать")</f>
        <v/>
      </c>
      <c r="N2655" s="3" t="n"/>
      <c r="O2655" s="2" t="n"/>
    </row>
    <row r="2656">
      <c r="A2656" s="2" t="n">
        <v>2655</v>
      </c>
      <c r="B2656" s="2" t="inlineStr">
        <is>
          <t>короткая</t>
        </is>
      </c>
      <c r="C2656" s="2" t="n">
        <v>8025</v>
      </c>
      <c r="D2656" s="3" t="inlineStr">
        <is>
          <t>Обыкновенная Арктика</t>
        </is>
      </c>
      <c r="E2656" s="2" t="n">
        <v>1976</v>
      </c>
      <c r="F2656" s="2" t="inlineStr">
        <is>
          <t>телефильм</t>
        </is>
      </c>
      <c r="G2656" s="2" t="n"/>
      <c r="H2656" s="2" t="n">
        <v>274</v>
      </c>
      <c r="I2656" s="2" t="inlineStr"/>
      <c r="J2656" s="2" t="inlineStr"/>
      <c r="K2656" s="3" t="inlineStr">
        <is>
          <t>Телефильм. В основе сюжета использованы рассказы Б.Горбатова "Суд над Степаном Грохотом", "Роды на огуречной земле", "Торговец Лабас", "Большая вода". Основное обстоятельство сюжета - пять дней пурги, начавшейся сразу после прибытия на арктическую стройку нового начальника.</t>
        </is>
      </c>
      <c r="L2656" s="2" t="inlineStr">
        <is>
          <t>Кино_СССР сводный каталог.xlsx: список телефильмов</t>
        </is>
      </c>
      <c r="M2656" s="2">
        <f>HYPERLINK("https://ru.wikipedia.org/w/index.php?search=%D0%9E%D0%B1%D1%8B%D0%BA%D0%BD%D0%BE%D0%B2%D0%B5%D0%BD%D0%BD%D0%B0%D1%8F%20%D0%90%D1%80%D0%BA%D1%82%D0%B8%D0%BA%D0%B0%201976%20%D1%84%D0%B8%D0%BB%D1%8C%D0%BC","искать")</f>
        <v/>
      </c>
      <c r="N2656" s="3" t="n"/>
      <c r="O2656" s="2" t="n"/>
    </row>
    <row r="2657">
      <c r="A2657" s="2" t="n">
        <v>2656</v>
      </c>
      <c r="B2657" s="2" t="inlineStr">
        <is>
          <t>короткая</t>
        </is>
      </c>
      <c r="C2657" s="2" t="n">
        <v>8459</v>
      </c>
      <c r="D2657" s="3" t="inlineStr">
        <is>
          <t>Тогда в январе...</t>
        </is>
      </c>
      <c r="E2657" s="2" t="n">
        <v>1967</v>
      </c>
      <c r="F2657" s="2" t="inlineStr">
        <is>
          <t>телефильм</t>
        </is>
      </c>
      <c r="G2657" s="2" t="n"/>
      <c r="H2657" s="2" t="n">
        <v>274</v>
      </c>
      <c r="I2657" s="2" t="inlineStr"/>
      <c r="J2657" s="2" t="inlineStr"/>
      <c r="K2657" s="3" t="inlineStr">
        <is>
          <t>Телефильм по повести Виктора Богатырёва "Посылка". Девясил - это целебный корень наподобие женьшеня. По кубанскому поверью, выкопанный в лесу под старый Новый год, он вылечивает любую болезнь. Дети с кубанского хутора Чёрный Ерик узнают о болезни Ленина и решают ему помочь.</t>
        </is>
      </c>
      <c r="L2657" s="2" t="inlineStr">
        <is>
          <t>Кино_СССР сводный каталог.xlsx: список телефильмов</t>
        </is>
      </c>
      <c r="M2657" s="2">
        <f>HYPERLINK("https://ru.wikipedia.org/w/index.php?search=%D0%A2%D0%BE%D0%B3%D0%B4%D0%B0%20%D0%B2%20%D1%8F%D0%BD%D0%B2%D0%B0%D1%80%D0%B5...%201967%20%D1%84%D0%B8%D0%BB%D1%8C%D0%BC","искать")</f>
        <v/>
      </c>
      <c r="N2657" s="3" t="n"/>
      <c r="O2657" s="2" t="n"/>
    </row>
    <row r="2658">
      <c r="A2658" s="2" t="n">
        <v>2657</v>
      </c>
      <c r="B2658" s="2" t="inlineStr">
        <is>
          <t>короткая</t>
        </is>
      </c>
      <c r="C2658" s="2" t="n">
        <v>8762</v>
      </c>
      <c r="D2658" s="3" t="inlineStr">
        <is>
          <t>Квартет</t>
        </is>
      </c>
      <c r="E2658" s="2" t="n">
        <v>1987</v>
      </c>
      <c r="F2658" s="2" t="inlineStr">
        <is>
          <t>кинофильм</t>
        </is>
      </c>
      <c r="G2658" s="2" t="n"/>
      <c r="H2658" s="2" t="n">
        <v>274</v>
      </c>
      <c r="I2658" s="2" t="inlineStr"/>
      <c r="J2658" s="2" t="inlineStr"/>
      <c r="K2658" s="3" t="inlineStr">
        <is>
          <t>Քառյակ Успех сопутствует выступлениям квартета. Но музыкантов мучает чувство неудовлетворенности. Они считают, что работая в коллективе, теряют индивидуальность. Квартет оказывается на грани распада. Однако трагическая смерть одного из них заставляет их много переосмыслить.</t>
        </is>
      </c>
      <c r="L2658" s="2" t="inlineStr">
        <is>
          <t>Кино_СССР сводный каталог.xlsx: список фильмов (доп.)</t>
        </is>
      </c>
      <c r="M2658" s="2">
        <f>HYPERLINK("https://ru.wikipedia.org/w/index.php?search=%D0%9A%D0%B2%D0%B0%D1%80%D1%82%D0%B5%D1%82%201987%20%D1%84%D0%B8%D0%BB%D1%8C%D0%BC","искать")</f>
        <v/>
      </c>
      <c r="N2658" s="3" t="n"/>
      <c r="O2658" s="2" t="n"/>
    </row>
    <row r="2659">
      <c r="A2659" s="2" t="n">
        <v>2658</v>
      </c>
      <c r="B2659" s="2" t="inlineStr">
        <is>
          <t>короткая</t>
        </is>
      </c>
      <c r="C2659" s="2" t="n">
        <v>9030</v>
      </c>
      <c r="D2659" s="3" t="inlineStr">
        <is>
          <t>Свадебное путешествие перед свадьбой</t>
        </is>
      </c>
      <c r="E2659" s="2" t="n">
        <v>1982</v>
      </c>
      <c r="F2659" s="2" t="inlineStr">
        <is>
          <t>кинофильм</t>
        </is>
      </c>
      <c r="G2659" s="2" t="n"/>
      <c r="H2659" s="2" t="n">
        <v>274</v>
      </c>
      <c r="I2659" s="2" t="inlineStr"/>
      <c r="J2659" s="2" t="inlineStr"/>
      <c r="K2659" s="3" t="inlineStr">
        <is>
          <t>Санда и Нику уже год как женаты, но тщательно скрывают это от родителей, которые мечтали о шумной и большой свадьбе. Комические ситуации, в которые попадают герои фильма, стремясь избежать традиционных излишеств, к всеобщему удовольствию заканчиваются праздником всего села.</t>
        </is>
      </c>
      <c r="L2659" s="2" t="inlineStr">
        <is>
          <t>Кино_СССР сводный каталог.xlsx: список фильмов (доп.)</t>
        </is>
      </c>
      <c r="M2659" s="2">
        <f>HYPERLINK("https://ru.wikipedia.org/w/index.php?search=%D0%A1%D0%B2%D0%B0%D0%B4%D0%B5%D0%B1%D0%BD%D0%BE%D0%B5%20%D0%BF%D1%83%D1%82%D0%B5%D1%88%D0%B5%D1%81%D1%82%D0%B2%D0%B8%D0%B5%20%D0%BF%D0%B5%D1%80%D0%B5%D0%B4%20%D1%81%D0%B2%D0%B0%D0%B4%D1%8C%D0%B1%D0%BE%D0%B9%201982%20%D1%84%D0%B8%D0%BB%D1%8C%D0%BC","искать")</f>
        <v/>
      </c>
      <c r="N2659" s="3" t="n"/>
      <c r="O2659" s="2" t="n"/>
    </row>
    <row r="2660">
      <c r="A2660" s="2" t="n">
        <v>2659</v>
      </c>
      <c r="B2660" s="2" t="inlineStr">
        <is>
          <t>короткая</t>
        </is>
      </c>
      <c r="C2660" s="2" t="n">
        <v>10873</v>
      </c>
      <c r="D2660" s="3" t="inlineStr">
        <is>
          <t>50 лет театру кукол Сергея Образцова</t>
        </is>
      </c>
      <c r="E2660" s="2" t="n">
        <v>1981</v>
      </c>
      <c r="F2660" s="2" t="inlineStr">
        <is>
          <t>фильм-спектакль</t>
        </is>
      </c>
      <c r="G2660" s="2" t="n"/>
      <c r="H2660" s="2" t="n">
        <v>274</v>
      </c>
      <c r="I2660" s="2" t="inlineStr"/>
      <c r="J2660" s="2" t="inlineStr"/>
      <c r="K2660" s="3" t="inlineStr">
        <is>
          <t>Юбилейный вечер, посвященный 50-летию основания Государственного академического театра кукол под руководством С.Образцова и 80-летию Сергея Образцова. Вечер проходил на сцене театра в сентябре 1981 года и состоял из поздравлений-капустников, и отрывков из спектаклей театра.</t>
        </is>
      </c>
      <c r="L2660" s="2" t="inlineStr">
        <is>
          <t>https://www.kino-teatr.ru/teatr/movie/111583/annot/</t>
        </is>
      </c>
      <c r="M2660" s="2">
        <f>HYPERLINK("https://ru.wikipedia.org/w/index.php?search=50%20%D0%BB%D0%B5%D1%82%20%D1%82%D0%B5%D0%B0%D1%82%D1%80%D1%83%20%D0%BA%D1%83%D0%BA%D0%BE%D0%BB%20%D0%A1%D0%B5%D1%80%D0%B3%D0%B5%D1%8F%20%D0%9E%D0%B1%D1%80%D0%B0%D0%B7%D1%86%D0%BE%D0%B2%D0%B0%201981%20%D1%84%D0%B8%D0%BB%D1%8C%D0%BC","искать")</f>
        <v/>
      </c>
      <c r="N2660" s="3" t="n"/>
      <c r="O2660" s="2" t="n"/>
    </row>
    <row r="2661">
      <c r="A2661" s="2" t="n">
        <v>2660</v>
      </c>
      <c r="B2661" s="2" t="inlineStr">
        <is>
          <t>короткая</t>
        </is>
      </c>
      <c r="C2661" s="2" t="n">
        <v>7831</v>
      </c>
      <c r="D2661" s="3" t="inlineStr">
        <is>
          <t>Любочка</t>
        </is>
      </c>
      <c r="E2661" s="2" t="n">
        <v>1984</v>
      </c>
      <c r="F2661" s="2" t="inlineStr">
        <is>
          <t>телефильм</t>
        </is>
      </c>
      <c r="G2661" s="2" t="n"/>
      <c r="H2661" s="2" t="n">
        <v>275</v>
      </c>
      <c r="I2661" s="2" t="inlineStr"/>
      <c r="J2661" s="2" t="inlineStr"/>
      <c r="K2661" s="3" t="inlineStr">
        <is>
          <t>Телефильм. Выпускница музыкального училища Любочка Веткина соглашается временно поработать в детском саду. После ряда комических приключений, которые Любочка пережила вместе с малышами, она приходит к неожиданному для себя решению посвятить свою жизнь воспитанию чужих детей.</t>
        </is>
      </c>
      <c r="L2661" s="2" t="inlineStr">
        <is>
          <t>Кино_СССР сводный каталог.xlsx: список телефильмов</t>
        </is>
      </c>
      <c r="M2661" s="2">
        <f>HYPERLINK("https://ru.wikipedia.org/w/index.php?search=%D0%9B%D1%8E%D0%B1%D0%BE%D1%87%D0%BA%D0%B0%201984%20%D1%84%D0%B8%D0%BB%D1%8C%D0%BC","искать")</f>
        <v/>
      </c>
      <c r="N2661" s="3" t="n"/>
      <c r="O2661" s="2" t="n"/>
    </row>
    <row r="2662">
      <c r="A2662" s="2" t="n">
        <v>2661</v>
      </c>
      <c r="B2662" s="2" t="inlineStr">
        <is>
          <t>короткая</t>
        </is>
      </c>
      <c r="C2662" s="2" t="n">
        <v>7895</v>
      </c>
      <c r="D2662" s="3" t="inlineStr">
        <is>
          <t>Молодой пенсионер</t>
        </is>
      </c>
      <c r="E2662" s="2" t="n">
        <v>1972</v>
      </c>
      <c r="F2662" s="2" t="inlineStr">
        <is>
          <t>телефильм</t>
        </is>
      </c>
      <c r="G2662" s="2" t="n"/>
      <c r="H2662" s="2" t="n">
        <v>275</v>
      </c>
      <c r="I2662" s="2" t="inlineStr"/>
      <c r="J2662" s="2" t="inlineStr"/>
      <c r="K2662" s="3" t="inlineStr">
        <is>
          <t>Телефильм. Однажды молодой и полный жизненных сил мужчина вынужден завершить карьеру артиста балета и найти себе новое место в жизни. Судьба сводит его с талантливой молодой девушкой, мать которой уже давно искала для дочери репетитора. Начинаются полные событий приключения.</t>
        </is>
      </c>
      <c r="L2662" s="2" t="inlineStr">
        <is>
          <t>Кино_СССР сводный каталог.xlsx: список телефильмов</t>
        </is>
      </c>
      <c r="M2662" s="2">
        <f>HYPERLINK("https://ru.wikipedia.org/w/index.php?search=%D0%9C%D0%BE%D0%BB%D0%BE%D0%B4%D0%BE%D0%B9%20%D0%BF%D0%B5%D0%BD%D1%81%D0%B8%D0%BE%D0%BD%D0%B5%D1%80%201972%20%D1%84%D0%B8%D0%BB%D1%8C%D0%BC","искать")</f>
        <v/>
      </c>
      <c r="N2662" s="3" t="n"/>
      <c r="O2662" s="2" t="n"/>
    </row>
    <row r="2663">
      <c r="A2663" s="2" t="n">
        <v>2662</v>
      </c>
      <c r="B2663" s="2" t="inlineStr">
        <is>
          <t>короткая</t>
        </is>
      </c>
      <c r="C2663" s="2" t="n">
        <v>8198</v>
      </c>
      <c r="D2663" s="3" t="inlineStr">
        <is>
          <t>Призвание</t>
        </is>
      </c>
      <c r="E2663" s="2" t="n">
        <v>1975</v>
      </c>
      <c r="F2663" s="2" t="inlineStr">
        <is>
          <t>телефильм</t>
        </is>
      </c>
      <c r="G2663" s="2" t="n"/>
      <c r="H2663" s="2" t="n">
        <v>275</v>
      </c>
      <c r="I2663" s="2" t="inlineStr"/>
      <c r="J2663" s="2" t="inlineStr"/>
      <c r="K2663" s="3" t="inlineStr">
        <is>
          <t>Герой фильма - велогонщик, который мечтает о тренерской работе. Проиграв своему молодому протеже, Игорь искренне радуется успеху товарища. Веря в его успех, он даже уступает ему свое место, когда у команды появляется возможность принять участие в международных соревнованиях.</t>
        </is>
      </c>
      <c r="L2663" s="2" t="inlineStr">
        <is>
          <t>Кино_СССР сводный каталог.xlsx: список телефильмов</t>
        </is>
      </c>
      <c r="M2663" s="2">
        <f>HYPERLINK("https://ru.wikipedia.org/w/index.php?search=%D0%9F%D1%80%D0%B8%D0%B7%D0%B2%D0%B0%D0%BD%D0%B8%D0%B5%201975%20%D1%84%D0%B8%D0%BB%D1%8C%D0%BC","искать")</f>
        <v/>
      </c>
      <c r="N2663" s="3" t="n"/>
      <c r="O2663" s="2" t="n"/>
    </row>
    <row r="2664">
      <c r="A2664" s="2" t="n">
        <v>2663</v>
      </c>
      <c r="B2664" s="2" t="inlineStr">
        <is>
          <t>короткая</t>
        </is>
      </c>
      <c r="C2664" s="2" t="n">
        <v>8534</v>
      </c>
      <c r="D2664" s="3" t="inlineStr">
        <is>
          <t>Цена возврата</t>
        </is>
      </c>
      <c r="E2664" s="2" t="n">
        <v>1983</v>
      </c>
      <c r="F2664" s="2" t="inlineStr">
        <is>
          <t>телефильм</t>
        </is>
      </c>
      <c r="G2664" s="2" t="n"/>
      <c r="H2664" s="2" t="n">
        <v>275</v>
      </c>
      <c r="I2664" s="2" t="inlineStr"/>
      <c r="J2664" s="2" t="inlineStr"/>
      <c r="K2664" s="3" t="inlineStr">
        <is>
          <t>Во время немецкой оккупации Крыма разведчик Гайк Майдеросов, выполняя задание партизан, устраивается на работу в комендатуру Феодосии. Одновременно с этим он спасает и отправляет на "большую землю" одну из самых ценных картин Айвазовского, которая оказалась в руках у немцев.</t>
        </is>
      </c>
      <c r="L2664" s="2" t="inlineStr">
        <is>
          <t>Кино_СССР сводный каталог.xlsx: список телефильмов</t>
        </is>
      </c>
      <c r="M2664" s="2">
        <f>HYPERLINK("https://ru.wikipedia.org/w/index.php?search=%D0%A6%D0%B5%D0%BD%D0%B0%20%D0%B2%D0%BE%D0%B7%D0%B2%D1%80%D0%B0%D1%82%D0%B0%201983%20%D1%84%D0%B8%D0%BB%D1%8C%D0%BC","искать")</f>
        <v/>
      </c>
      <c r="N2664" s="3" t="n"/>
      <c r="O2664" s="2" t="n"/>
    </row>
    <row r="2665">
      <c r="A2665" s="2" t="n">
        <v>2664</v>
      </c>
      <c r="B2665" s="2" t="inlineStr">
        <is>
          <t>короткая</t>
        </is>
      </c>
      <c r="C2665" s="2" t="n">
        <v>8659</v>
      </c>
      <c r="D2665" s="3" t="inlineStr">
        <is>
          <t>Вождь на одну смену</t>
        </is>
      </c>
      <c r="E2665" s="2" t="n">
        <v>1989</v>
      </c>
      <c r="F2665" s="2" t="inlineStr">
        <is>
          <t>кинофильм</t>
        </is>
      </c>
      <c r="G2665" s="2" t="n"/>
      <c r="H2665" s="2" t="n">
        <v>275</v>
      </c>
      <c r="I2665" s="2" t="inlineStr"/>
      <c r="J2665" s="2" t="inlineStr"/>
      <c r="K2665" s="3" t="inlineStr">
        <is>
          <t>По повести Ф.Камалова «Война Красного Лиса». Писатель Баярд по просьбе своего друга, директора пионерского лагеря, соглашается на какое-то время поработать с детьми. Герой выдумывает для ребят игру в индейцев и призывает всех соблюдать клятву — жить по древним законам чести.</t>
        </is>
      </c>
      <c r="L2665" s="2" t="inlineStr">
        <is>
          <t>Кино_СССР сводный каталог.xlsx: список фильмов (доп.)</t>
        </is>
      </c>
      <c r="M2665" s="2">
        <f>HYPERLINK("https://ru.wikipedia.org/w/index.php?search=%D0%92%D0%BE%D0%B6%D0%B4%D1%8C%20%D0%BD%D0%B0%20%D0%BE%D0%B4%D0%BD%D1%83%20%D1%81%D0%BC%D0%B5%D0%BD%D1%83%201989%20%D1%84%D0%B8%D0%BB%D1%8C%D0%BC","искать")</f>
        <v/>
      </c>
      <c r="N2665" s="3" t="n"/>
      <c r="O2665" s="2" t="n"/>
    </row>
    <row r="2666">
      <c r="A2666" s="2" t="n">
        <v>2665</v>
      </c>
      <c r="B2666" s="2" t="inlineStr">
        <is>
          <t>короткая</t>
        </is>
      </c>
      <c r="C2666" s="2" t="n">
        <v>7811</v>
      </c>
      <c r="D2666" s="3" t="inlineStr">
        <is>
          <t>Лицо на мишени</t>
        </is>
      </c>
      <c r="E2666" s="2" t="n">
        <v>1978</v>
      </c>
      <c r="F2666" s="2" t="inlineStr">
        <is>
          <t>телефильм</t>
        </is>
      </c>
      <c r="G2666" s="2" t="n"/>
      <c r="H2666" s="2" t="n">
        <v>276</v>
      </c>
      <c r="I2666" s="2" t="inlineStr"/>
      <c r="J2666" s="2" t="inlineStr"/>
      <c r="K2666" s="3" t="inlineStr">
        <is>
          <t>Телефильм. Психологический детектив по мотивам новелл Г. К. Честертона. Конец 19-го века. В заброшенном замке собирается тайное масонское общество. Заседание прерывается убийством хозяина замка. Впрочем, выясняется, что убили двойника. Но за этим следует новая череда убийств.</t>
        </is>
      </c>
      <c r="L2666" s="2" t="inlineStr">
        <is>
          <t>Кино_СССР сводный каталог.xlsx: список телефильмов</t>
        </is>
      </c>
      <c r="M2666" s="2">
        <f>HYPERLINK("https://ru.wikipedia.org/w/index.php?search=%D0%9B%D0%B8%D1%86%D0%BE%20%D0%BD%D0%B0%20%D0%BC%D0%B8%D1%88%D0%B5%D0%BD%D0%B8%201978%20%D1%84%D0%B8%D0%BB%D1%8C%D0%BC","искать")</f>
        <v/>
      </c>
      <c r="N2666" s="3" t="n"/>
      <c r="O2666" s="2" t="n"/>
    </row>
    <row r="2667">
      <c r="A2667" s="2" t="n">
        <v>2666</v>
      </c>
      <c r="B2667" s="2" t="inlineStr">
        <is>
          <t>короткая</t>
        </is>
      </c>
      <c r="C2667" s="2" t="n">
        <v>8095</v>
      </c>
      <c r="D2667" s="3" t="inlineStr">
        <is>
          <t>Перед самим собой</t>
        </is>
      </c>
      <c r="E2667" s="2" t="n">
        <v>1985</v>
      </c>
      <c r="F2667" s="2" t="inlineStr">
        <is>
          <t>телефильм</t>
        </is>
      </c>
      <c r="G2667" s="2" t="n"/>
      <c r="H2667" s="2" t="n">
        <v>276</v>
      </c>
      <c r="I2667" s="2" t="inlineStr"/>
      <c r="J2667" s="2" t="inlineStr"/>
      <c r="K2667" s="3" t="inlineStr">
        <is>
          <t>По мотивам повести П.Проскурина "Черные птицы". Память о молодом многообещающем композиторе Глебе Шубникове помогла его вдове и его другу Сане найти свое место в жизни... Известный музыкант и композитор Александр Евгеньевич Воробьёв достиг всевозможных государственных наград.</t>
        </is>
      </c>
      <c r="L2667" s="2" t="inlineStr">
        <is>
          <t>Кино_СССР сводный каталог.xlsx: список телефильмов</t>
        </is>
      </c>
      <c r="M2667" s="2">
        <f>HYPERLINK("https://ru.wikipedia.org/w/index.php?search=%D0%9F%D0%B5%D1%80%D0%B5%D0%B4%20%D1%81%D0%B0%D0%BC%D0%B8%D0%BC%20%D1%81%D0%BE%D0%B1%D0%BE%D0%B9%201985%20%D1%84%D0%B8%D0%BB%D1%8C%D0%BC","искать")</f>
        <v/>
      </c>
      <c r="N2667" s="3" t="n"/>
      <c r="O2667" s="2" t="n"/>
    </row>
    <row r="2668">
      <c r="A2668" s="2" t="n">
        <v>2667</v>
      </c>
      <c r="B2668" s="2" t="inlineStr">
        <is>
          <t>короткая</t>
        </is>
      </c>
      <c r="C2668" s="2" t="n">
        <v>10004</v>
      </c>
      <c r="D2668" s="3" t="inlineStr">
        <is>
          <t>Апрель</t>
        </is>
      </c>
      <c r="E2668" s="2" t="n">
        <v>1985</v>
      </c>
      <c r="F2668" s="2" t="inlineStr">
        <is>
          <t>кинофильм</t>
        </is>
      </c>
      <c r="G2668" s="2" t="inlineStr">
        <is>
          <t>Арменфильм (для студии "Дебют")</t>
        </is>
      </c>
      <c r="H2668" s="2" t="n">
        <v>276</v>
      </c>
      <c r="I2668" s="2" t="inlineStr"/>
      <c r="J2668" s="2" t="inlineStr"/>
      <c r="K2668" s="3" t="inlineStr">
        <is>
          <t>Действие фильма разворачивается в середине 80-х в горной армянской деревушке и охватывает всего один день, 24 апреля – день траура по жертвам геноцида 1915 года. Герои фильма – потомки тех, кто чудом спасся от резни, – помнят уроки истории, передают эту память детям и внукам.</t>
        </is>
      </c>
      <c r="L2668" s="2" t="inlineStr">
        <is>
          <t>https://www.kino-teatr.ru/short/movie/sov/11071/annot/</t>
        </is>
      </c>
      <c r="M2668" s="2">
        <f>HYPERLINK("https://ru.wikipedia.org/w/index.php?search=%D0%90%D0%BF%D1%80%D0%B5%D0%BB%D1%8C%201985%20%D1%84%D0%B8%D0%BB%D1%8C%D0%BC","искать")</f>
        <v/>
      </c>
      <c r="N2668" s="3" t="n"/>
      <c r="O2668" s="2" t="n"/>
    </row>
    <row r="2669">
      <c r="A2669" s="2" t="n">
        <v>2668</v>
      </c>
      <c r="B2669" s="2" t="inlineStr">
        <is>
          <t>короткая</t>
        </is>
      </c>
      <c r="C2669" s="2" t="n">
        <v>7930</v>
      </c>
      <c r="D2669" s="3" t="inlineStr">
        <is>
          <t>На исходе лета</t>
        </is>
      </c>
      <c r="E2669" s="2" t="n">
        <v>1979</v>
      </c>
      <c r="F2669" s="2" t="inlineStr">
        <is>
          <t>телефильм</t>
        </is>
      </c>
      <c r="G2669" s="2" t="n"/>
      <c r="H2669" s="2" t="n">
        <v>277</v>
      </c>
      <c r="I2669" s="2" t="inlineStr"/>
      <c r="J2669" s="2" t="inlineStr"/>
      <c r="K2669" s="3" t="inlineStr">
        <is>
          <t>Телефильм. Старик, нуждающийся в уходе и внимании, переезжает к сыну в город. Но вскоре сын и его жена отправляют старика в приют для престарелых. Однако внук, полюбивший деда и понявший всю жестокость происходящего, уходит от родителей и забирает старика к своей будущей жене.</t>
        </is>
      </c>
      <c r="L2669" s="2" t="inlineStr">
        <is>
          <t>Кино_СССР сводный каталог.xlsx: список телефильмов</t>
        </is>
      </c>
      <c r="M2669" s="2">
        <f>HYPERLINK("https://ru.wikipedia.org/w/index.php?search=%D0%9D%D0%B0%20%D0%B8%D1%81%D1%85%D0%BE%D0%B4%D0%B5%20%D0%BB%D0%B5%D1%82%D0%B0%201979%20%D1%84%D0%B8%D0%BB%D1%8C%D0%BC","искать")</f>
        <v/>
      </c>
      <c r="N2669" s="3" t="n"/>
      <c r="O2669" s="2" t="n"/>
    </row>
    <row r="2670">
      <c r="A2670" s="2" t="n">
        <v>2669</v>
      </c>
      <c r="B2670" s="2" t="inlineStr">
        <is>
          <t>короткая</t>
        </is>
      </c>
      <c r="C2670" s="2" t="n">
        <v>8036</v>
      </c>
      <c r="D2670" s="3" t="inlineStr">
        <is>
          <t>Однокашники</t>
        </is>
      </c>
      <c r="E2670" s="2" t="n">
        <v>1978</v>
      </c>
      <c r="F2670" s="2" t="inlineStr">
        <is>
          <t>телефильм</t>
        </is>
      </c>
      <c r="G2670" s="2" t="n"/>
      <c r="H2670" s="2" t="n">
        <v>277</v>
      </c>
      <c r="I2670" s="2" t="inlineStr"/>
      <c r="J2670" s="2" t="inlineStr"/>
      <c r="K2670" s="3" t="inlineStr">
        <is>
          <t>Телефильм по мотивам повести Иосифа Герасимова «Пуск». О вводе в строй нового прокатного цеха на металлургическом заводе. В основе сюжета — взаимоотношения двух товарищей по учебе в институте — руководящего работника министерства, приехавшего на пуск стана, и директора завода.</t>
        </is>
      </c>
      <c r="L2670" s="2" t="inlineStr">
        <is>
          <t>Кино_СССР сводный каталог.xlsx: список телефильмов</t>
        </is>
      </c>
      <c r="M2670" s="2">
        <f>HYPERLINK("https://ru.wikipedia.org/w/index.php?search=%D0%9E%D0%B4%D0%BD%D0%BE%D0%BA%D0%B0%D1%88%D0%BD%D0%B8%D0%BA%D0%B8%201978%20%D1%84%D0%B8%D0%BB%D1%8C%D0%BC","искать")</f>
        <v/>
      </c>
      <c r="N2670" s="3" t="n"/>
      <c r="O2670" s="2" t="n"/>
    </row>
    <row r="2671">
      <c r="A2671" s="2" t="n">
        <v>2670</v>
      </c>
      <c r="B2671" s="2" t="inlineStr">
        <is>
          <t>короткая</t>
        </is>
      </c>
      <c r="C2671" s="2" t="n">
        <v>8398</v>
      </c>
      <c r="D2671" s="3" t="inlineStr">
        <is>
          <t>Старший сын</t>
        </is>
      </c>
      <c r="E2671" s="2" t="n">
        <v>1975</v>
      </c>
      <c r="F2671" s="2" t="inlineStr">
        <is>
          <t>телефильм</t>
        </is>
      </c>
      <c r="G2671" s="2" t="inlineStr">
        <is>
          <t>Ленфильм</t>
        </is>
      </c>
      <c r="H2671" s="2" t="n">
        <v>277</v>
      </c>
      <c r="I2671" s="2" t="inlineStr"/>
      <c r="J2671" s="2" t="inlineStr"/>
      <c r="K2671" s="3" t="inlineStr">
        <is>
          <t>Телефильм по пьесе Александра Вампилова "Старший сын". Двое парней, опоздав на последнюю электричку и изрядно замерзнув, стучатся в первый попавшийся дом. Один из них, непутевый великовозрастный балбес, решает разыграть пожилого человека и выдает себя за сына хозяина квартиры.</t>
        </is>
      </c>
      <c r="L2671" s="2" t="inlineStr">
        <is>
          <t>Кино_СССР сводный каталог.xlsx: список телефильмов</t>
        </is>
      </c>
      <c r="M2671" s="2">
        <f>HYPERLINK("https://ru.wikipedia.org/w/index.php?search=%D0%A1%D1%82%D0%B0%D1%80%D1%88%D0%B8%D0%B9%20%D1%81%D1%8B%D0%BD%201975%20%D1%84%D0%B8%D0%BB%D1%8C%D0%BC","искать")</f>
        <v/>
      </c>
      <c r="N2671" s="3" t="n"/>
      <c r="O2671" s="2" t="n"/>
    </row>
    <row r="2672">
      <c r="A2672" s="2" t="n">
        <v>2671</v>
      </c>
      <c r="B2672" s="2" t="inlineStr">
        <is>
          <t>короткая</t>
        </is>
      </c>
      <c r="C2672" s="2" t="n">
        <v>8758</v>
      </c>
      <c r="D2672" s="3" t="inlineStr">
        <is>
          <t>Канувшее время</t>
        </is>
      </c>
      <c r="E2672" s="2" t="n">
        <v>1989</v>
      </c>
      <c r="F2672" s="2" t="inlineStr">
        <is>
          <t>кинофильм</t>
        </is>
      </c>
      <c r="G2672" s="2" t="n"/>
      <c r="H2672" s="2" t="n">
        <v>277</v>
      </c>
      <c r="I2672" s="2" t="inlineStr"/>
      <c r="J2672" s="2" t="inlineStr"/>
      <c r="K2672" s="3" t="inlineStr">
        <is>
          <t>Экранизация романа Александра Бека "Новое назначение" 50-е годы. Руководитель сталелитейной промышленности снят с должности и назначен послом в одну из северных стран Европы. Времени у него оказалось достаточно, чтобы осмыслить свою жизнь и понять истинную причину отстранения.</t>
        </is>
      </c>
      <c r="L2672" s="2" t="inlineStr">
        <is>
          <t>Кино_СССР сводный каталог.xlsx: список фильмов (доп.)</t>
        </is>
      </c>
      <c r="M2672" s="2">
        <f>HYPERLINK("https://ru.wikipedia.org/w/index.php?search=%D0%9A%D0%B0%D0%BD%D1%83%D0%B2%D1%88%D0%B5%D0%B5%20%D0%B2%D1%80%D0%B5%D0%BC%D1%8F%201989%20%D1%84%D0%B8%D0%BB%D1%8C%D0%BC","искать")</f>
        <v/>
      </c>
      <c r="N2672" s="3" t="n"/>
      <c r="O2672" s="2" t="n"/>
    </row>
    <row r="2673">
      <c r="A2673" s="2" t="n">
        <v>2672</v>
      </c>
      <c r="B2673" s="2" t="inlineStr">
        <is>
          <t>короткая</t>
        </is>
      </c>
      <c r="C2673" s="2" t="n">
        <v>9536</v>
      </c>
      <c r="D2673" s="3" t="inlineStr">
        <is>
          <t>Охота на сутенера</t>
        </is>
      </c>
      <c r="E2673" s="2" t="n">
        <v>1990</v>
      </c>
      <c r="F2673" s="2" t="inlineStr">
        <is>
          <t>кинофильм</t>
        </is>
      </c>
      <c r="G2673" s="2" t="n"/>
      <c r="H2673" s="2" t="n">
        <v>277</v>
      </c>
      <c r="I2673" s="2" t="inlineStr"/>
      <c r="J2673" s="2" t="inlineStr"/>
      <c r="K2673" s="3" t="inlineStr">
        <is>
          <t>Каждый зарабатывает деньги, как может. Воры обокрали квартиру нечистого на руку директора рынка. Подозрение падает на сутенера Стаса. Зная, что с него можно "снять" кругленькую сумму в валюте, директор нанимает крутых ребят, после этого жизнь Стаса превращается в кромешный ад.</t>
        </is>
      </c>
      <c r="L2673" s="2" t="inlineStr">
        <is>
          <t>Кино_СССР сводный каталог.xlsx: список фильмов (доп.)</t>
        </is>
      </c>
      <c r="M2673" s="2">
        <f>HYPERLINK("https://ru.wikipedia.org/w/index.php?search=%D0%9E%D1%85%D0%BE%D1%82%D0%B0%20%D0%BD%D0%B0%20%D1%81%D1%83%D1%82%D0%B5%D0%BD%D0%B5%D1%80%D0%B0%201990%20%D1%84%D0%B8%D0%BB%D1%8C%D0%BC","искать")</f>
        <v/>
      </c>
      <c r="N2673" s="3" t="n"/>
      <c r="O2673" s="2" t="n"/>
    </row>
    <row r="2674">
      <c r="A2674" s="2" t="n">
        <v>2673</v>
      </c>
      <c r="B2674" s="2" t="inlineStr">
        <is>
          <t>короткая</t>
        </is>
      </c>
      <c r="C2674" s="2" t="n">
        <v>10296</v>
      </c>
      <c r="D2674" s="3" t="inlineStr">
        <is>
          <t>Варшавская мелодия</t>
        </is>
      </c>
      <c r="E2674" s="2" t="n">
        <v>1969</v>
      </c>
      <c r="F2674" s="2" t="inlineStr">
        <is>
          <t>фильм-спектакль</t>
        </is>
      </c>
      <c r="G2674" s="2" t="inlineStr">
        <is>
          <t>ТОТ-ТО телефильмов</t>
        </is>
      </c>
      <c r="H2674" s="2" t="n">
        <v>277</v>
      </c>
      <c r="I2674" s="2" t="inlineStr"/>
      <c r="J2674" s="2" t="inlineStr"/>
      <c r="K2674" s="3" t="inlineStr">
        <is>
          <t>Телеспектакль поставлен по знаменитой пьесе известного драматурга Леонида ЗОРИНА в 1966 году в Театре им.Евг.Вахтангова.
Лирическая история варшавской девушки Гелены и московского парня Виктора, случайно встретившихся на концерте в консерватории в предновогодние дни 1946 года,</t>
        </is>
      </c>
      <c r="L2674" s="2" t="inlineStr">
        <is>
          <t>https://www.kino-teatr.ru/teatr/movie/10218/annot/</t>
        </is>
      </c>
      <c r="M2674" s="2">
        <f>HYPERLINK("https://ru.wikipedia.org/w/index.php?search=%D0%92%D0%B0%D1%80%D1%88%D0%B0%D0%B2%D1%81%D0%BA%D0%B0%D1%8F%20%D0%BC%D0%B5%D0%BB%D0%BE%D0%B4%D0%B8%D1%8F%201969%20%D1%84%D0%B8%D0%BB%D1%8C%D0%BC","искать")</f>
        <v/>
      </c>
      <c r="N2674" s="3" t="n"/>
      <c r="O2674" s="2" t="n"/>
    </row>
    <row r="2675">
      <c r="A2675" s="2" t="n">
        <v>2674</v>
      </c>
      <c r="B2675" s="2" t="inlineStr">
        <is>
          <t>короткая</t>
        </is>
      </c>
      <c r="C2675" s="2" t="n">
        <v>7887</v>
      </c>
      <c r="D2675" s="3" t="inlineStr">
        <is>
          <t>Моё дело</t>
        </is>
      </c>
      <c r="E2675" s="2" t="n">
        <v>1976</v>
      </c>
      <c r="F2675" s="2" t="inlineStr">
        <is>
          <t>телефильм</t>
        </is>
      </c>
      <c r="G2675" s="2" t="n"/>
      <c r="H2675" s="2" t="n">
        <v>278</v>
      </c>
      <c r="I2675" s="2" t="inlineStr"/>
      <c r="J2675" s="2" t="inlineStr"/>
      <c r="K2675" s="3" t="inlineStr">
        <is>
          <t>Телефильм по пьесе А. Вейцлера и А. Мишарина "День-деньской". Герой фильма Друянов - директор крупного котло- строительного завода - человек талантливый, обладающий огромным жизненным опытом, умеющий понять текущие задачи и заглянуть в будущее, но его собираются снять с работы.</t>
        </is>
      </c>
      <c r="L2675" s="2" t="inlineStr">
        <is>
          <t>Кино_СССР сводный каталог.xlsx: список телефильмов</t>
        </is>
      </c>
      <c r="M2675" s="2">
        <f>HYPERLINK("https://ru.wikipedia.org/w/index.php?search=%D0%9C%D0%BE%D1%91%20%D0%B4%D0%B5%D0%BB%D0%BE%201976%20%D1%84%D0%B8%D0%BB%D1%8C%D0%BC","искать")</f>
        <v/>
      </c>
      <c r="N2675" s="3" t="n"/>
      <c r="O2675" s="2" t="n"/>
    </row>
    <row r="2676">
      <c r="A2676" s="2" t="n">
        <v>2675</v>
      </c>
      <c r="B2676" s="2" t="inlineStr">
        <is>
          <t>короткая</t>
        </is>
      </c>
      <c r="C2676" s="2" t="n">
        <v>7973</v>
      </c>
      <c r="D2676" s="3" t="inlineStr">
        <is>
          <t>Нежность к ревущему зверю</t>
        </is>
      </c>
      <c r="E2676" s="2" t="n">
        <v>1982</v>
      </c>
      <c r="F2676" s="2" t="inlineStr">
        <is>
          <t>телефильм</t>
        </is>
      </c>
      <c r="G2676" s="2" t="n"/>
      <c r="H2676" s="2" t="n">
        <v>278</v>
      </c>
      <c r="I2676" s="2" t="inlineStr"/>
      <c r="J2676" s="2" t="inlineStr"/>
      <c r="K2676" s="3" t="inlineStr">
        <is>
          <t>Телесериал. Экранизация романа Александра Бахвалова. В основе сюжета рассказ-интервью, данный журналисту летчиком-испытателем Боровским. Испытания нового реактивного самолета, психология человеческой жизни, проблемы и радости жизни летчиков - все это тесно переплетено в фильме.</t>
        </is>
      </c>
      <c r="L2676" s="2" t="inlineStr">
        <is>
          <t>Кино_СССР сводный каталог.xlsx: список телефильмов</t>
        </is>
      </c>
      <c r="M2676" s="2">
        <f>HYPERLINK("https://ru.wikipedia.org/w/index.php?search=%D0%9D%D0%B5%D0%B6%D0%BD%D0%BE%D1%81%D1%82%D1%8C%20%D0%BA%20%D1%80%D0%B5%D0%B2%D1%83%D1%89%D0%B5%D0%BC%D1%83%20%D0%B7%D0%B2%D0%B5%D1%80%D1%8E%201982%20%D1%84%D0%B8%D0%BB%D1%8C%D0%BC","искать")</f>
        <v/>
      </c>
      <c r="N2676" s="3" t="n"/>
      <c r="O2676" s="2" t="n"/>
    </row>
    <row r="2677">
      <c r="A2677" s="2" t="n">
        <v>2676</v>
      </c>
      <c r="B2677" s="2" t="inlineStr">
        <is>
          <t>короткая</t>
        </is>
      </c>
      <c r="C2677" s="2" t="n">
        <v>8088</v>
      </c>
      <c r="D2677" s="3" t="inlineStr">
        <is>
          <t>Первое признание (любит—не любит)</t>
        </is>
      </c>
      <c r="E2677" s="2" t="n">
        <v>1974</v>
      </c>
      <c r="F2677" s="2" t="inlineStr">
        <is>
          <t>телефильм</t>
        </is>
      </c>
      <c r="G2677" s="2" t="inlineStr">
        <is>
          <t>Грузия-фильм</t>
        </is>
      </c>
      <c r="H2677" s="2" t="n">
        <v>278</v>
      </c>
      <c r="I2677" s="2" t="inlineStr"/>
      <c r="J2677" s="2" t="inlineStr"/>
      <c r="K2677" s="3" t="inlineStr">
        <is>
          <t>Действие фильма происходит в грузинской деревне. Замкнутый и застенчивый мальчик Антимоз любит заниматься рисованием и резьбой по дереву, а ребята лишь подсмеиваются над ним. Но вот однажды, в деревню на каникулы приехала девочка Лия. Ее очень заинтересовали увлечения Антимоза.</t>
        </is>
      </c>
      <c r="L2677" s="2" t="inlineStr">
        <is>
          <t>Кино_СССР сводный каталог.xlsx: список телефильмов</t>
        </is>
      </c>
      <c r="M2677" s="2">
        <f>HYPERLINK("https://ru.wikipedia.org/w/index.php?search=%D0%9F%D0%B5%D1%80%D0%B2%D0%BE%D0%B5%20%D0%BF%D1%80%D0%B8%D0%B7%D0%BD%D0%B0%D0%BD%D0%B8%D0%B5%20%28%D0%BB%D1%8E%D0%B1%D0%B8%D1%82%E2%80%94%D0%BD%D0%B5%20%D0%BB%D1%8E%D0%B1%D0%B8%D1%82%29%201974%20%D1%84%D0%B8%D0%BB%D1%8C%D0%BC","искать")</f>
        <v/>
      </c>
      <c r="N2677" s="3" t="n"/>
      <c r="O2677" s="2" t="n"/>
    </row>
    <row r="2678">
      <c r="A2678" s="2" t="n">
        <v>2677</v>
      </c>
      <c r="B2678" s="2" t="inlineStr">
        <is>
          <t>короткая</t>
        </is>
      </c>
      <c r="C2678" s="2" t="n">
        <v>8488</v>
      </c>
      <c r="D2678" s="3" t="inlineStr">
        <is>
          <t>Труженики моря</t>
        </is>
      </c>
      <c r="E2678" s="2" t="n">
        <v>1985</v>
      </c>
      <c r="F2678" s="2" t="inlineStr">
        <is>
          <t>телефильм</t>
        </is>
      </c>
      <c r="G2678" s="2" t="n"/>
      <c r="H2678" s="2" t="n">
        <v>278</v>
      </c>
      <c r="I2678" s="2" t="inlineStr"/>
      <c r="J2678" s="2" t="inlineStr"/>
      <c r="K2678" s="3" t="inlineStr">
        <is>
          <t>Французская версия - 2 серии по 90 минут, советская версия - 3 серии. Экранизация одноименного романа французского писателя Виктора Гюго. Старый гернсейский корабел Летьери из-за происков своего компаньона Клюбена лишается парового судна "Дюранда", застрявшего в Дуврском утесе.</t>
        </is>
      </c>
      <c r="L2678" s="2" t="inlineStr">
        <is>
          <t>Кино_СССР сводный каталог.xlsx: список телефильмов</t>
        </is>
      </c>
      <c r="M2678" s="2">
        <f>HYPERLINK("https://ru.wikipedia.org/w/index.php?search=%D0%A2%D1%80%D1%83%D0%B6%D0%B5%D0%BD%D0%B8%D0%BA%D0%B8%20%D0%BC%D0%BE%D1%80%D1%8F%201985%20%D1%84%D0%B8%D0%BB%D1%8C%D0%BC","искать")</f>
        <v/>
      </c>
      <c r="N2678" s="3" t="n"/>
      <c r="O2678" s="2" t="n"/>
    </row>
    <row r="2679">
      <c r="A2679" s="2" t="n">
        <v>2678</v>
      </c>
      <c r="B2679" s="2" t="inlineStr">
        <is>
          <t>короткая</t>
        </is>
      </c>
      <c r="C2679" s="2" t="n">
        <v>8981</v>
      </c>
      <c r="D2679" s="3" t="inlineStr">
        <is>
          <t>Провинциалки</t>
        </is>
      </c>
      <c r="E2679" s="2" t="n">
        <v>1990</v>
      </c>
      <c r="F2679" s="2" t="inlineStr">
        <is>
          <t>кинофильм</t>
        </is>
      </c>
      <c r="G2679" s="2" t="n"/>
      <c r="H2679" s="2" t="n">
        <v>278</v>
      </c>
      <c r="I2679" s="2" t="inlineStr"/>
      <c r="J2679" s="2" t="inlineStr"/>
      <c r="K2679" s="3" t="inlineStr">
        <is>
          <t>Экранизация одноименной пьесы Ярослава Стельмаха. Мать и дочь приезжают в Киев из провинции. Дочка окончила школу с медалью — и мама мечтает увидеть ее студенткой престижного вуза. Поселившись на даче старого друга матери - известного ученого, они окунаются в "столичную жизнь".</t>
        </is>
      </c>
      <c r="L2679" s="2" t="inlineStr">
        <is>
          <t>Кино_СССР сводный каталог.xlsx: список фильмов (доп.)</t>
        </is>
      </c>
      <c r="M2679" s="2">
        <f>HYPERLINK("https://ru.wikipedia.org/w/index.php?search=%D0%9F%D1%80%D0%BE%D0%B2%D0%B8%D0%BD%D1%86%D0%B8%D0%B0%D0%BB%D0%BA%D0%B8%201990%20%D1%84%D0%B8%D0%BB%D1%8C%D0%BC","искать")</f>
        <v/>
      </c>
      <c r="N2679" s="3" t="n"/>
      <c r="O2679" s="2" t="n"/>
    </row>
    <row r="2680">
      <c r="A2680" s="2" t="n">
        <v>2679</v>
      </c>
      <c r="B2680" s="2" t="inlineStr">
        <is>
          <t>короткая</t>
        </is>
      </c>
      <c r="C2680" s="2" t="n">
        <v>9240</v>
      </c>
      <c r="D2680" s="3" t="inlineStr">
        <is>
          <t>Бешеная</t>
        </is>
      </c>
      <c r="E2680" s="2" t="n">
        <v>1988</v>
      </c>
      <c r="F2680" s="2" t="inlineStr">
        <is>
          <t>кинофильм</t>
        </is>
      </c>
      <c r="G2680" s="2" t="n"/>
      <c r="H2680" s="2" t="n">
        <v>278</v>
      </c>
      <c r="I2680" s="2" t="inlineStr"/>
      <c r="J2680" s="2" t="inlineStr"/>
      <c r="K2680" s="3" t="inlineStr">
        <is>
          <t>По мотивам повести О. Манджиева "Амуланга". Пятнадцатилетняя Айна переживает первые трудности. Впервые она почувствовала себя одинокой и незащищенной. Отец после развода уехал, мать пытается устроить свою личную жизнь. Единственный верный друг — дедушка — умирает на руках Айны.</t>
        </is>
      </c>
      <c r="L2680" s="2" t="inlineStr">
        <is>
          <t>Кино_СССР сводный каталог.xlsx: список фильмов (доп.)</t>
        </is>
      </c>
      <c r="M2680" s="2">
        <f>HYPERLINK("https://ru.wikipedia.org/w/index.php?search=%D0%91%D0%B5%D1%88%D0%B5%D0%BD%D0%B0%D1%8F%201988%20%D1%84%D0%B8%D0%BB%D1%8C%D0%BC","искать")</f>
        <v/>
      </c>
      <c r="N2680" s="3" t="n"/>
      <c r="O2680" s="2" t="n"/>
    </row>
    <row r="2681">
      <c r="A2681" s="2" t="n">
        <v>2680</v>
      </c>
      <c r="B2681" s="2" t="inlineStr">
        <is>
          <t>короткая</t>
        </is>
      </c>
      <c r="C2681" s="2" t="n">
        <v>9257</v>
      </c>
      <c r="D2681" s="3" t="inlineStr">
        <is>
          <t>Буряк помог</t>
        </is>
      </c>
      <c r="E2681" s="2" t="n">
        <v>1926</v>
      </c>
      <c r="F2681" s="2" t="inlineStr">
        <is>
          <t>кинофильм</t>
        </is>
      </c>
      <c r="G2681" s="2" t="n"/>
      <c r="H2681" s="2" t="n">
        <v>278</v>
      </c>
      <c r="I2681" s="2" t="inlineStr"/>
      <c r="J2681" s="2" t="inlineStr"/>
      <c r="K2681" s="3" t="inlineStr">
        <is>
          <t>Игровой агитфильм о развитии свёклосеяния на селе.  Дебютная режиссерская работа Арнольда Кордюма.  Лента снималась в селах Винницкой (Грижинцы, Селище, Гнивань Могилевка). Картина снималась с мая по июль 1926 года.  Информации о выходе ленты на экраны нет. Фильм не сохранился.</t>
        </is>
      </c>
      <c r="L2681" s="2" t="inlineStr">
        <is>
          <t>Кино_СССР сводный каталог.xlsx: список фильмов (доп.)</t>
        </is>
      </c>
      <c r="M2681" s="2">
        <f>HYPERLINK("https://ru.wikipedia.org/w/index.php?search=%D0%91%D1%83%D1%80%D1%8F%D0%BA%20%D0%BF%D0%BE%D0%BC%D0%BE%D0%B3%201926%20%D1%84%D0%B8%D0%BB%D1%8C%D0%BC","искать")</f>
        <v/>
      </c>
      <c r="N2681" s="3" t="n"/>
      <c r="O2681" s="2" t="n"/>
    </row>
    <row r="2682">
      <c r="A2682" s="2" t="n">
        <v>2681</v>
      </c>
      <c r="B2682" s="2" t="inlineStr">
        <is>
          <t>короткая</t>
        </is>
      </c>
      <c r="C2682" s="2" t="n">
        <v>9409</v>
      </c>
      <c r="D2682" s="3" t="inlineStr">
        <is>
          <t>Караван смерти</t>
        </is>
      </c>
      <c r="E2682" s="2" t="n">
        <v>1991</v>
      </c>
      <c r="F2682" s="2" t="inlineStr">
        <is>
          <t>кинофильм</t>
        </is>
      </c>
      <c r="G2682" s="2" t="n"/>
      <c r="H2682" s="2" t="n">
        <v>278</v>
      </c>
      <c r="I2682" s="2" t="inlineStr"/>
      <c r="J2682" s="2" t="inlineStr"/>
      <c r="K2682" s="3" t="inlineStr">
        <is>
          <t>Российский боевик, снятый по следам афганской кампании Советского Союза. Война уже закончилась. Но в приграничной зоне по-прежнему идут бои между враждующими группировками. Совершенно случайно свидетелями и участниками боевой операции становятся ничего не подозревающие туристы.</t>
        </is>
      </c>
      <c r="L2682" s="2" t="inlineStr">
        <is>
          <t>Кино_СССР сводный каталог.xlsx: список фильмов (доп.)</t>
        </is>
      </c>
      <c r="M2682" s="2">
        <f>HYPERLINK("https://ru.wikipedia.org/w/index.php?search=%D0%9A%D0%B0%D1%80%D0%B0%D0%B2%D0%B0%D0%BD%20%D1%81%D0%BC%D0%B5%D1%80%D1%82%D0%B8%201991%20%D1%84%D0%B8%D0%BB%D1%8C%D0%BC","искать")</f>
        <v/>
      </c>
      <c r="N2682" s="3" t="n"/>
      <c r="O2682" s="2" t="n"/>
    </row>
    <row r="2683">
      <c r="A2683" s="2" t="n">
        <v>2682</v>
      </c>
      <c r="B2683" s="2" t="inlineStr">
        <is>
          <t>короткая</t>
        </is>
      </c>
      <c r="C2683" s="2" t="n">
        <v>10706</v>
      </c>
      <c r="D2683" s="3" t="inlineStr">
        <is>
          <t>Оптимистическая трагедия</t>
        </is>
      </c>
      <c r="E2683" s="2" t="n">
        <v>1977</v>
      </c>
      <c r="F2683" s="2" t="inlineStr">
        <is>
          <t>фильм-спектакль</t>
        </is>
      </c>
      <c r="G2683" s="2" t="n"/>
      <c r="H2683" s="2" t="n">
        <v>278</v>
      </c>
      <c r="I2683" s="2" t="inlineStr"/>
      <c r="J2683" s="2" t="inlineStr"/>
      <c r="K2683" s="3" t="inlineStr">
        <is>
          <t>Спектакль по одноименной пьесе Вс.Вишневского в постановке Государственного академического Малого театра Союза ССР.
1917 год.
В морской отряд, которым руководит анархист Вожак, по поручению ЦК партии направляется женщина-комиссар. Ей поручается подчинить моряков делу революции.</t>
        </is>
      </c>
      <c r="L2683" s="2" t="inlineStr">
        <is>
          <t>https://www.kino-teatr.ru/teatr/movie/80986/annot/</t>
        </is>
      </c>
      <c r="M2683" s="2">
        <f>HYPERLINK("https://ru.wikipedia.org/w/index.php?search=%D0%9E%D0%BF%D1%82%D0%B8%D0%BC%D0%B8%D1%81%D1%82%D0%B8%D1%87%D0%B5%D1%81%D0%BA%D0%B0%D1%8F%20%D1%82%D1%80%D0%B0%D0%B3%D0%B5%D0%B4%D0%B8%D1%8F%201977%20%D1%84%D0%B8%D0%BB%D1%8C%D0%BC","искать")</f>
        <v/>
      </c>
      <c r="N2683" s="3" t="n"/>
      <c r="O2683" s="2" t="n"/>
    </row>
    <row r="2684">
      <c r="A2684" s="2" t="n">
        <v>2683</v>
      </c>
      <c r="B2684" s="2" t="inlineStr">
        <is>
          <t>короткая</t>
        </is>
      </c>
      <c r="C2684" s="2" t="n">
        <v>10725</v>
      </c>
      <c r="D2684" s="3" t="inlineStr">
        <is>
          <t>Элегия</t>
        </is>
      </c>
      <c r="E2684" s="2" t="n">
        <v>1977</v>
      </c>
      <c r="F2684" s="2" t="inlineStr">
        <is>
          <t>фильм-спектакль</t>
        </is>
      </c>
      <c r="G2684" s="2" t="inlineStr">
        <is>
          <t>Творческое объединение "Экран"</t>
        </is>
      </c>
      <c r="H2684" s="2" t="n">
        <v>278</v>
      </c>
      <c r="I2684" s="2" t="inlineStr"/>
      <c r="J2684" s="2" t="inlineStr"/>
      <c r="K2684" s="3" t="inlineStr">
        <is>
          <t>Телевариант спектакля Центрального театра Советской Армии (14 лет не сходящего с афишы театра) по пьесе П. Павловского в постановке Михаила Буткевича.
История взаимоотношений русской актрисы Марии Гавриловны Савиной и Ивана Сергеевича Тургенева, раскрывается через их переписку.</t>
        </is>
      </c>
      <c r="L2684" s="2" t="inlineStr">
        <is>
          <t>https://www.kino-teatr.ru/teatr/movie/13228/annot/</t>
        </is>
      </c>
      <c r="M2684" s="2">
        <f>HYPERLINK("https://ru.wikipedia.org/w/index.php?search=%D0%AD%D0%BB%D0%B5%D0%B3%D0%B8%D1%8F%201977%20%D1%84%D0%B8%D0%BB%D1%8C%D0%BC","искать")</f>
        <v/>
      </c>
      <c r="N2684" s="3" t="n"/>
      <c r="O2684" s="2" t="n"/>
    </row>
    <row r="2685">
      <c r="A2685" s="2" t="n">
        <v>2684</v>
      </c>
      <c r="B2685" s="2" t="inlineStr">
        <is>
          <t>короткая</t>
        </is>
      </c>
      <c r="C2685" s="2" t="n">
        <v>10771</v>
      </c>
      <c r="D2685" s="3" t="inlineStr">
        <is>
          <t>Приказ номер один</t>
        </is>
      </c>
      <c r="E2685" s="2" t="n">
        <v>1978</v>
      </c>
      <c r="F2685" s="2" t="inlineStr">
        <is>
          <t>фильм-спектакль</t>
        </is>
      </c>
      <c r="G2685" s="2" t="inlineStr">
        <is>
          <t>Центральное телевидение</t>
        </is>
      </c>
      <c r="H2685" s="2" t="n">
        <v>278</v>
      </c>
      <c r="I2685" s="2" t="inlineStr"/>
      <c r="J2685" s="2" t="inlineStr"/>
      <c r="K2685" s="3" t="inlineStr">
        <is>
          <t>Новый руководитель проектного института Хабаров преодолевает сложившиеся в работе штампы и решает приступить к осуществлению проекта нового города, отвечающего требованиям сегодняшнего дня. Он терпеливо и умело убеждает каждого работника в целесообразности принятого им решения.</t>
        </is>
      </c>
      <c r="L2685" s="2" t="inlineStr">
        <is>
          <t>https://www.kino-teatr.ru/teatr/movie/104377/annot/</t>
        </is>
      </c>
      <c r="M2685" s="2">
        <f>HYPERLINK("https://ru.wikipedia.org/w/index.php?search=%D0%9F%D1%80%D0%B8%D0%BA%D0%B0%D0%B7%20%D0%BD%D0%BE%D0%BC%D0%B5%D1%80%20%D0%BE%D0%B4%D0%B8%D0%BD%201978%20%D1%84%D0%B8%D0%BB%D1%8C%D0%BC","искать")</f>
        <v/>
      </c>
      <c r="N2685" s="3" t="n"/>
      <c r="O2685" s="2" t="n"/>
    </row>
    <row r="2686">
      <c r="A2686" s="2" t="n">
        <v>2685</v>
      </c>
      <c r="B2686" s="2" t="inlineStr">
        <is>
          <t>короткая</t>
        </is>
      </c>
      <c r="C2686" s="2" t="n">
        <v>7243</v>
      </c>
      <c r="D2686" s="3" t="inlineStr">
        <is>
          <t>Безымянная звезда</t>
        </is>
      </c>
      <c r="E2686" s="2" t="n">
        <v>1978</v>
      </c>
      <c r="F2686" s="2" t="inlineStr">
        <is>
          <t>телефильм</t>
        </is>
      </c>
      <c r="G2686" s="2" t="inlineStr">
        <is>
          <t>Свердловская киностудия</t>
        </is>
      </c>
      <c r="H2686" s="2" t="n">
        <v>279</v>
      </c>
      <c r="I2686" s="2" t="inlineStr"/>
      <c r="J2686" s="2" t="inlineStr"/>
      <c r="K2686" s="3" t="inlineStr">
        <is>
          <t>Телефильм. Мелодраматическая трагикомедия по одноименной пьесе ("Steaua fără nume" (1942) Михаила Себастьяна. В провинциальном заштатном городке Румынии начинают происходить невероятные вещи, когда волею случая сюда прибывает обидевшаяся на своего жениха легкомысленная красотка.</t>
        </is>
      </c>
      <c r="L2686" s="2" t="inlineStr">
        <is>
          <t>Кино_СССР сводный каталог.xlsx: список телефильмов</t>
        </is>
      </c>
      <c r="M2686" s="2">
        <f>HYPERLINK("https://ru.wikipedia.org/w/index.php?search=%D0%91%D0%B5%D0%B7%D1%8B%D0%BC%D1%8F%D0%BD%D0%BD%D0%B0%D1%8F%20%D0%B7%D0%B2%D0%B5%D0%B7%D0%B4%D0%B0%201978%20%D1%84%D0%B8%D0%BB%D1%8C%D0%BC","искать")</f>
        <v/>
      </c>
      <c r="N2686" s="3" t="n"/>
      <c r="O2686" s="2" t="n"/>
    </row>
    <row r="2687">
      <c r="A2687" s="2" t="n">
        <v>2686</v>
      </c>
      <c r="B2687" s="2" t="inlineStr">
        <is>
          <t>короткая</t>
        </is>
      </c>
      <c r="C2687" s="2" t="n">
        <v>7934</v>
      </c>
      <c r="D2687" s="3" t="inlineStr">
        <is>
          <t>На пороге</t>
        </is>
      </c>
      <c r="E2687" s="2" t="n">
        <v>1986</v>
      </c>
      <c r="F2687" s="2" t="inlineStr">
        <is>
          <t>телефильм</t>
        </is>
      </c>
      <c r="G2687" s="2" t="n"/>
      <c r="H2687" s="2" t="n">
        <v>279</v>
      </c>
      <c r="I2687" s="2" t="inlineStr"/>
      <c r="J2687" s="2" t="inlineStr"/>
      <c r="K2687" s="3" t="inlineStr">
        <is>
          <t>По роману В.Горбачева "За далью непогоды". Из-за некачественных изыскательских работ во время строительства заполярной ГЭС произошел обвал в тоннеле. Главный инженер Басов предлагает внести изменения в проект, отказавшись от строительства тоннеля - и отстаивает свое предложение.</t>
        </is>
      </c>
      <c r="L2687" s="2" t="inlineStr">
        <is>
          <t>Кино_СССР сводный каталог.xlsx: список телефильмов</t>
        </is>
      </c>
      <c r="M2687" s="2">
        <f>HYPERLINK("https://ru.wikipedia.org/w/index.php?search=%D0%9D%D0%B0%20%D0%BF%D0%BE%D1%80%D0%BE%D0%B3%D0%B5%201986%20%D1%84%D0%B8%D0%BB%D1%8C%D0%BC","искать")</f>
        <v/>
      </c>
      <c r="N2687" s="3" t="n"/>
      <c r="O2687" s="2" t="n"/>
    </row>
    <row r="2688">
      <c r="A2688" s="2" t="n">
        <v>2687</v>
      </c>
      <c r="B2688" s="2" t="inlineStr">
        <is>
          <t>короткая</t>
        </is>
      </c>
      <c r="C2688" s="2" t="n">
        <v>8149</v>
      </c>
      <c r="D2688" s="3" t="inlineStr">
        <is>
          <t>Поздняя встреча</t>
        </is>
      </c>
      <c r="E2688" s="2" t="n">
        <v>1978</v>
      </c>
      <c r="F2688" s="2" t="inlineStr">
        <is>
          <t>телефильм</t>
        </is>
      </c>
      <c r="G2688" s="2" t="inlineStr">
        <is>
          <t>Свердловская киностудия</t>
        </is>
      </c>
      <c r="H2688" s="2" t="n">
        <v>279</v>
      </c>
      <c r="I2688" s="2" t="inlineStr"/>
      <c r="J2688" s="2" t="inlineStr"/>
      <c r="K2688" s="3" t="inlineStr">
        <is>
          <t>По мотивам рассказа Ю. Нагибина "Срочно требуются седые человеческие волосы". История встречи молодой актрисы и инженера - бывшего фронтовика. Приехав в командировку из Свердловска на "Ленфильм", инженер по катапультам Сергей Иванович Гущин знакомится с молодой актрисой Наташей.</t>
        </is>
      </c>
      <c r="L2688" s="2" t="inlineStr">
        <is>
          <t>Кино_СССР сводный каталог.xlsx: список телефильмов</t>
        </is>
      </c>
      <c r="M2688" s="2">
        <f>HYPERLINK("https://ru.wikipedia.org/w/index.php?search=%D0%9F%D0%BE%D0%B7%D0%B4%D0%BD%D1%8F%D1%8F%20%D0%B2%D1%81%D1%82%D1%80%D0%B5%D1%87%D0%B0%201978%20%D1%84%D0%B8%D0%BB%D1%8C%D0%BC","искать")</f>
        <v/>
      </c>
      <c r="N2688" s="3" t="n"/>
      <c r="O2688" s="2" t="n"/>
    </row>
    <row r="2689">
      <c r="A2689" s="2" t="n">
        <v>2688</v>
      </c>
      <c r="B2689" s="2" t="inlineStr">
        <is>
          <t>короткая</t>
        </is>
      </c>
      <c r="C2689" s="2" t="n">
        <v>8252</v>
      </c>
      <c r="D2689" s="3" t="inlineStr">
        <is>
          <t>Пять углов</t>
        </is>
      </c>
      <c r="E2689" s="2" t="n">
        <v>1989</v>
      </c>
      <c r="F2689" s="2" t="inlineStr">
        <is>
          <t>телефильм</t>
        </is>
      </c>
      <c r="G2689" s="2" t="n"/>
      <c r="H2689" s="2" t="n">
        <v>279</v>
      </c>
      <c r="I2689" s="2" t="inlineStr"/>
      <c r="J2689" s="2" t="inlineStr"/>
      <c r="K2689" s="3" t="inlineStr">
        <is>
          <t>По одноименной пьесе Сергея Коковкина. В старом ленинградском доме встретились четыре человека. Для двоих эта встреча оказалась трагической... Из интервью с Валерием Буниным: — Главная героиня вашей последней работы, фильма «Пять углов»,— бывшая балерина. Это фильм-балет? — Нет.</t>
        </is>
      </c>
      <c r="L2689" s="2" t="inlineStr">
        <is>
          <t>Кино_СССР сводный каталог.xlsx: список телефильмов</t>
        </is>
      </c>
      <c r="M2689" s="2">
        <f>HYPERLINK("https://ru.wikipedia.org/w/index.php?search=%D0%9F%D1%8F%D1%82%D1%8C%20%D1%83%D0%B3%D0%BB%D0%BE%D0%B2%201989%20%D1%84%D0%B8%D0%BB%D1%8C%D0%BC","искать")</f>
        <v/>
      </c>
      <c r="N2689" s="3" t="n"/>
      <c r="O2689" s="2" t="n"/>
    </row>
    <row r="2690">
      <c r="A2690" s="2" t="n">
        <v>2689</v>
      </c>
      <c r="B2690" s="2" t="inlineStr">
        <is>
          <t>короткая</t>
        </is>
      </c>
      <c r="C2690" s="2" t="n">
        <v>8481</v>
      </c>
      <c r="D2690" s="3" t="inlineStr">
        <is>
          <t>Три с половиной дня из жизни Ивана Семёнова, второклассника и второгодника</t>
        </is>
      </c>
      <c r="E2690" s="2" t="n">
        <v>1966</v>
      </c>
      <c r="F2690" s="2" t="inlineStr">
        <is>
          <t>телефильм</t>
        </is>
      </c>
      <c r="G2690" s="2" t="n"/>
      <c r="H2690" s="2" t="n">
        <v>279</v>
      </c>
      <c r="I2690" s="2" t="inlineStr"/>
      <c r="J2690" s="2" t="inlineStr"/>
      <c r="K2690" s="3" t="inlineStr">
        <is>
          <t>По повести Льва Давыдычева "Многотрудная, полная невзгод и опасностей жизнь Ивана Семёнова, второклассника и второгодника". О неутомимом выдумщике второкласснике Иване Семёнове, который не любил учиться. Общими усилиями коллектива и бабушки Семёнов становится прилежным учеником.</t>
        </is>
      </c>
      <c r="L2690" s="2" t="inlineStr">
        <is>
          <t>Кино_СССР сводный каталог.xlsx: список телефильмов</t>
        </is>
      </c>
      <c r="M2690" s="2">
        <f>HYPERLINK("https://ru.wikipedia.org/w/index.php?search=%D0%A2%D1%80%D0%B8%20%D1%81%20%D0%BF%D0%BE%D0%BB%D0%BE%D0%B2%D0%B8%D0%BD%D0%BE%D0%B9%20%D0%B4%D0%BD%D1%8F%20%D0%B8%D0%B7%20%D0%B6%D0%B8%D0%B7%D0%BD%D0%B8%20%D0%98%D0%B2%D0%B0%D0%BD%D0%B0%20%D0%A1%D0%B5%D0%BC%D1%91%D0%BD%D0%BE%D0%B2%D0%B0%2C%20%D0%B2%D1%82%D0%BE%D1%80%D0%BE%D0%BA%D0%BB%D0%B0%D1%81%D1%81%D0%BD%D0%B8%D0%BA%D0%B0%20%D0%B8%20%D0%B2%D1%82%D0%BE%D1%80%D0%BE%D0%B3%D0%BE%D0%B4%D0%BD%D0%B8%D0%BA%D0%B0%201966%20%D1%84%D0%B8%D0%BB%D1%8C%D0%BC","искать")</f>
        <v/>
      </c>
      <c r="N2690" s="3" t="n"/>
      <c r="O2690" s="2" t="n"/>
    </row>
    <row r="2691">
      <c r="A2691" s="2" t="n">
        <v>2690</v>
      </c>
      <c r="B2691" s="2" t="inlineStr">
        <is>
          <t>короткая</t>
        </is>
      </c>
      <c r="C2691" s="2" t="n">
        <v>8996</v>
      </c>
      <c r="D2691" s="3" t="inlineStr">
        <is>
          <t>Пути-дорожки</t>
        </is>
      </c>
      <c r="E2691" s="2" t="n">
        <v>1971</v>
      </c>
      <c r="F2691" s="2" t="inlineStr">
        <is>
          <t>кинофильм</t>
        </is>
      </c>
      <c r="G2691" s="2" t="n"/>
      <c r="H2691" s="2" t="n">
        <v>279</v>
      </c>
      <c r="I2691" s="2" t="inlineStr"/>
      <c r="J2691" s="2" t="inlineStr"/>
      <c r="K2691" s="3" t="inlineStr">
        <is>
          <t>Новый воспитатель колонии узнаёт, что в колонии содержится преступник, совершивший нападение на его мать. История про оступившегося подростка, попавшего в Икшанскую ИВК. В фильме снимались сотрудники и воспитанники Икшанской воспитательно-трудовой колонии для несовершеннолетних.</t>
        </is>
      </c>
      <c r="L2691" s="2" t="inlineStr">
        <is>
          <t>Кино_СССР сводный каталог.xlsx: список фильмов (доп.)</t>
        </is>
      </c>
      <c r="M2691" s="2">
        <f>HYPERLINK("https://ru.wikipedia.org/w/index.php?search=%D0%9F%D1%83%D1%82%D0%B8-%D0%B4%D0%BE%D1%80%D0%BE%D0%B6%D0%BA%D0%B8%201971%20%D1%84%D0%B8%D0%BB%D1%8C%D0%BC","искать")</f>
        <v/>
      </c>
      <c r="N2691" s="3" t="n"/>
      <c r="O2691" s="2" t="n"/>
    </row>
    <row r="2692">
      <c r="A2692" s="2" t="n">
        <v>2691</v>
      </c>
      <c r="B2692" s="2" t="inlineStr">
        <is>
          <t>короткая</t>
        </is>
      </c>
      <c r="C2692" s="2" t="n">
        <v>9616</v>
      </c>
      <c r="D2692" s="3" t="inlineStr">
        <is>
          <t>Расскажи мне о себе</t>
        </is>
      </c>
      <c r="E2692" s="2" t="n">
        <v>1971</v>
      </c>
      <c r="F2692" s="2" t="inlineStr">
        <is>
          <t>кинофильм</t>
        </is>
      </c>
      <c r="G2692" s="2" t="n"/>
      <c r="H2692" s="2" t="n">
        <v>279</v>
      </c>
      <c r="I2692" s="2" t="inlineStr"/>
      <c r="J2692" s="2" t="inlineStr"/>
      <c r="K2692" s="3" t="inlineStr">
        <is>
          <t>Простая история жизни и любви женщины, потерявшей на фронте возлюбленного. После неудачного замужества и долгих лет одиночества она обретает наконец счастье, встретив человека, капитана дальнего плавания, который не только готов стать спутником ей, но и другом ее взрослому сыну.</t>
        </is>
      </c>
      <c r="L2692" s="2" t="inlineStr">
        <is>
          <t>Кино_СССР сводный каталог.xlsx: список фильмов (доп.)</t>
        </is>
      </c>
      <c r="M2692" s="2">
        <f>HYPERLINK("https://ru.wikipedia.org/w/index.php?search=%D0%A0%D0%B0%D1%81%D1%81%D0%BA%D0%B0%D0%B6%D0%B8%20%D0%BC%D0%BD%D0%B5%20%D0%BE%20%D1%81%D0%B5%D0%B1%D0%B5%201971%20%D1%84%D0%B8%D0%BB%D1%8C%D0%BC","искать")</f>
        <v/>
      </c>
      <c r="N2692" s="3" t="n"/>
      <c r="O2692" s="2" t="n"/>
    </row>
    <row r="2693">
      <c r="A2693" s="2" t="n">
        <v>2692</v>
      </c>
      <c r="B2693" s="2" t="inlineStr">
        <is>
          <t>короткая</t>
        </is>
      </c>
      <c r="C2693" s="2" t="n">
        <v>10002</v>
      </c>
      <c r="D2693" s="3" t="inlineStr">
        <is>
          <t>Три истории с телефоном</t>
        </is>
      </c>
      <c r="E2693" s="2" t="n">
        <v>1984</v>
      </c>
      <c r="F2693" s="2" t="inlineStr">
        <is>
          <t>телефильм</t>
        </is>
      </c>
      <c r="G2693" s="2" t="inlineStr">
        <is>
          <t>Грузинская студия телефильмов</t>
        </is>
      </c>
      <c r="H2693" s="2" t="n">
        <v>279</v>
      </c>
      <c r="I2693" s="2" t="inlineStr"/>
      <c r="J2693" s="2" t="inlineStr"/>
      <c r="K2693" s="3" t="inlineStr">
        <is>
          <t>სამი ამბავი ტელეფონით
Двенадцатилетняя Софико, четырнадцатилетний Ладо и шестнадцатилетняя Тамуна, когда нет родителей, проводят свое свободное время в разговорах по телефону: здесь и первая влюбленность, маленькие тайны, и ссоры... Здесь в полной мере раскрываются их характеры.</t>
        </is>
      </c>
      <c r="L2693" s="2" t="inlineStr">
        <is>
          <t>https://www.kino-teatr.ru/short/movie/sov/86220/annot/</t>
        </is>
      </c>
      <c r="M2693" s="2">
        <f>HYPERLINK("https://ru.wikipedia.org/w/index.php?search=%D0%A2%D1%80%D0%B8%20%D0%B8%D1%81%D1%82%D0%BE%D1%80%D0%B8%D0%B8%20%D1%81%20%D1%82%D0%B5%D0%BB%D0%B5%D1%84%D0%BE%D0%BD%D0%BE%D0%BC%201984%20%D1%84%D0%B8%D0%BB%D1%8C%D0%BC","искать")</f>
        <v/>
      </c>
      <c r="N2693" s="3" t="n"/>
      <c r="O2693" s="2" t="n"/>
    </row>
    <row r="2694">
      <c r="A2694" s="2" t="n">
        <v>2693</v>
      </c>
      <c r="B2694" s="2" t="inlineStr">
        <is>
          <t>короткая</t>
        </is>
      </c>
      <c r="C2694" s="2" t="n">
        <v>7639</v>
      </c>
      <c r="D2694" s="3" t="inlineStr">
        <is>
          <t>Здравствуйте, доктор!</t>
        </is>
      </c>
      <c r="E2694" s="2" t="n">
        <v>1974</v>
      </c>
      <c r="F2694" s="2" t="inlineStr">
        <is>
          <t>телефильм</t>
        </is>
      </c>
      <c r="G2694" s="2" t="n"/>
      <c r="H2694" s="2" t="n">
        <v>280</v>
      </c>
      <c r="I2694" s="2" t="inlineStr"/>
      <c r="J2694" s="2" t="inlineStr"/>
      <c r="K2694" s="3" t="inlineStr">
        <is>
          <t>Телефильм. В деревню на отдых приехал молодой хирург Александр. Он доволен собой, у него все удачно складывается в жизни: позади институт, готовит диссертацию, работает в известной клинике. Однако в скором времени Александр принимает решение остаться работать в сельской больнице.</t>
        </is>
      </c>
      <c r="L2694" s="2" t="inlineStr">
        <is>
          <t>Кино_СССР сводный каталог.xlsx: список телефильмов</t>
        </is>
      </c>
      <c r="M2694" s="2">
        <f>HYPERLINK("https://ru.wikipedia.org/w/index.php?search=%D0%97%D0%B4%D1%80%D0%B0%D0%B2%D1%81%D1%82%D0%B2%D1%83%D0%B9%D1%82%D0%B5%2C%20%D0%B4%D0%BE%D0%BA%D1%82%D0%BE%D1%80%21%201974%20%D1%84%D0%B8%D0%BB%D1%8C%D0%BC","искать")</f>
        <v/>
      </c>
      <c r="N2694" s="3" t="n"/>
      <c r="O2694" s="2" t="n"/>
    </row>
    <row r="2695">
      <c r="A2695" s="2" t="n">
        <v>2694</v>
      </c>
      <c r="B2695" s="2" t="inlineStr">
        <is>
          <t>короткая</t>
        </is>
      </c>
      <c r="C2695" s="2" t="n">
        <v>7832</v>
      </c>
      <c r="D2695" s="3" t="inlineStr">
        <is>
          <t>Люди и дельфины</t>
        </is>
      </c>
      <c r="E2695" s="2" t="n">
        <v>1983</v>
      </c>
      <c r="F2695" s="2" t="inlineStr">
        <is>
          <t>телефильм</t>
        </is>
      </c>
      <c r="G2695" s="2" t="n"/>
      <c r="H2695" s="2" t="n">
        <v>280</v>
      </c>
      <c r="I2695" s="2" t="inlineStr"/>
      <c r="J2695" s="2" t="inlineStr"/>
      <c r="K2695" s="3" t="inlineStr">
        <is>
          <t>Научно-фантастический телевизионный мини-сериал о проблемах поиска учеными взаимопонимания между человеком и дельфином. Деятельность ученого Сергея Черникова, много лет посвятившего изучению дельфинов, привела к смелой гипотезе, что дельфины - "морской народ", наделенный разумом.</t>
        </is>
      </c>
      <c r="L2695" s="2" t="inlineStr">
        <is>
          <t>Кино_СССР сводный каталог.xlsx: список телефильмов</t>
        </is>
      </c>
      <c r="M2695" s="2">
        <f>HYPERLINK("https://ru.wikipedia.org/w/index.php?search=%D0%9B%D1%8E%D0%B4%D0%B8%20%D0%B8%20%D0%B4%D0%B5%D0%BB%D1%8C%D1%84%D0%B8%D0%BD%D1%8B%201983%20%D1%84%D0%B8%D0%BB%D1%8C%D0%BC","искать")</f>
        <v/>
      </c>
      <c r="N2695" s="3" t="n"/>
      <c r="O2695" s="2" t="n"/>
    </row>
    <row r="2696">
      <c r="A2696" s="2" t="n">
        <v>2695</v>
      </c>
      <c r="B2696" s="2" t="inlineStr">
        <is>
          <t>короткая</t>
        </is>
      </c>
      <c r="C2696" s="2" t="n">
        <v>7902</v>
      </c>
      <c r="D2696" s="3" t="inlineStr">
        <is>
          <t>Моя жизнь</t>
        </is>
      </c>
      <c r="E2696" s="2" t="n">
        <v>1972</v>
      </c>
      <c r="F2696" s="2" t="inlineStr">
        <is>
          <t>телефильм</t>
        </is>
      </c>
      <c r="G2696" s="2" t="n"/>
      <c r="H2696" s="2" t="n">
        <v>280</v>
      </c>
      <c r="I2696" s="2" t="inlineStr"/>
      <c r="J2696" s="2" t="inlineStr"/>
      <c r="K2696" s="3" t="inlineStr">
        <is>
          <t>Телесериал по одноименной повести А.П.Чехова. Фильм рассказывает историю жизни Полознева (Cтанислав Любшин). Герой пытается найти простое человеческое счастье. Он решает для себя вопрос в чём заключается это счастье — в богатстве, высоком социальном положении или в чём-то другом.</t>
        </is>
      </c>
      <c r="L2696" s="2" t="inlineStr">
        <is>
          <t>Кино_СССР сводный каталог.xlsx: список телефильмов</t>
        </is>
      </c>
      <c r="M2696" s="2">
        <f>HYPERLINK("https://ru.wikipedia.org/w/index.php?search=%D0%9C%D0%BE%D1%8F%20%D0%B6%D0%B8%D0%B7%D0%BD%D1%8C%201972%20%D1%84%D0%B8%D0%BB%D1%8C%D0%BC","искать")</f>
        <v/>
      </c>
      <c r="N2696" s="3" t="n"/>
      <c r="O2696" s="2" t="n"/>
    </row>
    <row r="2697">
      <c r="A2697" s="2" t="n">
        <v>2696</v>
      </c>
      <c r="B2697" s="2" t="inlineStr">
        <is>
          <t>короткая</t>
        </is>
      </c>
      <c r="C2697" s="2" t="n">
        <v>8058</v>
      </c>
      <c r="D2697" s="3" t="inlineStr">
        <is>
          <t>Остров погибших кораблей</t>
        </is>
      </c>
      <c r="E2697" s="2" t="n">
        <v>1987</v>
      </c>
      <c r="F2697" s="2" t="inlineStr">
        <is>
          <t>телефильм</t>
        </is>
      </c>
      <c r="G2697" s="2" t="n"/>
      <c r="H2697" s="2" t="n">
        <v>280</v>
      </c>
      <c r="I2697" s="2" t="inlineStr"/>
      <c r="J2697" s="2" t="inlineStr"/>
      <c r="K2697" s="3" t="inlineStr">
        <is>
          <t>Музыкальная фантазия в стиле "буфф" снята по мотивам одноименного романа Александра Беляева. После очередной ссоры с женой герой фильма "переносится" в прошлое, где попадает в водоворот странных событий: арест по обвинению в убийстве, встреча с прекрасной Вивиан, кораблекрушение.</t>
        </is>
      </c>
      <c r="L2697" s="2" t="inlineStr">
        <is>
          <t>Кино_СССР сводный каталог.xlsx: список телефильмов</t>
        </is>
      </c>
      <c r="M2697" s="2">
        <f>HYPERLINK("https://ru.wikipedia.org/w/index.php?search=%D0%9E%D1%81%D1%82%D1%80%D0%BE%D0%B2%20%D0%BF%D0%BE%D0%B3%D0%B8%D0%B1%D1%88%D0%B8%D1%85%20%D0%BA%D0%BE%D1%80%D0%B0%D0%B1%D0%BB%D0%B5%D0%B9%201987%20%D1%84%D0%B8%D0%BB%D1%8C%D0%BC","искать")</f>
        <v/>
      </c>
      <c r="N2697" s="3" t="n"/>
      <c r="O2697" s="2" t="n"/>
    </row>
    <row r="2698">
      <c r="A2698" s="2" t="n">
        <v>2697</v>
      </c>
      <c r="B2698" s="2" t="inlineStr">
        <is>
          <t>короткая</t>
        </is>
      </c>
      <c r="C2698" s="2" t="n">
        <v>8391</v>
      </c>
      <c r="D2698" s="3" t="inlineStr">
        <is>
          <t>Спроси себя</t>
        </is>
      </c>
      <c r="E2698" s="2" t="n">
        <v>1976</v>
      </c>
      <c r="F2698" s="2" t="inlineStr">
        <is>
          <t>телефильм</t>
        </is>
      </c>
      <c r="G2698" s="2" t="n"/>
      <c r="H2698" s="2" t="n">
        <v>280</v>
      </c>
      <c r="I2698" s="2" t="inlineStr"/>
      <c r="J2698" s="2" t="inlineStr"/>
      <c r="K2698" s="3" t="inlineStr">
        <is>
          <t>На сплавучастке происходит авария, сгорает общежитие, а вся древесина, приготовленная к отправке, уходит в реку. Во время судебного разбирательства судья Градова (Ия Саввина) узнает в подсудимом Щербаке летчика, который во время войны отказался вывезти ее, тяжело раненную, в тыл.</t>
        </is>
      </c>
      <c r="L2698" s="2" t="inlineStr">
        <is>
          <t>Кино_СССР сводный каталог.xlsx: список телефильмов</t>
        </is>
      </c>
      <c r="M2698" s="2">
        <f>HYPERLINK("https://ru.wikipedia.org/w/index.php?search=%D0%A1%D0%BF%D1%80%D0%BE%D1%81%D0%B8%20%D1%81%D0%B5%D0%B1%D1%8F%201976%20%D1%84%D0%B8%D0%BB%D1%8C%D0%BC","искать")</f>
        <v/>
      </c>
      <c r="N2698" s="3" t="n"/>
      <c r="O2698" s="2" t="n"/>
    </row>
    <row r="2699">
      <c r="A2699" s="2" t="n">
        <v>2698</v>
      </c>
      <c r="B2699" s="2" t="inlineStr">
        <is>
          <t>короткая</t>
        </is>
      </c>
      <c r="C2699" s="2" t="n">
        <v>8649</v>
      </c>
      <c r="D2699" s="3" t="inlineStr">
        <is>
          <t>Версия</t>
        </is>
      </c>
      <c r="E2699" s="2" t="n">
        <v>1983</v>
      </c>
      <c r="F2699" s="2" t="inlineStr">
        <is>
          <t>кинофильм</t>
        </is>
      </c>
      <c r="G2699" s="2" t="n"/>
      <c r="H2699" s="2" t="n">
        <v>280</v>
      </c>
      <c r="I2699" s="2" t="inlineStr"/>
      <c r="J2699" s="2" t="inlineStr"/>
      <c r="K2699" s="3" t="inlineStr">
        <is>
          <t>Совершено разбойное нападение на квартиру. Тяжело ранена женщина. Следователю предстоит разобраться в обстоятельствах преступления. Учебный фильм, рассказывающий о том, как строятся и проверяются версии, являющиеся важнейшей стороной следственной тактики. Снят по заказу МВД СССР.</t>
        </is>
      </c>
      <c r="L2699" s="2" t="inlineStr">
        <is>
          <t>Кино_СССР сводный каталог.xlsx: список фильмов (доп.)</t>
        </is>
      </c>
      <c r="M2699" s="2">
        <f>HYPERLINK("https://ru.wikipedia.org/w/index.php?search=%D0%92%D0%B5%D1%80%D1%81%D0%B8%D1%8F%201983%20%D1%84%D0%B8%D0%BB%D1%8C%D0%BC","искать")</f>
        <v/>
      </c>
      <c r="N2699" s="3" t="n"/>
      <c r="O2699" s="2" t="n"/>
    </row>
    <row r="2700">
      <c r="A2700" s="2" t="n">
        <v>2699</v>
      </c>
      <c r="B2700" s="2" t="inlineStr">
        <is>
          <t>короткая</t>
        </is>
      </c>
      <c r="C2700" s="2" t="n">
        <v>9107</v>
      </c>
      <c r="D2700" s="3" t="inlineStr">
        <is>
          <t>Тоска</t>
        </is>
      </c>
      <c r="E2700" s="2" t="n">
        <v>1989</v>
      </c>
      <c r="F2700" s="2" t="inlineStr">
        <is>
          <t>кинофильм</t>
        </is>
      </c>
      <c r="G2700" s="2" t="n"/>
      <c r="H2700" s="2" t="n">
        <v>280</v>
      </c>
      <c r="I2700" s="2" t="inlineStr"/>
      <c r="J2700" s="2" t="inlineStr"/>
      <c r="K2700" s="3" t="inlineStr">
        <is>
          <t>Կարոտ По одноименной повести Р. Кочара. Когда в 1915, в результате войны, часть Армении отошла к Турции, старый Аракел, оказался на чужбине. Затосковав по родным и близким, герой вернулся на свою землю и обнаружил заколоченный дом. Его семьи уже не было, вскоре приехали и за ним.</t>
        </is>
      </c>
      <c r="L2700" s="2" t="inlineStr">
        <is>
          <t>Кино_СССР сводный каталог.xlsx: список фильмов (доп.)</t>
        </is>
      </c>
      <c r="M2700" s="2">
        <f>HYPERLINK("https://ru.wikipedia.org/w/index.php?search=%D0%A2%D0%BE%D1%81%D0%BA%D0%B0%201989%20%D1%84%D0%B8%D0%BB%D1%8C%D0%BC","искать")</f>
        <v/>
      </c>
      <c r="N2700" s="3" t="n"/>
      <c r="O2700" s="2" t="n"/>
    </row>
    <row r="2701">
      <c r="A2701" s="2" t="n">
        <v>2700</v>
      </c>
      <c r="B2701" s="2" t="inlineStr">
        <is>
          <t>короткая</t>
        </is>
      </c>
      <c r="C2701" s="2" t="n">
        <v>9524</v>
      </c>
      <c r="D2701" s="3" t="inlineStr">
        <is>
          <t>Ожог</t>
        </is>
      </c>
      <c r="E2701" s="2" t="n">
        <v>1988</v>
      </c>
      <c r="F2701" s="2" t="inlineStr">
        <is>
          <t>кинофильм</t>
        </is>
      </c>
      <c r="G2701" s="2" t="n"/>
      <c r="H2701" s="2" t="n">
        <v>280</v>
      </c>
      <c r="I2701" s="2" t="inlineStr"/>
      <c r="J2701" s="2" t="inlineStr"/>
      <c r="K2701" s="3" t="inlineStr">
        <is>
          <t>По мотивам "Записок рабочего человека" В.Леоновича. Главный герой фильма - Василий Держаков - квалифицированный рабочий. Привыкший к "двойной морали" как к норме жизни, он поддается на уговоры любовницы Анны спрятать у себя ворованные вещи, и становится соучастником преступления.</t>
        </is>
      </c>
      <c r="L2701" s="2" t="inlineStr">
        <is>
          <t>Кино_СССР сводный каталог.xlsx: список фильмов (доп.)</t>
        </is>
      </c>
      <c r="M2701" s="2">
        <f>HYPERLINK("https://ru.wikipedia.org/w/index.php?search=%D0%9E%D0%B6%D0%BE%D0%B3%201988%20%D1%84%D0%B8%D0%BB%D1%8C%D0%BC","искать")</f>
        <v/>
      </c>
      <c r="N2701" s="3" t="n"/>
      <c r="O2701" s="2" t="n"/>
    </row>
    <row r="2702">
      <c r="A2702" s="2" t="n">
        <v>2701</v>
      </c>
      <c r="B2702" s="2" t="inlineStr">
        <is>
          <t>короткая</t>
        </is>
      </c>
      <c r="C2702" s="2" t="n">
        <v>9739</v>
      </c>
      <c r="D2702" s="3" t="inlineStr">
        <is>
          <t>Царицын</t>
        </is>
      </c>
      <c r="E2702" s="2" t="n">
        <v>1942</v>
      </c>
      <c r="F2702" s="2" t="inlineStr">
        <is>
          <t>кинофильм</t>
        </is>
      </c>
      <c r="G2702" s="2" t="n"/>
      <c r="H2702" s="2" t="n">
        <v>280</v>
      </c>
      <c r="I2702" s="2" t="inlineStr"/>
      <c r="J2702" s="2" t="inlineStr"/>
      <c r="K2702" s="3" t="inlineStr">
        <is>
          <t>Историко-революционная эпопея о героической обороне Царицына в 1918 году под командованием И.В. Сталина и К.Е. Ворошилова. Первая серия — «Поход Ворошилова», вторая серия — «Оборона». Первая серия фильма вышла на экраны СССР 29 марта 1942 года. Вторая серия на экраны не выпущена.</t>
        </is>
      </c>
      <c r="L2702" s="2" t="inlineStr">
        <is>
          <t>Кино_СССР сводный каталог.xlsx: список фильмов (доп.)</t>
        </is>
      </c>
      <c r="M2702" s="2">
        <f>HYPERLINK("https://ru.wikipedia.org/w/index.php?search=%D0%A6%D0%B0%D1%80%D0%B8%D1%86%D1%8B%D0%BD%201942%20%D1%84%D0%B8%D0%BB%D1%8C%D0%BC","искать")</f>
        <v/>
      </c>
      <c r="N2702" s="3" t="n"/>
      <c r="O2702" s="2" t="n"/>
    </row>
    <row r="2703">
      <c r="A2703" s="2" t="n">
        <v>2702</v>
      </c>
      <c r="B2703" s="2" t="inlineStr">
        <is>
          <t>короткая</t>
        </is>
      </c>
      <c r="C2703" s="2" t="n">
        <v>7227</v>
      </c>
      <c r="D2703" s="3" t="inlineStr">
        <is>
          <t>Ах, водевиль, водевиль...</t>
        </is>
      </c>
      <c r="E2703" s="2" t="n">
        <v>1979</v>
      </c>
      <c r="F2703" s="2" t="inlineStr">
        <is>
          <t>телефильм</t>
        </is>
      </c>
      <c r="G2703" s="2" t="inlineStr">
        <is>
          <t>Киностудия «Мосфильм»; Творческое объединение телевизионных фильмов</t>
        </is>
      </c>
      <c r="H2703" s="2" t="n">
        <v>281</v>
      </c>
      <c r="I2703" s="2" t="inlineStr"/>
      <c r="J2703" s="2" t="inlineStr"/>
      <c r="K2703" s="3" t="inlineStr">
        <is>
          <t>Телефильм. Веселая музыкальная комедия по мотивам водевиля-шутки П.Григорьева "Дочь русского актера". Старый добрый XIX век. Богатый отставной прапорщик Акакий Ушица (Олег Табаков) - не молод, да и ходит на протезе. Первые две жены ему не удались, но, милостью Божией, обе померли.</t>
        </is>
      </c>
      <c r="L2703" s="2" t="inlineStr">
        <is>
          <t>Кино_СССР сводный каталог.xlsx: список телефильмов</t>
        </is>
      </c>
      <c r="M2703" s="2">
        <f>HYPERLINK("https://ru.wikipedia.org/w/index.php?search=%D0%90%D1%85%2C%20%D0%B2%D0%BE%D0%B4%D0%B5%D0%B2%D0%B8%D0%BB%D1%8C%2C%20%D0%B2%D0%BE%D0%B4%D0%B5%D0%B2%D0%B8%D0%BB%D1%8C...%201979%20%D1%84%D0%B8%D0%BB%D1%8C%D0%BC","искать")</f>
        <v/>
      </c>
      <c r="N2703" s="3" t="n"/>
      <c r="O2703" s="2" t="n"/>
    </row>
    <row r="2704">
      <c r="A2704" s="2" t="n">
        <v>2703</v>
      </c>
      <c r="B2704" s="2" t="inlineStr">
        <is>
          <t>короткая</t>
        </is>
      </c>
      <c r="C2704" s="2" t="n">
        <v>8015</v>
      </c>
      <c r="D2704" s="3" t="inlineStr">
        <is>
          <t>Нужные люди</t>
        </is>
      </c>
      <c r="E2704" s="2" t="n">
        <v>1986</v>
      </c>
      <c r="F2704" s="2" t="inlineStr">
        <is>
          <t>телефильм</t>
        </is>
      </c>
      <c r="G2704" s="2" t="inlineStr">
        <is>
          <t>Творческое объединение «Экран»</t>
        </is>
      </c>
      <c r="H2704" s="2" t="n">
        <v>281</v>
      </c>
      <c r="I2704" s="2" t="inlineStr"/>
      <c r="J2704" s="2" t="inlineStr"/>
      <c r="K2704" s="3" t="inlineStr">
        <is>
          <t>Новогодняя мелодрама с музыкой и танцами. Молодой строитель Алеша влюбляется в Олю, тренера по плаванию. Но за ней ухаживает директор ресторана Игорь, хорошо обеспеченный материально человек, имеющий обширные связи. В конечном счете Оля отдает предпочтение доброму скромному Алеше.</t>
        </is>
      </c>
      <c r="L2704" s="2" t="inlineStr">
        <is>
          <t>Кино_СССР сводный каталог.xlsx: список телефильмов</t>
        </is>
      </c>
      <c r="M2704" s="2">
        <f>HYPERLINK("https://ru.wikipedia.org/w/index.php?search=%D0%9D%D1%83%D0%B6%D0%BD%D1%8B%D0%B5%20%D0%BB%D1%8E%D0%B4%D0%B8%201986%20%D1%84%D0%B8%D0%BB%D1%8C%D0%BC","искать")</f>
        <v/>
      </c>
      <c r="N2704" s="3" t="n"/>
      <c r="O2704" s="2" t="n"/>
    </row>
    <row r="2705">
      <c r="A2705" s="2" t="n">
        <v>2704</v>
      </c>
      <c r="B2705" s="2" t="inlineStr">
        <is>
          <t>короткая</t>
        </is>
      </c>
      <c r="C2705" s="2" t="n">
        <v>8096</v>
      </c>
      <c r="D2705" s="3" t="inlineStr">
        <is>
          <t>Перед свадьбой</t>
        </is>
      </c>
      <c r="E2705" s="2" t="n">
        <v>1987</v>
      </c>
      <c r="F2705" s="2" t="inlineStr">
        <is>
          <t>телефильм</t>
        </is>
      </c>
      <c r="G2705" s="2" t="n"/>
      <c r="H2705" s="2" t="n">
        <v>281</v>
      </c>
      <c r="I2705" s="2" t="inlineStr"/>
      <c r="J2705" s="2" t="inlineStr"/>
      <c r="K2705" s="3" t="inlineStr">
        <is>
          <t>По мотивам рассказа Михаила Малиновского "Доверие". Экспедитор Надя вот-вот выходит замуж. План по реализации продукции летит в тартарары. Надежде выделяют молодого водителя Ивана, и за два дня, что они колесят на грузовике, у них вспыхивает роман. За кого же выйдет замуж Надежда?</t>
        </is>
      </c>
      <c r="L2705" s="2" t="inlineStr">
        <is>
          <t>Кино_СССР сводный каталог.xlsx: список телефильмов</t>
        </is>
      </c>
      <c r="M2705" s="2">
        <f>HYPERLINK("https://ru.wikipedia.org/w/index.php?search=%D0%9F%D0%B5%D1%80%D0%B5%D0%B4%20%D1%81%D0%B2%D0%B0%D0%B4%D1%8C%D0%B1%D0%BE%D0%B9%201987%20%D1%84%D0%B8%D0%BB%D1%8C%D0%BC","искать")</f>
        <v/>
      </c>
      <c r="N2705" s="3" t="n"/>
      <c r="O2705" s="2" t="n"/>
    </row>
    <row r="2706">
      <c r="A2706" s="2" t="n">
        <v>2705</v>
      </c>
      <c r="B2706" s="2" t="inlineStr">
        <is>
          <t>короткая</t>
        </is>
      </c>
      <c r="C2706" s="2" t="n">
        <v>8250</v>
      </c>
      <c r="D2706" s="3" t="inlineStr">
        <is>
          <t>Путешествие мсье Перришона</t>
        </is>
      </c>
      <c r="E2706" s="2" t="n">
        <v>1986</v>
      </c>
      <c r="F2706" s="2" t="inlineStr">
        <is>
          <t>телефильм</t>
        </is>
      </c>
      <c r="G2706" s="2" t="n"/>
      <c r="H2706" s="2" t="n">
        <v>281</v>
      </c>
      <c r="I2706" s="2" t="inlineStr"/>
      <c r="J2706" s="2" t="inlineStr"/>
      <c r="K2706" s="3" t="inlineStr">
        <is>
          <t>Фильм снят по одноименному водевилю французских драматургов Эжена Лабиша и Эдуара Мартена. Двое молодых людей - Арман и Даниэль - влюбляются в дочь каретника Перришона. Они отправляются в Альпы вслед за семейством Перришонов, чтобы там решить, кому из них быть мужем милой девушки.</t>
        </is>
      </c>
      <c r="L2706" s="2" t="inlineStr">
        <is>
          <t>Кино_СССР сводный каталог.xlsx: список телефильмов</t>
        </is>
      </c>
      <c r="M2706" s="2">
        <f>HYPERLINK("https://ru.wikipedia.org/w/index.php?search=%D0%9F%D1%83%D1%82%D0%B5%D1%88%D0%B5%D1%81%D1%82%D0%B2%D0%B8%D0%B5%20%D0%BC%D1%81%D1%8C%D0%B5%20%D0%9F%D0%B5%D1%80%D1%80%D0%B8%D1%88%D0%BE%D0%BD%D0%B0%201986%20%D1%84%D0%B8%D0%BB%D1%8C%D0%BC","искать")</f>
        <v/>
      </c>
      <c r="N2706" s="3" t="n"/>
      <c r="O2706" s="2" t="n"/>
    </row>
    <row r="2707">
      <c r="A2707" s="2" t="n">
        <v>2706</v>
      </c>
      <c r="B2707" s="2" t="inlineStr">
        <is>
          <t>короткая</t>
        </is>
      </c>
      <c r="C2707" s="2" t="n">
        <v>8273</v>
      </c>
      <c r="D2707" s="3" t="inlineStr">
        <is>
          <t>Ржавчина</t>
        </is>
      </c>
      <c r="E2707" s="2" t="n">
        <v>1991</v>
      </c>
      <c r="F2707" s="2" t="inlineStr">
        <is>
          <t>телефильм</t>
        </is>
      </c>
      <c r="G2707" s="2" t="n"/>
      <c r="H2707" s="2" t="n">
        <v>281</v>
      </c>
      <c r="I2707" s="2" t="inlineStr"/>
      <c r="J2707" s="2" t="inlineStr"/>
      <c r="K2707" s="3" t="inlineStr">
        <is>
          <t>В основе сценария фильма — документальные материалы из архивов КГБ. Исследуется процесс возникновения организованной преступности, мафии. Картина повествует о событиях 1938—1987 годов. В центре сюжета — семейный клан Кругловых, перипетии их обогащения и безнаказанных преступлений.</t>
        </is>
      </c>
      <c r="L2707" s="2" t="inlineStr">
        <is>
          <t>Кино_СССР сводный каталог.xlsx: список телефильмов</t>
        </is>
      </c>
      <c r="M2707" s="2">
        <f>HYPERLINK("https://ru.wikipedia.org/w/index.php?search=%D0%A0%D0%B6%D0%B0%D0%B2%D1%87%D0%B8%D0%BD%D0%B0%201991%20%D1%84%D0%B8%D0%BB%D1%8C%D0%BC","искать")</f>
        <v/>
      </c>
      <c r="N2707" s="3" t="n"/>
      <c r="O2707" s="2" t="n"/>
    </row>
    <row r="2708">
      <c r="A2708" s="2" t="n">
        <v>2707</v>
      </c>
      <c r="B2708" s="2" t="inlineStr">
        <is>
          <t>короткая</t>
        </is>
      </c>
      <c r="C2708" s="2" t="n">
        <v>8331</v>
      </c>
      <c r="D2708" s="3" t="inlineStr">
        <is>
          <t>Семь счастливых нот</t>
        </is>
      </c>
      <c r="E2708" s="2" t="n">
        <v>1981</v>
      </c>
      <c r="F2708" s="2" t="inlineStr">
        <is>
          <t>телефильм</t>
        </is>
      </c>
      <c r="G2708" s="2" t="n"/>
      <c r="H2708" s="2" t="n">
        <v>281</v>
      </c>
      <c r="I2708" s="2" t="inlineStr"/>
      <c r="J2708" s="2" t="inlineStr"/>
      <c r="K2708" s="3" t="inlineStr">
        <is>
          <t>Телефильм-ревю. В основе фильма - лучшие хореографические номера из спектаклей Ленинградского мюзик-холла, песни звезд эстрады и романсы в исполнении популярных певцов. Концертные номера объединены сюжетной линией участия всех исполнителей в съемке музыкального комедийного фильма.</t>
        </is>
      </c>
      <c r="L2708" s="2" t="inlineStr">
        <is>
          <t>Кино_СССР сводный каталог.xlsx: список телефильмов</t>
        </is>
      </c>
      <c r="M2708" s="2">
        <f>HYPERLINK("https://ru.wikipedia.org/w/index.php?search=%D0%A1%D0%B5%D0%BC%D1%8C%20%D1%81%D1%87%D0%B0%D1%81%D1%82%D0%BB%D0%B8%D0%B2%D1%8B%D1%85%20%D0%BD%D0%BE%D1%82%201981%20%D1%84%D0%B8%D0%BB%D1%8C%D0%BC","искать")</f>
        <v/>
      </c>
      <c r="N2708" s="3" t="n"/>
      <c r="O2708" s="2" t="n"/>
    </row>
    <row r="2709">
      <c r="A2709" s="2" t="n">
        <v>2708</v>
      </c>
      <c r="B2709" s="2" t="inlineStr">
        <is>
          <t>короткая</t>
        </is>
      </c>
      <c r="C2709" s="2" t="n">
        <v>8338</v>
      </c>
      <c r="D2709" s="3" t="inlineStr">
        <is>
          <t>Середина жизни</t>
        </is>
      </c>
      <c r="E2709" s="2" t="n">
        <v>1976</v>
      </c>
      <c r="F2709" s="2" t="inlineStr">
        <is>
          <t>телефильм</t>
        </is>
      </c>
      <c r="G2709" s="2" t="n"/>
      <c r="H2709" s="2" t="n">
        <v>281</v>
      </c>
      <c r="I2709" s="2" t="inlineStr"/>
      <c r="J2709" s="2" t="inlineStr"/>
      <c r="K2709" s="3" t="inlineStr">
        <is>
          <t>Телефильм по мотивам пьесы Г. Бокарева «Испытание». Инженер НИИ автоматики Юсупов, руководитель проекта, однажды приходит к выводу, что его проект устарел. Герой находит иное, подлинно новаторское решение и начинает работу заново, хотя далеко не все согласны с его смелым решением.</t>
        </is>
      </c>
      <c r="L2709" s="2" t="inlineStr">
        <is>
          <t>Кино_СССР сводный каталог.xlsx: список телефильмов</t>
        </is>
      </c>
      <c r="M2709" s="2">
        <f>HYPERLINK("https://ru.wikipedia.org/w/index.php?search=%D0%A1%D0%B5%D1%80%D0%B5%D0%B4%D0%B8%D0%BD%D0%B0%20%D0%B6%D0%B8%D0%B7%D0%BD%D0%B8%201976%20%D1%84%D0%B8%D0%BB%D1%8C%D0%BC","искать")</f>
        <v/>
      </c>
      <c r="N2709" s="3" t="n"/>
      <c r="O2709" s="2" t="n"/>
    </row>
    <row r="2710">
      <c r="A2710" s="2" t="n">
        <v>2709</v>
      </c>
      <c r="B2710" s="2" t="inlineStr">
        <is>
          <t>короткая</t>
        </is>
      </c>
      <c r="C2710" s="2" t="n">
        <v>8550</v>
      </c>
      <c r="D2710" s="3" t="inlineStr">
        <is>
          <t>Человек со свалки</t>
        </is>
      </c>
      <c r="E2710" s="2" t="n">
        <v>1991</v>
      </c>
      <c r="F2710" s="2" t="inlineStr">
        <is>
          <t>телефильм</t>
        </is>
      </c>
      <c r="G2710" s="2" t="inlineStr">
        <is>
          <t>Петрополь, Союзтелефильм</t>
        </is>
      </c>
      <c r="H2710" s="2" t="n">
        <v>281</v>
      </c>
      <c r="I2710" s="2" t="inlineStr"/>
      <c r="J2710" s="2" t="inlineStr"/>
      <c r="K2710" s="3" t="inlineStr">
        <is>
          <t>Рабочий парень Герасим Дягилев становится боксером, чемпионом Европы. Вернувшись в родной город, он начинает спиваться, но находит в себе силы "подняться": женится и устраивается на завод. Наступает перестройка - и он среди организаторов демократического движения "Фронт спасения".</t>
        </is>
      </c>
      <c r="L2710" s="2" t="inlineStr">
        <is>
          <t>Кино_СССР сводный каталог.xlsx: список телефильмов</t>
        </is>
      </c>
      <c r="M2710" s="2">
        <f>HYPERLINK("https://ru.wikipedia.org/w/index.php?search=%D0%A7%D0%B5%D0%BB%D0%BE%D0%B2%D0%B5%D0%BA%20%D1%81%D0%BE%20%D1%81%D0%B2%D0%B0%D0%BB%D0%BA%D0%B8%201991%20%D1%84%D0%B8%D0%BB%D1%8C%D0%BC","искать")</f>
        <v/>
      </c>
      <c r="N2710" s="3" t="n"/>
      <c r="O2710" s="2" t="n"/>
    </row>
    <row r="2711">
      <c r="A2711" s="2" t="n">
        <v>2710</v>
      </c>
      <c r="B2711" s="2" t="inlineStr">
        <is>
          <t>короткая</t>
        </is>
      </c>
      <c r="C2711" s="2" t="n">
        <v>8856</v>
      </c>
      <c r="D2711" s="3" t="inlineStr">
        <is>
          <t>Мясорубка</t>
        </is>
      </c>
      <c r="E2711" s="2" t="n">
        <v>1991</v>
      </c>
      <c r="F2711" s="2" t="inlineStr">
        <is>
          <t>кинофильм</t>
        </is>
      </c>
      <c r="G2711" s="2" t="n"/>
      <c r="H2711" s="2" t="n">
        <v>281</v>
      </c>
      <c r="I2711" s="2" t="inlineStr"/>
      <c r="J2711" s="2" t="inlineStr"/>
      <c r="K2711" s="3" t="inlineStr">
        <is>
          <t>Жена модельера, не особенно обремененная одеждой, но обремененная опытом пяти лет перестройки, просмотрами американских боевиков, а также верой в неприкосновенность частной собственности, вступает в борьбу с бандой Хорька... Презентация фильма состоялась на 1-м «Кинотавре» в Сочи.</t>
        </is>
      </c>
      <c r="L2711" s="2" t="inlineStr">
        <is>
          <t>Кино_СССР сводный каталог.xlsx: список фильмов (доп.)</t>
        </is>
      </c>
      <c r="M2711" s="2">
        <f>HYPERLINK("https://ru.wikipedia.org/w/index.php?search=%D0%9C%D1%8F%D1%81%D0%BE%D1%80%D1%83%D0%B1%D0%BA%D0%B0%201991%20%D1%84%D0%B8%D0%BB%D1%8C%D0%BC","искать")</f>
        <v/>
      </c>
      <c r="N2711" s="3" t="n"/>
      <c r="O2711" s="2" t="n"/>
    </row>
    <row r="2712">
      <c r="A2712" s="2" t="n">
        <v>2711</v>
      </c>
      <c r="B2712" s="2" t="inlineStr">
        <is>
          <t>короткая</t>
        </is>
      </c>
      <c r="C2712" s="2" t="n">
        <v>10679</v>
      </c>
      <c r="D2712" s="3" t="inlineStr">
        <is>
          <t>Аз и Ферт</t>
        </is>
      </c>
      <c r="E2712" s="2" t="n">
        <v>1977</v>
      </c>
      <c r="F2712" s="2" t="inlineStr">
        <is>
          <t>фильм-спектакль</t>
        </is>
      </c>
      <c r="G2712" s="2" t="inlineStr">
        <is>
          <t>Центральное телевидение</t>
        </is>
      </c>
      <c r="H2712" s="2" t="n">
        <v>281</v>
      </c>
      <c r="I2712" s="2" t="inlineStr"/>
      <c r="J2712" s="2" t="inlineStr"/>
      <c r="K2712" s="3" t="inlineStr">
        <is>
          <t>По мотивам водевиля П. Федорова.
Помещик Мордашов, чтобы угодить своему будущему зятю Алексею Фурсикову, отмечает все приданое своей дочери вензелем "А.Ф.". Но жених дает отступного. Дабы не пропало добро, расчетливый отец начинает поиски жениха с подходящими инициалами Аз и Ферт.</t>
        </is>
      </c>
      <c r="L2712" s="2" t="inlineStr">
        <is>
          <t>https://www.kino-teatr.ru/teatr/movie/16408/annot/</t>
        </is>
      </c>
      <c r="M2712" s="2">
        <f>HYPERLINK("https://ru.wikipedia.org/w/index.php?search=%D0%90%D0%B7%20%D0%B8%20%D0%A4%D0%B5%D1%80%D1%82%201977%20%D1%84%D0%B8%D0%BB%D1%8C%D0%BC","искать")</f>
        <v/>
      </c>
      <c r="N2712" s="3" t="n"/>
      <c r="O2712" s="2" t="n"/>
    </row>
    <row r="2713">
      <c r="A2713" s="2" t="n">
        <v>2712</v>
      </c>
      <c r="B2713" s="2" t="inlineStr">
        <is>
          <t>короткая</t>
        </is>
      </c>
      <c r="C2713" s="2" t="n">
        <v>7582</v>
      </c>
      <c r="D2713" s="3" t="inlineStr">
        <is>
          <t>Жду и надеюсь</t>
        </is>
      </c>
      <c r="E2713" s="2" t="n">
        <v>1980</v>
      </c>
      <c r="F2713" s="2" t="inlineStr">
        <is>
          <t>телефильм</t>
        </is>
      </c>
      <c r="G2713" s="2" t="n"/>
      <c r="H2713" s="2" t="n">
        <v>282</v>
      </c>
      <c r="I2713" s="2" t="inlineStr"/>
      <c r="J2713" s="2" t="inlineStr"/>
      <c r="K2713" s="3" t="inlineStr">
        <is>
          <t>Телефильм по одноименной повести В. Смирнова. В 1942 году партизанский отряд, действовавший в Полесье, был окружен. Для успешного прорыва было необходимо дезинформировать противника. Герой фильма, молодой партизан, берёт эту миссию на себя, ценой собственной жизни спасая товарищей.</t>
        </is>
      </c>
      <c r="L2713" s="2" t="inlineStr">
        <is>
          <t>Кино_СССР сводный каталог.xlsx: список телефильмов</t>
        </is>
      </c>
      <c r="M2713" s="2">
        <f>HYPERLINK("https://ru.wikipedia.org/w/index.php?search=%D0%96%D0%B4%D1%83%20%D0%B8%20%D0%BD%D0%B0%D0%B4%D0%B5%D1%8E%D1%81%D1%8C%201980%20%D1%84%D0%B8%D0%BB%D1%8C%D0%BC","искать")</f>
        <v/>
      </c>
      <c r="N2713" s="3" t="n"/>
      <c r="O2713" s="2" t="n"/>
    </row>
    <row r="2714">
      <c r="A2714" s="2" t="n">
        <v>2713</v>
      </c>
      <c r="B2714" s="2" t="inlineStr">
        <is>
          <t>короткая</t>
        </is>
      </c>
      <c r="C2714" s="2" t="n">
        <v>8392</v>
      </c>
      <c r="D2714" s="3" t="inlineStr">
        <is>
          <t>Стакан воды</t>
        </is>
      </c>
      <c r="E2714" s="2" t="n">
        <v>1979</v>
      </c>
      <c r="F2714" s="2" t="inlineStr">
        <is>
          <t>телефильм</t>
        </is>
      </c>
      <c r="G2714" s="2" t="inlineStr">
        <is>
          <t>Киностудия «Мосфильм»; Творческое объединение телевизионных фильмов</t>
        </is>
      </c>
      <c r="H2714" s="2" t="n">
        <v>282</v>
      </c>
      <c r="I2714" s="2" t="inlineStr"/>
      <c r="J2714" s="2" t="inlineStr"/>
      <c r="K2714" s="3" t="inlineStr">
        <is>
          <t>Телефильм по одноимённой пьесе французского драматурга Эжена Скриба об интригах английского двора начала XVIII века и их влиянии на политику. В центре действия оказываются молодой офицер, скромная продавщица ювелирного магазина, всесильная герцогиня Мальборо и сама королева Англии.</t>
        </is>
      </c>
      <c r="L2714" s="2" t="inlineStr">
        <is>
          <t>Кино_СССР сводный каталог.xlsx: список телефильмов</t>
        </is>
      </c>
      <c r="M2714" s="2">
        <f>HYPERLINK("https://ru.wikipedia.org/w/index.php?search=%D0%A1%D1%82%D0%B0%D0%BA%D0%B0%D0%BD%20%D0%B2%D0%BE%D0%B4%D1%8B%201979%20%D1%84%D0%B8%D0%BB%D1%8C%D0%BC","искать")</f>
        <v/>
      </c>
      <c r="N2714" s="3" t="n"/>
      <c r="O2714" s="2" t="n"/>
    </row>
    <row r="2715">
      <c r="A2715" s="2" t="n">
        <v>2714</v>
      </c>
      <c r="B2715" s="2" t="inlineStr">
        <is>
          <t>короткая</t>
        </is>
      </c>
      <c r="C2715" s="2" t="n">
        <v>8533</v>
      </c>
      <c r="D2715" s="3" t="inlineStr">
        <is>
          <t>Цена</t>
        </is>
      </c>
      <c r="E2715" s="2" t="n">
        <v>1969</v>
      </c>
      <c r="F2715" s="2" t="inlineStr">
        <is>
          <t>телефильм</t>
        </is>
      </c>
      <c r="G2715" s="2" t="n"/>
      <c r="H2715" s="2" t="n">
        <v>282</v>
      </c>
      <c r="I2715" s="2" t="inlineStr"/>
      <c r="J2715" s="2" t="inlineStr"/>
      <c r="K2715" s="3" t="inlineStr">
        <is>
          <t>По пьесе Артура Миллера. Местом встречи двух братьев, не видевшихся шестнадцать лет, становится старый дом покойного отца. А причиной встречи - продажа отцовской мебели. Преуспевающий врач и небогатый полицейский ведут диалог, в котором раскрываются разные жизненные позиции героев.</t>
        </is>
      </c>
      <c r="L2715" s="2" t="inlineStr">
        <is>
          <t>Кино_СССР сводный каталог.xlsx: список телефильмов</t>
        </is>
      </c>
      <c r="M2715" s="2">
        <f>HYPERLINK("https://ru.wikipedia.org/w/index.php?search=%D0%A6%D0%B5%D0%BD%D0%B0%201969%20%D1%84%D0%B8%D0%BB%D1%8C%D0%BC","искать")</f>
        <v/>
      </c>
      <c r="N2715" s="3" t="n"/>
      <c r="O2715" s="2" t="n"/>
    </row>
    <row r="2716">
      <c r="A2716" s="2" t="n">
        <v>2715</v>
      </c>
      <c r="B2716" s="2" t="inlineStr">
        <is>
          <t>короткая</t>
        </is>
      </c>
      <c r="C2716" s="2" t="n">
        <v>8956</v>
      </c>
      <c r="D2716" s="3" t="inlineStr">
        <is>
          <t>Попугай, говорящий на идиш</t>
        </is>
      </c>
      <c r="E2716" s="2" t="n">
        <v>1990</v>
      </c>
      <c r="F2716" s="2" t="inlineStr">
        <is>
          <t>кинофильм</t>
        </is>
      </c>
      <c r="G2716" s="2" t="n"/>
      <c r="H2716" s="2" t="n">
        <v>282</v>
      </c>
      <c r="I2716" s="2" t="inlineStr"/>
      <c r="J2716" s="2" t="inlineStr"/>
      <c r="K2716" s="3" t="inlineStr">
        <is>
          <t>По повести Эфраима Севелы "Мама". Так и не научившись завязывать шнурки, тем не менее благодаря именно этому свойству своих рук, молодой Янкель в годы второй мировой войны будет и наемным легионером, и попадет в плен, и пройдет по Сицилии с армией союзников, и окажется в Индокитае.</t>
        </is>
      </c>
      <c r="L2716" s="2" t="inlineStr">
        <is>
          <t>Кино_СССР сводный каталог.xlsx: список фильмов (доп.)</t>
        </is>
      </c>
      <c r="M2716" s="2">
        <f>HYPERLINK("https://ru.wikipedia.org/w/index.php?search=%D0%9F%D0%BE%D0%BF%D1%83%D0%B3%D0%B0%D0%B9%2C%20%D0%B3%D0%BE%D0%B2%D0%BE%D1%80%D1%8F%D1%89%D0%B8%D0%B9%20%D0%BD%D0%B0%20%D0%B8%D0%B4%D0%B8%D1%88%201990%20%D1%84%D0%B8%D0%BB%D1%8C%D0%BC","искать")</f>
        <v/>
      </c>
      <c r="N2716" s="3" t="n"/>
      <c r="O2716" s="2" t="n"/>
    </row>
    <row r="2717">
      <c r="A2717" s="2" t="n">
        <v>2716</v>
      </c>
      <c r="B2717" s="2" t="inlineStr">
        <is>
          <t>короткая</t>
        </is>
      </c>
      <c r="C2717" s="2" t="n">
        <v>9155</v>
      </c>
      <c r="D2717" s="3" t="inlineStr">
        <is>
          <t>Человек в зеленом кимоно</t>
        </is>
      </c>
      <c r="E2717" s="2" t="n">
        <v>1991</v>
      </c>
      <c r="F2717" s="2" t="inlineStr">
        <is>
          <t>кинофильм</t>
        </is>
      </c>
      <c r="G2717" s="2" t="n"/>
      <c r="H2717" s="2" t="n">
        <v>282</v>
      </c>
      <c r="I2717" s="2" t="inlineStr"/>
      <c r="J2717" s="2" t="inlineStr"/>
      <c r="K2717" s="3" t="inlineStr">
        <is>
          <t>Обладатель черного пояса по карате Таму возвращается в свой город после долгого отсутствия с целью открыть свою собственную школу. Некто Седой, покровительствующий уже существующей в городе секции, оказывает поддержку Таму и предоставляет спортзал, требуя взамен полного подчинения.</t>
        </is>
      </c>
      <c r="L2717" s="2" t="inlineStr">
        <is>
          <t>Кино_СССР сводный каталог.xlsx: список фильмов (доп.)</t>
        </is>
      </c>
      <c r="M2717" s="2">
        <f>HYPERLINK("https://ru.wikipedia.org/w/index.php?search=%D0%A7%D0%B5%D0%BB%D0%BE%D0%B2%D0%B5%D0%BA%20%D0%B2%20%D0%B7%D0%B5%D0%BB%D0%B5%D0%BD%D0%BE%D0%BC%20%D0%BA%D0%B8%D0%BC%D0%BE%D0%BD%D0%BE%201991%20%D1%84%D0%B8%D0%BB%D1%8C%D0%BC","искать")</f>
        <v/>
      </c>
      <c r="N2717" s="3" t="n"/>
      <c r="O2717" s="2" t="n"/>
    </row>
    <row r="2718">
      <c r="A2718" s="2" t="n">
        <v>2717</v>
      </c>
      <c r="B2718" s="2" t="inlineStr">
        <is>
          <t>короткая</t>
        </is>
      </c>
      <c r="C2718" s="2" t="n">
        <v>9893</v>
      </c>
      <c r="D2718" s="3" t="inlineStr">
        <is>
          <t>Общая стена</t>
        </is>
      </c>
      <c r="E2718" s="2" t="n">
        <v>1972</v>
      </c>
      <c r="F2718" s="2" t="inlineStr">
        <is>
          <t>телефильм</t>
        </is>
      </c>
      <c r="G2718" s="2" t="inlineStr">
        <is>
          <t>Грузия-фильм</t>
        </is>
      </c>
      <c r="H2718" s="2" t="n">
        <v>282</v>
      </c>
      <c r="I2718" s="2" t="inlineStr"/>
      <c r="J2718" s="2" t="inlineStr"/>
      <c r="K2718" s="3" t="inlineStr">
        <is>
          <t>Телефильм. Смешная история о соседях, не замечающих друг друга.
Соседи в новом доме порой даже не подозревают, кто живёт у них за стеной. Они добрые друзья на улице, но каждый из них люто ненавидит живущего за тонкой стенкой. Что победит, когда всё выяснится – ненависть или дружба?</t>
        </is>
      </c>
      <c r="L2718" s="2" t="inlineStr">
        <is>
          <t>https://www.kino-teatr.ru/short/movie/sov/9935/annot/</t>
        </is>
      </c>
      <c r="M2718" s="2">
        <f>HYPERLINK("https://ru.wikipedia.org/w/index.php?search=%D0%9E%D0%B1%D1%89%D0%B0%D1%8F%20%D1%81%D1%82%D0%B5%D0%BD%D0%B0%201972%20%D1%84%D0%B8%D0%BB%D1%8C%D0%BC","искать")</f>
        <v/>
      </c>
      <c r="N2718" s="3" t="n"/>
      <c r="O2718" s="2" t="n"/>
    </row>
    <row r="2719">
      <c r="A2719" s="2" t="n">
        <v>2718</v>
      </c>
      <c r="B2719" s="2" t="inlineStr">
        <is>
          <t>короткая</t>
        </is>
      </c>
      <c r="C2719" s="2" t="n">
        <v>7561</v>
      </c>
      <c r="D2719" s="3" t="inlineStr">
        <is>
          <t>Друг Эмиля</t>
        </is>
      </c>
      <c r="E2719" s="2" t="n">
        <v>1989</v>
      </c>
      <c r="F2719" s="2" t="inlineStr">
        <is>
          <t>телефильм</t>
        </is>
      </c>
      <c r="G2719" s="2" t="n"/>
      <c r="H2719" s="2" t="n">
        <v>283</v>
      </c>
      <c r="I2719" s="2" t="inlineStr"/>
      <c r="J2719" s="2" t="inlineStr"/>
      <c r="K2719" s="3" t="inlineStr">
        <is>
          <t>По мотивам рассказа эстонской писательницы Леэны Крон "Шестилетка", повествующего о настоящей дружбе и любви к окружающим. Однажды маленький мальчик Эмиль встречает птицу, которая хочет стать человеком - и не просто человеком, а настоящей, цельной личностью. Они становятся друзьями.</t>
        </is>
      </c>
      <c r="L2719" s="2" t="inlineStr">
        <is>
          <t>Кино_СССР сводный каталог.xlsx: список телефильмов</t>
        </is>
      </c>
      <c r="M2719" s="2">
        <f>HYPERLINK("https://ru.wikipedia.org/w/index.php?search=%D0%94%D1%80%D1%83%D0%B3%20%D0%AD%D0%BC%D0%B8%D0%BB%D1%8F%201989%20%D1%84%D0%B8%D0%BB%D1%8C%D0%BC","искать")</f>
        <v/>
      </c>
      <c r="N2719" s="3" t="n"/>
      <c r="O2719" s="2" t="n"/>
    </row>
    <row r="2720">
      <c r="A2720" s="2" t="n">
        <v>2719</v>
      </c>
      <c r="B2720" s="2" t="inlineStr">
        <is>
          <t>короткая</t>
        </is>
      </c>
      <c r="C2720" s="2" t="n">
        <v>7656</v>
      </c>
      <c r="D2720" s="3" t="inlineStr">
        <is>
          <t>Золотые туфельки</t>
        </is>
      </c>
      <c r="E2720" s="2" t="n">
        <v>1981</v>
      </c>
      <c r="F2720" s="2" t="inlineStr">
        <is>
          <t>телефильм</t>
        </is>
      </c>
      <c r="G2720" s="2" t="inlineStr">
        <is>
          <t>Одесская к/с</t>
        </is>
      </c>
      <c r="H2720" s="2" t="n">
        <v>283</v>
      </c>
      <c r="I2720" s="2" t="inlineStr"/>
      <c r="J2720" s="2" t="inlineStr"/>
      <c r="K2720" s="3" t="inlineStr">
        <is>
          <t>Телефильм по мотивам повестей Ивана Василенко "Золотые туфельки" и "Заколдованный спектакль". Главные герои фильма - Артемий Загоруйко и его друзья - Ляся, негр Пепо и Костя, знакомые зрителю по фильму "Волшебный круг", но уже повзрослевшие, оказываются в гуще революционных событий.</t>
        </is>
      </c>
      <c r="L2720" s="2" t="inlineStr">
        <is>
          <t>Кино_СССР сводный каталог.xlsx: список телефильмов</t>
        </is>
      </c>
      <c r="M2720" s="2">
        <f>HYPERLINK("https://ru.wikipedia.org/w/index.php?search=%D0%97%D0%BE%D0%BB%D0%BE%D1%82%D1%8B%D0%B5%20%D1%82%D1%83%D1%84%D0%B5%D0%BB%D1%8C%D0%BA%D0%B8%201981%20%D1%84%D0%B8%D0%BB%D1%8C%D0%BC","искать")</f>
        <v/>
      </c>
      <c r="N2720" s="3" t="n"/>
      <c r="O2720" s="2" t="n"/>
    </row>
    <row r="2721">
      <c r="A2721" s="2" t="n">
        <v>2720</v>
      </c>
      <c r="B2721" s="2" t="inlineStr">
        <is>
          <t>короткая</t>
        </is>
      </c>
      <c r="C2721" s="2" t="n">
        <v>7765</v>
      </c>
      <c r="D2721" s="3" t="inlineStr">
        <is>
          <t>Красное и черное</t>
        </is>
      </c>
      <c r="E2721" s="2" t="n">
        <v>1976</v>
      </c>
      <c r="F2721" s="2" t="inlineStr">
        <is>
          <t>телефильм</t>
        </is>
      </c>
      <c r="G2721" s="2" t="n"/>
      <c r="H2721" s="2" t="n">
        <v>284</v>
      </c>
      <c r="I2721" s="2" t="inlineStr"/>
      <c r="J2721" s="2" t="inlineStr"/>
      <c r="K2721" s="3" t="inlineStr">
        <is>
          <t>Экранизация одноимённого романа Стендаля. 1820-е годы. Сын плотника Жюльен Сорель боготворит Наполеона и мечтает о славе. Благодаря способностям и образованию он оказывается в среде сначала провинциального, а затем и высшего дворянства, но жизнь сложилась не так, как ему хотелось бы.</t>
        </is>
      </c>
      <c r="L2721" s="2" t="inlineStr">
        <is>
          <t>Кино_СССР сводный каталог.xlsx: список телефильмов</t>
        </is>
      </c>
      <c r="M2721" s="2">
        <f>HYPERLINK("https://ru.wikipedia.org/w/index.php?search=%D0%9A%D1%80%D0%B0%D1%81%D0%BD%D0%BE%D0%B5%20%D0%B8%20%D1%87%D0%B5%D1%80%D0%BD%D0%BE%D0%B5%201976%20%D1%84%D0%B8%D0%BB%D1%8C%D0%BC","искать")</f>
        <v/>
      </c>
      <c r="N2721" s="3" t="n"/>
      <c r="O2721" s="2" t="n"/>
    </row>
    <row r="2722">
      <c r="A2722" s="2" t="n">
        <v>2721</v>
      </c>
      <c r="B2722" s="2" t="inlineStr">
        <is>
          <t>короткая</t>
        </is>
      </c>
      <c r="C2722" s="2" t="n">
        <v>7799</v>
      </c>
      <c r="D2722" s="3" t="inlineStr">
        <is>
          <t>Лётное происшествие</t>
        </is>
      </c>
      <c r="E2722" s="2" t="n">
        <v>1986</v>
      </c>
      <c r="F2722" s="2" t="inlineStr">
        <is>
          <t>телефильм</t>
        </is>
      </c>
      <c r="G2722" s="2" t="n"/>
      <c r="H2722" s="2" t="n">
        <v>284</v>
      </c>
      <c r="I2722" s="2" t="inlineStr"/>
      <c r="J2722" s="2" t="inlineStr"/>
      <c r="K2722" s="3" t="inlineStr">
        <is>
          <t>По мотивам романа Александра Старостина "Второй круг". Авиационный инженер Виктор Росанов мечтает сесть за штурвал самолета - он уверен, что только так сможет реализовать свои возможности. Руководство завода отправляет Росанова на Север и поручает подготовить к полетам новый самолет.</t>
        </is>
      </c>
      <c r="L2722" s="2" t="inlineStr">
        <is>
          <t>Кино_СССР сводный каталог.xlsx: список телефильмов</t>
        </is>
      </c>
      <c r="M2722" s="2">
        <f>HYPERLINK("https://ru.wikipedia.org/w/index.php?search=%D0%9B%D1%91%D1%82%D0%BD%D0%BE%D0%B5%20%D0%BF%D1%80%D0%BE%D0%B8%D1%81%D1%88%D0%B5%D1%81%D1%82%D0%B2%D0%B8%D0%B5%201986%20%D1%84%D0%B8%D0%BB%D1%8C%D0%BC","искать")</f>
        <v/>
      </c>
      <c r="N2722" s="3" t="n"/>
      <c r="O2722" s="2" t="n"/>
    </row>
    <row r="2723">
      <c r="A2723" s="2" t="n">
        <v>2722</v>
      </c>
      <c r="B2723" s="2" t="inlineStr">
        <is>
          <t>короткая</t>
        </is>
      </c>
      <c r="C2723" s="2" t="n">
        <v>8154</v>
      </c>
      <c r="D2723" s="3" t="inlineStr">
        <is>
          <t>Покушение на ГОЭЛРО</t>
        </is>
      </c>
      <c r="E2723" s="2" t="n">
        <v>1986</v>
      </c>
      <c r="F2723" s="2" t="inlineStr">
        <is>
          <t>телефильм</t>
        </is>
      </c>
      <c r="G2723" s="2" t="n"/>
      <c r="H2723" s="2" t="n">
        <v>284</v>
      </c>
      <c r="I2723" s="2" t="inlineStr"/>
      <c r="J2723" s="2" t="inlineStr"/>
      <c r="K2723" s="3" t="inlineStr">
        <is>
          <t>По мотивам одноименной документальной повести А.Полякова. 1932 год. Урал, город Краснотальск. На электростанции совершена диверсия. Турбина выведена из строя. Усыпив сторожей, кто-то насыпал наждачный песок в турбинное масло. В Москве руководством ОГПУ получена секретная шифрограмма.</t>
        </is>
      </c>
      <c r="L2723" s="2" t="inlineStr">
        <is>
          <t>Кино_СССР сводный каталог.xlsx: список телефильмов</t>
        </is>
      </c>
      <c r="M2723" s="2">
        <f>HYPERLINK("https://ru.wikipedia.org/w/index.php?search=%D0%9F%D0%BE%D0%BA%D1%83%D1%88%D0%B5%D0%BD%D0%B8%D0%B5%20%D0%BD%D0%B0%20%D0%93%D0%9E%D0%AD%D0%9B%D0%A0%D0%9E%201986%20%D1%84%D0%B8%D0%BB%D1%8C%D0%BC","искать")</f>
        <v/>
      </c>
      <c r="N2723" s="3" t="n"/>
      <c r="O2723" s="2" t="n"/>
    </row>
    <row r="2724">
      <c r="A2724" s="2" t="n">
        <v>2723</v>
      </c>
      <c r="B2724" s="2" t="inlineStr">
        <is>
          <t>короткая</t>
        </is>
      </c>
      <c r="C2724" s="2" t="n">
        <v>8610</v>
      </c>
      <c r="D2724" s="3" t="inlineStr">
        <is>
          <t>Я вожатый форпоста</t>
        </is>
      </c>
      <c r="E2724" s="2" t="n">
        <v>1986</v>
      </c>
      <c r="F2724" s="2" t="inlineStr">
        <is>
          <t>телефильм</t>
        </is>
      </c>
      <c r="G2724" s="2" t="n"/>
      <c r="H2724" s="2" t="n">
        <v>284</v>
      </c>
      <c r="I2724" s="2" t="inlineStr"/>
      <c r="J2724" s="2" t="inlineStr"/>
      <c r="K2724" s="3" t="inlineStr">
        <is>
          <t>По произведениям, письмам и воспоминаниям писателя и педагога Николая Огнева. Продолжение судеб героев фильма "Наше призвание". После выхода на пенсию заслуженный педагог Николай Иванович Гудков вспоминает молодость, сложный период НЭПа и своё назначение вожатым пионерского форпоста.</t>
        </is>
      </c>
      <c r="L2724" s="2" t="inlineStr">
        <is>
          <t>Кино_СССР сводный каталог.xlsx: список телефильмов</t>
        </is>
      </c>
      <c r="M2724" s="2">
        <f>HYPERLINK("https://ru.wikipedia.org/w/index.php?search=%D0%AF%20%D0%B2%D0%BE%D0%B6%D0%B0%D1%82%D1%8B%D0%B9%20%D1%84%D0%BE%D1%80%D0%BF%D0%BE%D1%81%D1%82%D0%B0%201986%20%D1%84%D0%B8%D0%BB%D1%8C%D0%BC","искать")</f>
        <v/>
      </c>
      <c r="N2724" s="3" t="n"/>
      <c r="O2724" s="2" t="n"/>
    </row>
    <row r="2725">
      <c r="A2725" s="2" t="n">
        <v>2724</v>
      </c>
      <c r="B2725" s="2" t="inlineStr">
        <is>
          <t>короткая</t>
        </is>
      </c>
      <c r="C2725" s="2" t="n">
        <v>8786</v>
      </c>
      <c r="D2725" s="3" t="inlineStr">
        <is>
          <t>Кто ты такой?</t>
        </is>
      </c>
      <c r="E2725" s="2" t="n">
        <v>1989</v>
      </c>
      <c r="F2725" s="2" t="inlineStr">
        <is>
          <t>кинофильм</t>
        </is>
      </c>
      <c r="G2725" s="2" t="n"/>
      <c r="H2725" s="2" t="n">
        <v>284</v>
      </c>
      <c r="I2725" s="2" t="inlineStr"/>
      <c r="J2725" s="2" t="inlineStr"/>
      <c r="K2725" s="3" t="inlineStr">
        <is>
          <t>Молодой врач, обслуживающий хлопкоробов, едет в город. На шоссе, при попытке обогнать автоколонну, машину останавливает ГАИ. События, происходящие далее, — точная и остроумная модель жизни, насквозь пронизанной абсурдными отношениями, нелепыми требованиями и необъяснимыми запретами..</t>
        </is>
      </c>
      <c r="L2725" s="2" t="inlineStr">
        <is>
          <t>Кино_СССР сводный каталог.xlsx: список фильмов (доп.)</t>
        </is>
      </c>
      <c r="M2725" s="2">
        <f>HYPERLINK("https://ru.wikipedia.org/w/index.php?search=%D0%9A%D1%82%D0%BE%20%D1%82%D1%8B%20%D1%82%D0%B0%D0%BA%D0%BE%D0%B9%3F%201989%20%D1%84%D0%B8%D0%BB%D1%8C%D0%BC","искать")</f>
        <v/>
      </c>
      <c r="N2725" s="3" t="n"/>
      <c r="O2725" s="2" t="n"/>
    </row>
    <row r="2726">
      <c r="A2726" s="2" t="n">
        <v>2725</v>
      </c>
      <c r="B2726" s="2" t="inlineStr">
        <is>
          <t>короткая</t>
        </is>
      </c>
      <c r="C2726" s="2" t="n">
        <v>10242</v>
      </c>
      <c r="D2726" s="3" t="inlineStr">
        <is>
          <t>Голос</t>
        </is>
      </c>
      <c r="E2726" s="2" t="n">
        <v>1968</v>
      </c>
      <c r="F2726" s="2" t="inlineStr">
        <is>
          <t>фильм-спектакль</t>
        </is>
      </c>
      <c r="G2726" s="2" t="inlineStr">
        <is>
          <t>Центральное телевидение</t>
        </is>
      </c>
      <c r="H2726" s="2" t="n">
        <v>284</v>
      </c>
      <c r="I2726" s="2" t="inlineStr"/>
      <c r="J2726" s="2" t="inlineStr"/>
      <c r="K2726" s="3" t="inlineStr">
        <is>
          <t>Моноспектакль Владимира Этуша. Постановка театра имени Вахтангова.
Необычный спектакль, нетипичная роль для великого мастера. Взволнованный рассказ пожилого итальянца-портного о том, как он, обладатель чарующего голоса, потерял свой бесценный дар в результате "научного эксперимента".</t>
        </is>
      </c>
      <c r="L2726" s="2" t="inlineStr">
        <is>
          <t>https://www.kino-teatr.ru/teatr/movie/81522/annot/</t>
        </is>
      </c>
      <c r="M2726" s="2">
        <f>HYPERLINK("https://ru.wikipedia.org/w/index.php?search=%D0%93%D0%BE%D0%BB%D0%BE%D1%81%201968%20%D1%84%D0%B8%D0%BB%D1%8C%D0%BC","искать")</f>
        <v/>
      </c>
      <c r="N2726" s="3" t="n"/>
      <c r="O2726" s="2" t="n"/>
    </row>
    <row r="2727">
      <c r="A2727" s="2" t="n">
        <v>2726</v>
      </c>
      <c r="B2727" s="2" t="inlineStr">
        <is>
          <t>короткая</t>
        </is>
      </c>
      <c r="C2727" s="2" t="n">
        <v>10773</v>
      </c>
      <c r="D2727" s="3" t="inlineStr">
        <is>
          <t>Семья Атаевых</t>
        </is>
      </c>
      <c r="E2727" s="2" t="n">
        <v>1978</v>
      </c>
      <c r="F2727" s="2" t="inlineStr">
        <is>
          <t>фильм-спектакль</t>
        </is>
      </c>
      <c r="G2727" s="2" t="n"/>
      <c r="H2727" s="2" t="n">
        <v>284</v>
      </c>
      <c r="I2727" s="2" t="inlineStr"/>
      <c r="J2727" s="2" t="inlineStr"/>
      <c r="K2727" s="3" t="inlineStr">
        <is>
          <t>События в фильме происходят в семье Хосрова Атаева и вокруг нее. Жена Хосрова Атаева Дилшад Ханум, ведущая честный и честный образ жизни, – женщина, любящая славу и деньги. Этот моральный разрыв между ними, ошибки, допущенные Дилшад, окончательно поставили крест на их семейной жизни.</t>
        </is>
      </c>
      <c r="L2727" s="2" t="inlineStr">
        <is>
          <t>https://www.kino-teatr.ru/teatr/movie/179827/annot/</t>
        </is>
      </c>
      <c r="M2727" s="2">
        <f>HYPERLINK("https://ru.wikipedia.org/w/index.php?search=%D0%A1%D0%B5%D0%BC%D1%8C%D1%8F%20%D0%90%D1%82%D0%B0%D0%B5%D0%B2%D1%8B%D1%85%201978%20%D1%84%D0%B8%D0%BB%D1%8C%D0%BC","искать")</f>
        <v/>
      </c>
      <c r="N2727" s="3" t="n"/>
      <c r="O2727" s="2" t="n"/>
    </row>
    <row r="2728">
      <c r="A2728" s="2" t="n">
        <v>2727</v>
      </c>
      <c r="B2728" s="2" t="inlineStr">
        <is>
          <t>короткая</t>
        </is>
      </c>
      <c r="C2728" s="2" t="n">
        <v>7226</v>
      </c>
      <c r="D2728" s="3" t="inlineStr">
        <is>
          <t>Африканыч</t>
        </is>
      </c>
      <c r="E2728" s="2" t="n">
        <v>1970</v>
      </c>
      <c r="F2728" s="2" t="inlineStr">
        <is>
          <t>телефильм</t>
        </is>
      </c>
      <c r="G2728" s="2" t="inlineStr">
        <is>
          <t>Ленфильм</t>
        </is>
      </c>
      <c r="H2728" s="2" t="n">
        <v>285</v>
      </c>
      <c r="I2728" s="2" t="inlineStr"/>
      <c r="J2728" s="2" t="inlineStr"/>
      <c r="K2728" s="3" t="inlineStr">
        <is>
          <t>Телефильм по повести Василия Белова "Привычное дело". Африканыч всю жизнь прожил в деревне с женой Катериной в любви и согласии. Катерина родила ему шестого ребенка, а потом заболела. Африканыч решил поехать на заработки, но в пути понял, что без Катерины и родного дома жить не может.</t>
        </is>
      </c>
      <c r="L2728" s="2" t="inlineStr">
        <is>
          <t>Кино_СССР сводный каталог.xlsx: список телефильмов</t>
        </is>
      </c>
      <c r="M2728" s="2">
        <f>HYPERLINK("https://ru.wikipedia.org/w/index.php?search=%D0%90%D1%84%D1%80%D0%B8%D0%BA%D0%B0%D0%BD%D1%8B%D1%87%201970%20%D1%84%D0%B8%D0%BB%D1%8C%D0%BC","искать")</f>
        <v/>
      </c>
      <c r="N2728" s="3" t="n"/>
      <c r="O2728" s="2" t="n"/>
    </row>
    <row r="2729">
      <c r="A2729" s="2" t="n">
        <v>2728</v>
      </c>
      <c r="B2729" s="2" t="inlineStr">
        <is>
          <t>короткая</t>
        </is>
      </c>
      <c r="C2729" s="2" t="n">
        <v>7884</v>
      </c>
      <c r="D2729" s="3" t="inlineStr">
        <is>
          <t>Мишук</t>
        </is>
      </c>
      <c r="E2729" s="2" t="n">
        <v>1975</v>
      </c>
      <c r="F2729" s="2" t="inlineStr">
        <is>
          <t>телефильм</t>
        </is>
      </c>
      <c r="G2729" s="2" t="n"/>
      <c r="H2729" s="2" t="n">
        <v>285</v>
      </c>
      <c r="I2729" s="2" t="inlineStr"/>
      <c r="J2729" s="2" t="inlineStr"/>
      <c r="K2729" s="3" t="inlineStr">
        <is>
          <t>Фильм снят по мотивам повести Яана Раннапа "Ефрейтор Йымм". О приключениях маленького медвежонка Мишука и мальчика Калле во время плавания парусника в море. Мишук был другом ребят и всей команды корабля, однако капитан корабля сказал, что медвежонка все-таки придется отдать в зоопарк.</t>
        </is>
      </c>
      <c r="L2729" s="2" t="inlineStr">
        <is>
          <t>Кино_СССР сводный каталог.xlsx: список телефильмов</t>
        </is>
      </c>
      <c r="M2729" s="2">
        <f>HYPERLINK("https://ru.wikipedia.org/w/index.php?search=%D0%9C%D0%B8%D1%88%D1%83%D0%BA%201975%20%D1%84%D0%B8%D0%BB%D1%8C%D0%BC","искать")</f>
        <v/>
      </c>
      <c r="N2729" s="3" t="n"/>
      <c r="O2729" s="2" t="n"/>
    </row>
    <row r="2730">
      <c r="A2730" s="2" t="n">
        <v>2729</v>
      </c>
      <c r="B2730" s="2" t="inlineStr">
        <is>
          <t>короткая</t>
        </is>
      </c>
      <c r="C2730" s="2" t="n">
        <v>8062</v>
      </c>
      <c r="D2730" s="3" t="inlineStr">
        <is>
          <t>От и до</t>
        </is>
      </c>
      <c r="E2730" s="2" t="n">
        <v>1976</v>
      </c>
      <c r="F2730" s="2" t="inlineStr">
        <is>
          <t>телефильм</t>
        </is>
      </c>
      <c r="G2730" s="2" t="n"/>
      <c r="H2730" s="2" t="n">
        <v>285</v>
      </c>
      <c r="I2730" s="2" t="inlineStr"/>
      <c r="J2730" s="2" t="inlineStr"/>
      <c r="K2730" s="3" t="inlineStr">
        <is>
          <t>Фильм по мотивам сатирического спектакля знаменитых эстрадных артистов Юрия Тимошенко и Ефима Березина. Тарапунька и Штепсель решили поставить свою сатиру на историческо-научную основу. "Всем приходилось сталкиваться с хамством, шкурничеством, пошлостью и другими пережитками прошлого.</t>
        </is>
      </c>
      <c r="L2730" s="2" t="inlineStr">
        <is>
          <t>Кино_СССР сводный каталог.xlsx: список телефильмов</t>
        </is>
      </c>
      <c r="M2730" s="2">
        <f>HYPERLINK("https://ru.wikipedia.org/w/index.php?search=%D0%9E%D1%82%20%D0%B8%20%D0%B4%D0%BE%201976%20%D1%84%D0%B8%D0%BB%D1%8C%D0%BC","искать")</f>
        <v/>
      </c>
      <c r="N2730" s="3" t="n"/>
      <c r="O2730" s="2" t="n"/>
    </row>
    <row r="2731">
      <c r="A2731" s="2" t="n">
        <v>2730</v>
      </c>
      <c r="B2731" s="2" t="inlineStr">
        <is>
          <t>короткая</t>
        </is>
      </c>
      <c r="C2731" s="2" t="n">
        <v>8161</v>
      </c>
      <c r="D2731" s="3" t="inlineStr">
        <is>
          <t>Попугай для сыщика</t>
        </is>
      </c>
      <c r="E2731" s="2" t="n">
        <v>1991</v>
      </c>
      <c r="F2731" s="2" t="inlineStr">
        <is>
          <t>телефильм</t>
        </is>
      </c>
      <c r="G2731" s="2" t="n"/>
      <c r="H2731" s="2" t="n">
        <v>285</v>
      </c>
      <c r="I2731" s="2" t="inlineStr"/>
      <c r="J2731" s="2" t="inlineStr"/>
      <c r="K2731" s="3" t="inlineStr">
        <is>
          <t>По мотивам рассказа Уильяма Айриша "Окно во двор". Сыщик Джефф, перенесший травму, вынужден целыми днями сидеть в кресле и смотреть от скуки в окно. Друзья подарили ему попугая Молли, девочку, ругающуюся нехорошими словами, но отвлечь его от наблюдения за окнами и эта птичка не могла.</t>
        </is>
      </c>
      <c r="L2731" s="2" t="inlineStr">
        <is>
          <t>Кино_СССР сводный каталог.xlsx: список телефильмов</t>
        </is>
      </c>
      <c r="M2731" s="2">
        <f>HYPERLINK("https://ru.wikipedia.org/w/index.php?search=%D0%9F%D0%BE%D0%BF%D1%83%D0%B3%D0%B0%D0%B9%20%D0%B4%D0%BB%D1%8F%20%D1%81%D1%8B%D1%89%D0%B8%D0%BA%D0%B0%201991%20%D1%84%D0%B8%D0%BB%D1%8C%D0%BC","искать")</f>
        <v/>
      </c>
      <c r="N2731" s="3" t="n"/>
      <c r="O2731" s="2" t="n"/>
    </row>
    <row r="2732">
      <c r="A2732" s="2" t="n">
        <v>2731</v>
      </c>
      <c r="B2732" s="2" t="inlineStr">
        <is>
          <t>короткая</t>
        </is>
      </c>
      <c r="C2732" s="2" t="n">
        <v>9026</v>
      </c>
      <c r="D2732" s="3" t="inlineStr">
        <is>
          <t>Самоубийца</t>
        </is>
      </c>
      <c r="E2732" s="2" t="n">
        <v>1990</v>
      </c>
      <c r="F2732" s="2" t="inlineStr">
        <is>
          <t>кинофильм</t>
        </is>
      </c>
      <c r="G2732" s="2" t="n"/>
      <c r="H2732" s="2" t="n">
        <v>285</v>
      </c>
      <c r="I2732" s="2" t="inlineStr"/>
      <c r="J2732" s="2" t="inlineStr"/>
      <c r="K2732" s="3" t="inlineStr">
        <is>
          <t>По мотивам пьесы Николая Эрдмана. Оставшийся в годы НЭПа без работы гражданин Подсекальников решил бросить вызов обществу и уйти из жизни. Об этом немедленно узнали соседи по коммуналке, после чего Семена со всех сторон начали обступать представители различных общественных "прослоек".</t>
        </is>
      </c>
      <c r="L2732" s="2" t="inlineStr">
        <is>
          <t>Кино_СССР сводный каталог.xlsx: список фильмов (доп.)</t>
        </is>
      </c>
      <c r="M2732" s="2">
        <f>HYPERLINK("https://ru.wikipedia.org/w/index.php?search=%D0%A1%D0%B0%D0%BC%D0%BE%D1%83%D0%B1%D0%B8%D0%B9%D1%86%D0%B0%201990%20%D1%84%D0%B8%D0%BB%D1%8C%D0%BC","искать")</f>
        <v/>
      </c>
      <c r="N2732" s="3" t="n"/>
      <c r="O2732" s="2" t="n"/>
    </row>
    <row r="2733">
      <c r="A2733" s="2" t="n">
        <v>2732</v>
      </c>
      <c r="B2733" s="2" t="inlineStr">
        <is>
          <t>короткая</t>
        </is>
      </c>
      <c r="C2733" s="2" t="n">
        <v>9909</v>
      </c>
      <c r="D2733" s="3" t="inlineStr">
        <is>
          <t>Вера и Фёдор</t>
        </is>
      </c>
      <c r="E2733" s="2" t="n">
        <v>1974</v>
      </c>
      <c r="F2733" s="2" t="inlineStr">
        <is>
          <t>телефильм</t>
        </is>
      </c>
      <c r="G2733" s="2" t="inlineStr">
        <is>
          <t>Новосибирсктелефильм</t>
        </is>
      </c>
      <c r="H2733" s="2" t="n">
        <v>285</v>
      </c>
      <c r="I2733" s="2" t="inlineStr"/>
      <c r="J2733" s="2" t="inlineStr"/>
      <c r="K2733" s="3" t="inlineStr">
        <is>
          <t>Молодой солдат Федор, хорошо проявивший себя во время учений, получает месяц отпуска. Он отправляется в Новосибирск к другу по детдому и знакомится там с девушкой Верой. Парень и девушка влюбляются в друг друга, и когда Федор снова уезжает в воинскую часть, Вера обещает его дождаться.</t>
        </is>
      </c>
      <c r="L2733" s="2" t="inlineStr">
        <is>
          <t>https://www.kino-teatr.ru/short/movie/sov/15047/annot/</t>
        </is>
      </c>
      <c r="M2733" s="2">
        <f>HYPERLINK("https://ru.wikipedia.org/w/index.php?search=%D0%92%D0%B5%D1%80%D0%B0%20%D0%B8%20%D0%A4%D1%91%D0%B4%D0%BE%D1%80%201974%20%D1%84%D0%B8%D0%BB%D1%8C%D0%BC","искать")</f>
        <v/>
      </c>
      <c r="N2733" s="3" t="n"/>
      <c r="O2733" s="2" t="n"/>
    </row>
    <row r="2734">
      <c r="A2734" s="2" t="n">
        <v>2733</v>
      </c>
      <c r="B2734" s="2" t="inlineStr">
        <is>
          <t>короткая</t>
        </is>
      </c>
      <c r="C2734" s="2" t="n">
        <v>9954</v>
      </c>
      <c r="D2734" s="3" t="inlineStr">
        <is>
          <t>История одного подзатыльника</t>
        </is>
      </c>
      <c r="E2734" s="2" t="n">
        <v>1980</v>
      </c>
      <c r="F2734" s="2" t="inlineStr">
        <is>
          <t>телефильм</t>
        </is>
      </c>
      <c r="G2734" s="2" t="inlineStr">
        <is>
          <t>Т/о "Экран"(Останкино)</t>
        </is>
      </c>
      <c r="H2734" s="2" t="n">
        <v>285</v>
      </c>
      <c r="I2734" s="2" t="inlineStr"/>
      <c r="J2734" s="2" t="inlineStr"/>
      <c r="K2734" s="3" t="inlineStr">
        <is>
          <t>Николай Иванович, хороший человек и любящий отец, всеми силами пытается мешать сыну заниматься музыкой и часто дает рукам волю. Однажды их общий наблюдательный друг — дядя Митя — решает сыграть с обидчиком шутку. Ведь он явно не прав!.. Комментирует историю подзатыльника Зиновий Гердт</t>
        </is>
      </c>
      <c r="L2734" s="2" t="inlineStr">
        <is>
          <t>https://www.kino-teatr.ru/short/movie/sov/2772/annot/</t>
        </is>
      </c>
      <c r="M2734" s="2">
        <f>HYPERLINK("https://ru.wikipedia.org/w/index.php?search=%D0%98%D1%81%D1%82%D0%BE%D1%80%D0%B8%D1%8F%20%D0%BE%D0%B4%D0%BD%D0%BE%D0%B3%D0%BE%20%D0%BF%D0%BE%D0%B4%D0%B7%D0%B0%D1%82%D1%8B%D0%BB%D1%8C%D0%BD%D0%B8%D0%BA%D0%B0%201980%20%D1%84%D0%B8%D0%BB%D1%8C%D0%BC","искать")</f>
        <v/>
      </c>
      <c r="N2734" s="3" t="n"/>
      <c r="O2734" s="2" t="n"/>
    </row>
    <row r="2735">
      <c r="A2735" s="2" t="n">
        <v>2734</v>
      </c>
      <c r="B2735" s="2" t="inlineStr">
        <is>
          <t>короткая</t>
        </is>
      </c>
      <c r="C2735" s="2" t="n">
        <v>7266</v>
      </c>
      <c r="D2735" s="3" t="inlineStr">
        <is>
          <t>Большой янтарь</t>
        </is>
      </c>
      <c r="E2735" s="2" t="n">
        <v>1971</v>
      </c>
      <c r="F2735" s="2" t="inlineStr">
        <is>
          <t>телефильм</t>
        </is>
      </c>
      <c r="G2735" s="2" t="n"/>
      <c r="H2735" s="2" t="n">
        <v>286</v>
      </c>
      <c r="I2735" s="2" t="inlineStr"/>
      <c r="J2735" s="2" t="inlineStr"/>
      <c r="K2735" s="3" t="inlineStr">
        <is>
          <t>Телефильм. О приключениях молодежного ансамбля на конкурсе песни "Большой янтарь" в Риге. Латвийский молодeжный эстрадный ансамбль не смог из-за нелeтной погоды вовремя попасть на конкурс песни, проходивший в Риге. Тогда опoздавшие музыканты стараются добиться повторного прослушивания.</t>
        </is>
      </c>
      <c r="L2735" s="2" t="inlineStr">
        <is>
          <t>Кино_СССР сводный каталог.xlsx: список телефильмов</t>
        </is>
      </c>
      <c r="M2735" s="2">
        <f>HYPERLINK("https://ru.wikipedia.org/w/index.php?search=%D0%91%D0%BE%D0%BB%D1%8C%D1%88%D0%BE%D0%B9%20%D1%8F%D0%BD%D1%82%D0%B0%D1%80%D1%8C%201971%20%D1%84%D0%B8%D0%BB%D1%8C%D0%BC","искать")</f>
        <v/>
      </c>
      <c r="N2735" s="3" t="n"/>
      <c r="O2735" s="2" t="n"/>
    </row>
    <row r="2736">
      <c r="A2736" s="2" t="n">
        <v>2735</v>
      </c>
      <c r="B2736" s="2" t="inlineStr">
        <is>
          <t>короткая</t>
        </is>
      </c>
      <c r="C2736" s="2" t="n">
        <v>7302</v>
      </c>
      <c r="D2736" s="3" t="inlineStr">
        <is>
          <t>В тринадцатом часу ночи</t>
        </is>
      </c>
      <c r="E2736" s="2" t="n">
        <v>1968</v>
      </c>
      <c r="F2736" s="2" t="inlineStr">
        <is>
          <t>телефильм</t>
        </is>
      </c>
      <c r="G2736" s="2" t="inlineStr">
        <is>
          <t>Центральное телевидение; Творческое объединение «Экран»</t>
        </is>
      </c>
      <c r="H2736" s="2" t="n">
        <v>286</v>
      </c>
      <c r="I2736" s="2" t="inlineStr"/>
      <c r="J2736" s="2" t="inlineStr"/>
      <c r="K2736" s="3" t="inlineStr">
        <is>
          <t>Телевизионный фильм-сказка. Водяной, Леший, Русалка, Баба Яга, Домовой, Овинный, а также невесть откуда взявшийся Гном, собрались за одним столом, наверное, встретить Новый Год. Многозначительные диалоги весьма неожиданно прерываются песнями и плясками популярных артистов того времени.</t>
        </is>
      </c>
      <c r="L2736" s="2" t="inlineStr">
        <is>
          <t>Кино_СССР сводный каталог.xlsx: список телефильмов</t>
        </is>
      </c>
      <c r="M2736" s="2">
        <f>HYPERLINK("https://ru.wikipedia.org/w/index.php?search=%D0%92%20%D1%82%D1%80%D0%B8%D0%BD%D0%B0%D0%B4%D1%86%D0%B0%D1%82%D0%BE%D0%BC%20%D1%87%D0%B0%D1%81%D1%83%20%D0%BD%D0%BE%D1%87%D0%B8%201968%20%D1%84%D0%B8%D0%BB%D1%8C%D0%BC","искать")</f>
        <v/>
      </c>
      <c r="N2736" s="3" t="n"/>
      <c r="O2736" s="2" t="n"/>
    </row>
    <row r="2737">
      <c r="A2737" s="2" t="n">
        <v>2736</v>
      </c>
      <c r="B2737" s="2" t="inlineStr">
        <is>
          <t>короткая</t>
        </is>
      </c>
      <c r="C2737" s="2" t="n">
        <v>7390</v>
      </c>
      <c r="D2737" s="3" t="inlineStr">
        <is>
          <t>Время жёлтой травы</t>
        </is>
      </c>
      <c r="E2737" s="2" t="n">
        <v>1991</v>
      </c>
      <c r="F2737" s="2" t="inlineStr">
        <is>
          <t>телефильм</t>
        </is>
      </c>
      <c r="G2737" s="2" t="inlineStr">
        <is>
          <t>Союзтелефильм, Таджикфильм</t>
        </is>
      </c>
      <c r="H2737" s="2" t="n">
        <v>286</v>
      </c>
      <c r="I2737" s="2" t="inlineStr"/>
      <c r="J2737" s="2" t="inlineStr"/>
      <c r="K2737" s="3" t="inlineStr">
        <is>
          <t>Люди горного селения устали от трудностей, и кто-то, может быть Бог, посылает им во спасение последнее испытание. Hедалеко от кишлака они находят мертвого человека... Через это чрезвычайное для этих мест происшествие и различное к нему отношение раскрываются характеры, судьбы и обычаи.</t>
        </is>
      </c>
      <c r="L2737" s="2" t="inlineStr">
        <is>
          <t>Кино_СССР сводный каталог.xlsx: список телефильмов</t>
        </is>
      </c>
      <c r="M2737" s="2">
        <f>HYPERLINK("https://ru.wikipedia.org/w/index.php?search=%D0%92%D1%80%D0%B5%D0%BC%D1%8F%20%D0%B6%D1%91%D0%BB%D1%82%D0%BE%D0%B9%20%D1%82%D1%80%D0%B0%D0%B2%D1%8B%201991%20%D1%84%D0%B8%D0%BB%D1%8C%D0%BC","искать")</f>
        <v/>
      </c>
      <c r="N2737" s="3" t="n"/>
      <c r="O2737" s="2" t="n"/>
    </row>
    <row r="2738">
      <c r="A2738" s="2" t="n">
        <v>2737</v>
      </c>
      <c r="B2738" s="2" t="inlineStr">
        <is>
          <t>короткая</t>
        </is>
      </c>
      <c r="C2738" s="2" t="n">
        <v>8410</v>
      </c>
      <c r="D2738" s="3" t="inlineStr">
        <is>
          <t>Странный отпуск</t>
        </is>
      </c>
      <c r="E2738" s="2" t="n">
        <v>1980</v>
      </c>
      <c r="F2738" s="2" t="inlineStr">
        <is>
          <t>телефильм</t>
        </is>
      </c>
      <c r="G2738" s="2" t="inlineStr">
        <is>
          <t>к/с им. Довженко</t>
        </is>
      </c>
      <c r="H2738" s="2" t="n">
        <v>286</v>
      </c>
      <c r="I2738" s="2" t="inlineStr"/>
      <c r="J2738" s="2" t="inlineStr"/>
      <c r="K2738" s="3" t="inlineStr">
        <is>
          <t>Телесериал. Сюжет картины - о проблемах, с которыми сталкиваются новоселы. Входя в новые квартиры, они начинают ремонтировать все, до чего не дошли руки строителей. В одном из таких домов по собственному желанию проведет свой странный отпуск прораб Алексеев, устраняя строительный брак.</t>
        </is>
      </c>
      <c r="L2738" s="2" t="inlineStr">
        <is>
          <t>Кино_СССР сводный каталог.xlsx: список телефильмов</t>
        </is>
      </c>
      <c r="M2738" s="2">
        <f>HYPERLINK("https://ru.wikipedia.org/w/index.php?search=%D0%A1%D1%82%D1%80%D0%B0%D0%BD%D0%BD%D1%8B%D0%B9%20%D0%BE%D1%82%D0%BF%D1%83%D1%81%D0%BA%201980%20%D1%84%D0%B8%D0%BB%D1%8C%D0%BC","искать")</f>
        <v/>
      </c>
      <c r="N2738" s="3" t="n"/>
      <c r="O2738" s="2" t="n"/>
    </row>
    <row r="2739">
      <c r="A2739" s="2" t="n">
        <v>2738</v>
      </c>
      <c r="B2739" s="2" t="inlineStr">
        <is>
          <t>короткая</t>
        </is>
      </c>
      <c r="C2739" s="2" t="n">
        <v>9673</v>
      </c>
      <c r="D2739" s="3" t="inlineStr">
        <is>
          <t>Степные зори</t>
        </is>
      </c>
      <c r="E2739" s="2" t="n">
        <v>1953</v>
      </c>
      <c r="F2739" s="2" t="inlineStr">
        <is>
          <t>кинофильм</t>
        </is>
      </c>
      <c r="G2739" s="2" t="n"/>
      <c r="H2739" s="2" t="n">
        <v>286</v>
      </c>
      <c r="I2739" s="2" t="inlineStr"/>
      <c r="J2739" s="2" t="inlineStr"/>
      <c r="K2739" s="3" t="inlineStr">
        <is>
          <t>Молодежный фильм. По одноименной повести Бориса Бедного. Из жизни передовой комсомольской полеводческой бригады, в которую по распределению приезжает девушка-молодой специалист. Фильм сделан по канонам «теории бесконфликтности» и борьбы хорошего с лучшим. Картина на экраны не выпущена.</t>
        </is>
      </c>
      <c r="L2739" s="2" t="inlineStr">
        <is>
          <t>Кино_СССР сводный каталог.xlsx: список фильмов (доп.)</t>
        </is>
      </c>
      <c r="M2739" s="2">
        <f>HYPERLINK("https://ru.wikipedia.org/w/index.php?search=%D0%A1%D1%82%D0%B5%D0%BF%D0%BD%D1%8B%D0%B5%20%D0%B7%D0%BE%D1%80%D0%B8%201953%20%D1%84%D0%B8%D0%BB%D1%8C%D0%BC","искать")</f>
        <v/>
      </c>
      <c r="N2739" s="3" t="n"/>
      <c r="O2739" s="2" t="n"/>
    </row>
    <row r="2740">
      <c r="A2740" s="2" t="n">
        <v>2739</v>
      </c>
      <c r="B2740" s="2" t="inlineStr">
        <is>
          <t>короткая</t>
        </is>
      </c>
      <c r="C2740" s="2" t="n">
        <v>9940</v>
      </c>
      <c r="D2740" s="3" t="inlineStr">
        <is>
          <t>Синюшкин колодец</t>
        </is>
      </c>
      <c r="E2740" s="2" t="n">
        <v>1978</v>
      </c>
      <c r="F2740" s="2" t="inlineStr">
        <is>
          <t>телефильм</t>
        </is>
      </c>
      <c r="G2740" s="2" t="inlineStr">
        <is>
          <t>Свердловское телевидение</t>
        </is>
      </c>
      <c r="H2740" s="2" t="n">
        <v>286</v>
      </c>
      <c r="I2740" s="2" t="inlineStr"/>
      <c r="J2740" s="2" t="inlineStr"/>
      <c r="K2740" s="3" t="inlineStr">
        <is>
          <t>По одноимённому сказу П.П.Бажова. Фильм снят к 100-летию со дня рождения писателя.
Илюха-старатель мечтает найти свое счастье. В результате он выясняет, что Оно не в деньгах, а в доброте и любви.
В фильме снималась танцевальная группа Уральского народного хора (балетмейстер В.Миронов).</t>
        </is>
      </c>
      <c r="L2740" s="2" t="inlineStr">
        <is>
          <t>https://www.kino-teatr.ru/short/movie/sov/16963/annot/</t>
        </is>
      </c>
      <c r="M2740" s="2">
        <f>HYPERLINK("https://ru.wikipedia.org/w/index.php?search=%D0%A1%D0%B8%D0%BD%D1%8E%D1%88%D0%BA%D0%B8%D0%BD%20%D0%BA%D0%BE%D0%BB%D0%BE%D0%B4%D0%B5%D1%86%201978%20%D1%84%D0%B8%D0%BB%D1%8C%D0%BC","искать")</f>
        <v/>
      </c>
      <c r="N2740" s="3" t="n"/>
      <c r="O2740" s="2" t="n"/>
    </row>
    <row r="2741">
      <c r="A2741" s="2" t="n">
        <v>2740</v>
      </c>
      <c r="B2741" s="2" t="inlineStr">
        <is>
          <t>короткая</t>
        </is>
      </c>
      <c r="C2741" s="2" t="n">
        <v>10301</v>
      </c>
      <c r="D2741" s="3" t="inlineStr">
        <is>
          <t>Где-то в Москве</t>
        </is>
      </c>
      <c r="E2741" s="2" t="n">
        <v>1969</v>
      </c>
      <c r="F2741" s="2" t="inlineStr">
        <is>
          <t>фильм-спектакль</t>
        </is>
      </c>
      <c r="G2741" s="2" t="inlineStr">
        <is>
          <t>Центральное телевидение</t>
        </is>
      </c>
      <c r="H2741" s="2" t="n">
        <v>286</v>
      </c>
      <c r="I2741" s="2" t="inlineStr"/>
      <c r="J2741" s="2" t="inlineStr"/>
      <c r="K2741" s="3" t="inlineStr">
        <is>
          <t>По пьесе В.Масса и М. Червинского «Где-то в Москве».
Музыкальный фильм-спектакль.
Лейтенант возвращается с фронта в столицу и пытается разыскать медсестру, которая на фронте спасла ему жизнь. Во время поисков молодой герой встречается с разными персонажами, очерченными с мягким юмором.</t>
        </is>
      </c>
      <c r="L2741" s="2" t="inlineStr">
        <is>
          <t>https://www.kino-teatr.ru/teatr/movie/136801/annot/</t>
        </is>
      </c>
      <c r="M2741" s="2">
        <f>HYPERLINK("https://ru.wikipedia.org/w/index.php?search=%D0%93%D0%B4%D0%B5-%D1%82%D0%BE%20%D0%B2%20%D0%9C%D0%BE%D1%81%D0%BA%D0%B2%D0%B5%201969%20%D1%84%D0%B8%D0%BB%D1%8C%D0%BC","искать")</f>
        <v/>
      </c>
      <c r="N2741" s="3" t="n"/>
      <c r="O2741" s="2" t="n"/>
    </row>
    <row r="2742">
      <c r="A2742" s="2" t="n">
        <v>2741</v>
      </c>
      <c r="B2742" s="2" t="inlineStr">
        <is>
          <t>короткая</t>
        </is>
      </c>
      <c r="C2742" s="2" t="n">
        <v>11393</v>
      </c>
      <c r="D2742" s="3" t="inlineStr">
        <is>
          <t>Фердинанд великолепный</t>
        </is>
      </c>
      <c r="E2742" s="2" t="n">
        <v>1976</v>
      </c>
      <c r="F2742" s="2" t="inlineStr">
        <is>
          <t>фильм-опера/балет</t>
        </is>
      </c>
      <c r="G2742" s="2" t="n"/>
      <c r="H2742" s="2" t="n">
        <v>286</v>
      </c>
      <c r="I2742" s="2" t="inlineStr"/>
      <c r="J2742" s="2" t="inlineStr"/>
      <c r="K2742" s="3" t="inlineStr">
        <is>
          <t>Фильм-опера. По мотивам повести Людвига Ежи Керна. Молодой человек уходит на свидание, оставляя дома “за хозяина” своего пса Фердинанда. Пес идет в спальню и садится читать газету, радуясь, что он, наконец-то, сам себе господин. В этот момент в окне столовой появляются двое грабителей.</t>
        </is>
      </c>
      <c r="L2742" s="2" t="inlineStr">
        <is>
          <t>Кино_СССР телефильмы и пропуски включить в базу.xlsx</t>
        </is>
      </c>
      <c r="M2742" s="2">
        <f>HYPERLINK("https://ru.wikipedia.org/w/index.php?search=%D0%A4%D0%B5%D1%80%D0%B4%D0%B8%D0%BD%D0%B0%D0%BD%D0%B4%20%D0%B2%D0%B5%D0%BB%D0%B8%D0%BA%D0%BE%D0%BB%D0%B5%D0%BF%D0%BD%D1%8B%D0%B9%201976%20%D1%84%D0%B8%D0%BB%D1%8C%D0%BC","искать")</f>
        <v/>
      </c>
      <c r="N2742" s="3" t="n"/>
      <c r="O2742" s="2" t="n"/>
    </row>
    <row r="2743">
      <c r="A2743" s="2" t="n">
        <v>2742</v>
      </c>
      <c r="B2743" s="2" t="inlineStr">
        <is>
          <t>короткая</t>
        </is>
      </c>
      <c r="C2743" s="2" t="n">
        <v>7868</v>
      </c>
      <c r="D2743" s="3" t="inlineStr">
        <is>
          <t>Мертвые души</t>
        </is>
      </c>
      <c r="E2743" s="2" t="n">
        <v>1984</v>
      </c>
      <c r="F2743" s="2" t="inlineStr">
        <is>
          <t>телефильм</t>
        </is>
      </c>
      <c r="G2743" s="2" t="n"/>
      <c r="H2743" s="2" t="n">
        <v>287</v>
      </c>
      <c r="I2743" s="2" t="inlineStr"/>
      <c r="J2743" s="2" t="inlineStr"/>
      <c r="K2743" s="3" t="inlineStr">
        <is>
          <t>Телесериал. Авантюрист Чичиков скупает "мертвые души" - почивших крепостных, учтенных в качестве живых при последней ревизии. Помещики удивлены просьбами предприимчивого знакомца, но рады избавиться от обузы - ведь они платят налоги за учтенных в ревизских сказках крестьян как за живых.</t>
        </is>
      </c>
      <c r="L2743" s="2" t="inlineStr">
        <is>
          <t>Кино_СССР сводный каталог.xlsx: список телефильмов</t>
        </is>
      </c>
      <c r="M2743" s="2">
        <f>HYPERLINK("https://ru.wikipedia.org/w/index.php?search=%D0%9C%D0%B5%D1%80%D1%82%D0%B2%D1%8B%D0%B5%20%D0%B4%D1%83%D1%88%D0%B8%201984%20%D1%84%D0%B8%D0%BB%D1%8C%D0%BC","искать")</f>
        <v/>
      </c>
      <c r="N2743" s="3" t="n"/>
      <c r="O2743" s="2" t="n"/>
    </row>
    <row r="2744">
      <c r="A2744" s="2" t="n">
        <v>2743</v>
      </c>
      <c r="B2744" s="2" t="inlineStr">
        <is>
          <t>короткая</t>
        </is>
      </c>
      <c r="C2744" s="2" t="n">
        <v>8108</v>
      </c>
      <c r="D2744" s="3" t="inlineStr">
        <is>
          <t>Петля</t>
        </is>
      </c>
      <c r="E2744" s="2" t="n">
        <v>1983</v>
      </c>
      <c r="F2744" s="2" t="inlineStr">
        <is>
          <t>телефильм</t>
        </is>
      </c>
      <c r="G2744" s="2" t="inlineStr">
        <is>
          <t>к/с им. Довженко</t>
        </is>
      </c>
      <c r="H2744" s="2" t="n">
        <v>287</v>
      </c>
      <c r="I2744" s="2" t="inlineStr"/>
      <c r="J2744" s="2" t="inlineStr"/>
      <c r="K2744" s="3" t="inlineStr">
        <is>
          <t>В строительном карьере найден труп молодой девушки. Погибшая - секретарь начальника главка Меншутина Вера Топилина. Инспекторы Московского Уголовного розыска Васильев и Лосев расследуют причины гибели девушки. В итоге следствие выводит оперативников на крупных дельцов теневой экономики.</t>
        </is>
      </c>
      <c r="L2744" s="2" t="inlineStr">
        <is>
          <t>Кино_СССР сводный каталог.xlsx: список телефильмов</t>
        </is>
      </c>
      <c r="M2744" s="2">
        <f>HYPERLINK("https://ru.wikipedia.org/w/index.php?search=%D0%9F%D0%B5%D1%82%D0%BB%D1%8F%201983%20%D1%84%D0%B8%D0%BB%D1%8C%D0%BC","искать")</f>
        <v/>
      </c>
      <c r="N2744" s="3" t="n"/>
      <c r="O2744" s="2" t="n"/>
    </row>
    <row r="2745">
      <c r="A2745" s="2" t="n">
        <v>2744</v>
      </c>
      <c r="B2745" s="2" t="inlineStr">
        <is>
          <t>короткая</t>
        </is>
      </c>
      <c r="C2745" s="2" t="n">
        <v>8376</v>
      </c>
      <c r="D2745" s="3" t="inlineStr">
        <is>
          <t>Созвездие любви</t>
        </is>
      </c>
      <c r="E2745" s="2" t="n">
        <v>1985</v>
      </c>
      <c r="F2745" s="2" t="inlineStr">
        <is>
          <t>телефильм</t>
        </is>
      </c>
      <c r="G2745" s="2" t="n"/>
      <c r="H2745" s="2" t="n">
        <v>287</v>
      </c>
      <c r="I2745" s="2" t="inlineStr"/>
      <c r="J2745" s="2" t="inlineStr"/>
      <c r="K2745" s="3" t="inlineStr">
        <is>
          <t>Фильм-сказка для взрослых создан на основе узбекского фольклора. Люди Бека похищают невесту Фаруха. Он отправляется на поиски, тем самым нарушая предостережения доброй Феи. Фарух и его друг Шут преодолевают все трудности на пути к любви, понимая силу дружбы, справедливости, добра и зла.</t>
        </is>
      </c>
      <c r="L2745" s="2" t="inlineStr">
        <is>
          <t>Кино_СССР сводный каталог.xlsx: список телефильмов</t>
        </is>
      </c>
      <c r="M2745" s="2">
        <f>HYPERLINK("https://ru.wikipedia.org/w/index.php?search=%D0%A1%D0%BE%D0%B7%D0%B2%D0%B5%D0%B7%D0%B4%D0%B8%D0%B5%20%D0%BB%D1%8E%D0%B1%D0%B2%D0%B8%201985%20%D1%84%D0%B8%D0%BB%D1%8C%D0%BC","искать")</f>
        <v/>
      </c>
      <c r="N2745" s="3" t="n"/>
      <c r="O2745" s="2" t="n"/>
    </row>
    <row r="2746">
      <c r="A2746" s="2" t="n">
        <v>2745</v>
      </c>
      <c r="B2746" s="2" t="inlineStr">
        <is>
          <t>короткая</t>
        </is>
      </c>
      <c r="C2746" s="2" t="n">
        <v>9385</v>
      </c>
      <c r="D2746" s="3" t="inlineStr">
        <is>
          <t>И повторится всё…</t>
        </is>
      </c>
      <c r="E2746" s="2" t="n">
        <v>1989</v>
      </c>
      <c r="F2746" s="2" t="inlineStr">
        <is>
          <t>кинофильм</t>
        </is>
      </c>
      <c r="G2746" s="2" t="n"/>
      <c r="H2746" s="2" t="n">
        <v>287</v>
      </c>
      <c r="I2746" s="2" t="inlineStr"/>
      <c r="J2746" s="2" t="inlineStr"/>
      <c r="K2746" s="3" t="inlineStr">
        <is>
          <t>Եվ կրկնվելու է ամեն ինչ… По роману В.Григоряна "Дом на Пятой улице". Адвокат Мартин Саакян, не утруждая объяснениями жену, однажды - после очередной ссоры - прибывает в аэропорт с намерением уехать на какое-то время из Ленинграда и, может быть, посетить те места, где прошло его детство.</t>
        </is>
      </c>
      <c r="L2746" s="2" t="inlineStr">
        <is>
          <t>Кино_СССР сводный каталог.xlsx: список фильмов (доп.)</t>
        </is>
      </c>
      <c r="M2746" s="2">
        <f>HYPERLINK("https://ru.wikipedia.org/w/index.php?search=%D0%98%20%D0%BF%D0%BE%D0%B2%D1%82%D0%BE%D1%80%D0%B8%D1%82%D1%81%D1%8F%20%D0%B2%D1%81%D1%91%E2%80%A6%201989%20%D1%84%D0%B8%D0%BB%D1%8C%D0%BC","искать")</f>
        <v/>
      </c>
      <c r="N2746" s="3" t="n"/>
      <c r="O2746" s="2" t="n"/>
    </row>
    <row r="2747">
      <c r="A2747" s="2" t="n">
        <v>2746</v>
      </c>
      <c r="B2747" s="2" t="inlineStr">
        <is>
          <t>короткая</t>
        </is>
      </c>
      <c r="C2747" s="2" t="n">
        <v>7457</v>
      </c>
      <c r="D2747" s="3" t="inlineStr">
        <is>
          <t>Горя бояться - счастья не видать</t>
        </is>
      </c>
      <c r="E2747" s="2" t="n">
        <v>1973</v>
      </c>
      <c r="F2747" s="2" t="inlineStr">
        <is>
          <t>телефильм</t>
        </is>
      </c>
      <c r="G2747" s="2" t="inlineStr">
        <is>
          <t>Беларусьфильм</t>
        </is>
      </c>
      <c r="H2747" s="2" t="n">
        <v>288</v>
      </c>
      <c r="I2747" s="2" t="inlineStr"/>
      <c r="J2747" s="2" t="inlineStr"/>
      <c r="K2747" s="3" t="inlineStr">
        <is>
          <t>Телефильм по мотивам одноименной пьесы-сказки С.Маршака. Хитрый Царь Дормидонт хочет избавиться от Горя-несчастья и предлагает солдату Ивану купить перстень, шпагу, даже корону, но обязательно Горе-злосчастье в придачу. Тот соглашается только на табакерку и просит Царя написать расписку.</t>
        </is>
      </c>
      <c r="L2747" s="2" t="inlineStr">
        <is>
          <t>Кино_СССР сводный каталог.xlsx: список телефильмов</t>
        </is>
      </c>
      <c r="M2747" s="2">
        <f>HYPERLINK("https://ru.wikipedia.org/w/index.php?search=%D0%93%D0%BE%D1%80%D1%8F%20%D0%B1%D0%BE%D1%8F%D1%82%D1%8C%D1%81%D1%8F%20-%20%D1%81%D1%87%D0%B0%D1%81%D1%82%D1%8C%D1%8F%20%D0%BD%D0%B5%20%D0%B2%D0%B8%D0%B4%D0%B0%D1%82%D1%8C%201973%20%D1%84%D0%B8%D0%BB%D1%8C%D0%BC","искать")</f>
        <v/>
      </c>
      <c r="N2747" s="3" t="n"/>
      <c r="O2747" s="2" t="n"/>
    </row>
    <row r="2748">
      <c r="A2748" s="2" t="n">
        <v>2747</v>
      </c>
      <c r="B2748" s="2" t="inlineStr">
        <is>
          <t>короткая</t>
        </is>
      </c>
      <c r="C2748" s="2" t="n">
        <v>7806</v>
      </c>
      <c r="D2748" s="3" t="inlineStr">
        <is>
          <t>Лето Сахата</t>
        </is>
      </c>
      <c r="E2748" s="2" t="n">
        <v>1976</v>
      </c>
      <c r="F2748" s="2" t="inlineStr">
        <is>
          <t>телефильм</t>
        </is>
      </c>
      <c r="G2748" s="2" t="n"/>
      <c r="H2748" s="2" t="n">
        <v>288</v>
      </c>
      <c r="I2748" s="2" t="inlineStr"/>
      <c r="J2748" s="2" t="inlineStr"/>
      <c r="K2748" s="3" t="inlineStr">
        <is>
          <t>Школьник Сахат проводит летние каникулы у своего дедушки в горном ауле. Мальчик учится гончарному делу, помогает собирать урожай, ухаживает за маленьким верблюжонком. Здесь Сахат получает первые трудовые навыки, уроки бережного отношения к окружающей природе. По заказу Гостелерадио СССР.</t>
        </is>
      </c>
      <c r="L2748" s="2" t="inlineStr">
        <is>
          <t>Кино_СССР сводный каталог.xlsx: список телефильмов</t>
        </is>
      </c>
      <c r="M2748" s="2">
        <f>HYPERLINK("https://ru.wikipedia.org/w/index.php?search=%D0%9B%D0%B5%D1%82%D0%BE%20%D0%A1%D0%B0%D1%85%D0%B0%D1%82%D0%B0%201976%20%D1%84%D0%B8%D0%BB%D1%8C%D0%BC","искать")</f>
        <v/>
      </c>
      <c r="N2748" s="3" t="n"/>
      <c r="O2748" s="2" t="n"/>
    </row>
    <row r="2749">
      <c r="A2749" s="2" t="n">
        <v>2748</v>
      </c>
      <c r="B2749" s="2" t="inlineStr">
        <is>
          <t>короткая</t>
        </is>
      </c>
      <c r="C2749" s="2" t="n">
        <v>8170</v>
      </c>
      <c r="D2749" s="3" t="inlineStr">
        <is>
          <t>Последний репортаж</t>
        </is>
      </c>
      <c r="E2749" s="2" t="n">
        <v>1986</v>
      </c>
      <c r="F2749" s="2" t="inlineStr">
        <is>
          <t>телефильм</t>
        </is>
      </c>
      <c r="G2749" s="2" t="inlineStr">
        <is>
          <t>Рижская к/с</t>
        </is>
      </c>
      <c r="H2749" s="2" t="n">
        <v>288</v>
      </c>
      <c r="I2749" s="2" t="inlineStr"/>
      <c r="J2749" s="2" t="inlineStr"/>
      <c r="K2749" s="3" t="inlineStr">
        <is>
          <t>По мотивам романа немецкого писателя Герда Прокопа "Смерть репортера". При странных обстоятельствах внезапно погибает известный скандальный репортер Йоргенсен. В поисках сенсации одна из газет, утратившая популярность, посылает по следам гибели журналиста своего сотрудника - Лобенштейна.</t>
        </is>
      </c>
      <c r="L2749" s="2" t="inlineStr">
        <is>
          <t>Кино_СССР сводный каталог.xlsx: список телефильмов</t>
        </is>
      </c>
      <c r="M2749" s="2">
        <f>HYPERLINK("https://ru.wikipedia.org/w/index.php?search=%D0%9F%D0%BE%D1%81%D0%BB%D0%B5%D0%B4%D0%BD%D0%B8%D0%B9%20%D1%80%D0%B5%D0%BF%D0%BE%D1%80%D1%82%D0%B0%D0%B6%201986%20%D1%84%D0%B8%D0%BB%D1%8C%D0%BC","искать")</f>
        <v/>
      </c>
      <c r="N2749" s="3" t="n"/>
      <c r="O2749" s="2" t="n"/>
    </row>
    <row r="2750">
      <c r="A2750" s="2" t="n">
        <v>2749</v>
      </c>
      <c r="B2750" s="2" t="inlineStr">
        <is>
          <t>короткая</t>
        </is>
      </c>
      <c r="C2750" s="2" t="n">
        <v>8249</v>
      </c>
      <c r="D2750" s="3" t="inlineStr">
        <is>
          <t>Путешествие миссис Шелтон</t>
        </is>
      </c>
      <c r="E2750" s="2" t="n">
        <v>1975</v>
      </c>
      <c r="F2750" s="2" t="inlineStr">
        <is>
          <t>телефильм</t>
        </is>
      </c>
      <c r="G2750" s="2" t="n"/>
      <c r="H2750" s="2" t="n">
        <v>288</v>
      </c>
      <c r="I2750" s="2" t="inlineStr"/>
      <c r="J2750" s="2" t="inlineStr"/>
      <c r="K2750" s="3" t="inlineStr">
        <is>
          <t>Телефильм. Советский теплоход, зафрахтованный английской туристической фирмой, отправляется из Лондона в кругосветное плавание. Конкурирующая фирма готовит на пароходе провокацию. Миссис Шелтон, узнав, что ей изменяет муж, отправляется в этот круиз, чтобы пережить трагедию в одиночестве.</t>
        </is>
      </c>
      <c r="L2750" s="2" t="inlineStr">
        <is>
          <t>Кино_СССР сводный каталог.xlsx: список телефильмов</t>
        </is>
      </c>
      <c r="M2750" s="2">
        <f>HYPERLINK("https://ru.wikipedia.org/w/index.php?search=%D0%9F%D1%83%D1%82%D0%B5%D1%88%D0%B5%D1%81%D1%82%D0%B2%D0%B8%D0%B5%20%D0%BC%D0%B8%D1%81%D1%81%D0%B8%D1%81%20%D0%A8%D0%B5%D0%BB%D1%82%D0%BE%D0%BD%201975%20%D1%84%D0%B8%D0%BB%D1%8C%D0%BC","искать")</f>
        <v/>
      </c>
      <c r="N2750" s="3" t="n"/>
      <c r="O2750" s="2" t="n"/>
    </row>
    <row r="2751">
      <c r="A2751" s="2" t="n">
        <v>2750</v>
      </c>
      <c r="B2751" s="2" t="inlineStr">
        <is>
          <t>короткая</t>
        </is>
      </c>
      <c r="C2751" s="2" t="n">
        <v>8471</v>
      </c>
      <c r="D2751" s="3" t="inlineStr">
        <is>
          <t>Третий в пятом ряду</t>
        </is>
      </c>
      <c r="E2751" s="2" t="n">
        <v>1984</v>
      </c>
      <c r="F2751" s="2" t="inlineStr">
        <is>
          <t>телефильм</t>
        </is>
      </c>
      <c r="G2751" s="2" t="n"/>
      <c r="H2751" s="2" t="n">
        <v>288</v>
      </c>
      <c r="I2751" s="2" t="inlineStr"/>
      <c r="J2751" s="2" t="inlineStr"/>
      <c r="K2751" s="3" t="inlineStr">
        <is>
          <t>Телефильм снят по одноимённой повести Анатолия Алексина. Вера Матвеева в прошлом - школьный учитель, а ныне - пенсионерка живет с внучкой Елизаветой. Девочка, рассматривая коллективные фотографии учеников бабушки, обращает внимание на запечатленного на одной из них улыбающегося мальчика.</t>
        </is>
      </c>
      <c r="L2751" s="2" t="inlineStr">
        <is>
          <t>Кино_СССР сводный каталог.xlsx: список телефильмов</t>
        </is>
      </c>
      <c r="M2751" s="2">
        <f>HYPERLINK("https://ru.wikipedia.org/w/index.php?search=%D0%A2%D1%80%D0%B5%D1%82%D0%B8%D0%B9%20%D0%B2%20%D0%BF%D1%8F%D1%82%D0%BE%D0%BC%20%D1%80%D1%8F%D0%B4%D1%83%201984%20%D1%84%D0%B8%D0%BB%D1%8C%D0%BC","искать")</f>
        <v/>
      </c>
      <c r="N2751" s="3" t="n"/>
      <c r="O2751" s="2" t="n"/>
    </row>
    <row r="2752">
      <c r="A2752" s="2" t="n">
        <v>2751</v>
      </c>
      <c r="B2752" s="2" t="inlineStr">
        <is>
          <t>короткая</t>
        </is>
      </c>
      <c r="C2752" s="2" t="n">
        <v>9313</v>
      </c>
      <c r="D2752" s="3" t="inlineStr">
        <is>
          <t>Господин оформитель</t>
        </is>
      </c>
      <c r="E2752" s="2" t="n">
        <v>1988</v>
      </c>
      <c r="F2752" s="2" t="inlineStr">
        <is>
          <t>кинофильм</t>
        </is>
      </c>
      <c r="G2752" s="2" t="n"/>
      <c r="H2752" s="2" t="n">
        <v>288</v>
      </c>
      <c r="I2752" s="2" t="inlineStr"/>
      <c r="J2752" s="2" t="inlineStr"/>
      <c r="K2752" s="3" t="inlineStr">
        <is>
          <t>По мотивам рассказа А. Грина "Серый автомобиль". Действие происходит в 1908—1914 гг. Знаменитый художник-оформитель, Платон Андреевич, хочет продлить жизнь живого человека в скульптуре и на рисунках, он пытается побороть смерть и усовершенствовать окружающий мир с помощью своего таланта.</t>
        </is>
      </c>
      <c r="L2752" s="2" t="inlineStr">
        <is>
          <t>Кино_СССР сводный каталог.xlsx: список фильмов (доп.)</t>
        </is>
      </c>
      <c r="M2752" s="2">
        <f>HYPERLINK("https://ru.wikipedia.org/w/index.php?search=%D0%93%D0%BE%D1%81%D0%BF%D0%BE%D0%B4%D0%B8%D0%BD%20%D0%BE%D1%84%D0%BE%D1%80%D0%BC%D0%B8%D1%82%D0%B5%D0%BB%D1%8C%201988%20%D1%84%D0%B8%D0%BB%D1%8C%D0%BC","искать")</f>
        <v/>
      </c>
      <c r="N2752" s="3" t="n"/>
      <c r="O2752" s="2" t="n"/>
    </row>
    <row r="2753">
      <c r="A2753" s="2" t="n">
        <v>2752</v>
      </c>
      <c r="B2753" s="2" t="inlineStr">
        <is>
          <t>короткая</t>
        </is>
      </c>
      <c r="C2753" s="2" t="n">
        <v>9460</v>
      </c>
      <c r="D2753" s="3" t="inlineStr">
        <is>
          <t>Любовь</t>
        </is>
      </c>
      <c r="E2753" s="2" t="n">
        <v>1991</v>
      </c>
      <c r="F2753" s="2" t="inlineStr">
        <is>
          <t>кинофильм</t>
        </is>
      </c>
      <c r="G2753" s="2" t="n"/>
      <c r="H2753" s="2" t="n">
        <v>288</v>
      </c>
      <c r="I2753" s="2" t="inlineStr"/>
      <c r="J2753" s="2" t="inlineStr"/>
      <c r="K2753" s="3" t="inlineStr">
        <is>
          <t>Два друга-студента на вечеринке знакомятся с девушками. У первой пары есть и роскошная квартира для встреч, и видимое взаимопонимание, которое приводит к браку. Любовь основных героев осложнена не только разницей характеров и семейных укладов, но и вынужденным отъездом девушки в Израиль.</t>
        </is>
      </c>
      <c r="L2753" s="2" t="inlineStr">
        <is>
          <t>Кино_СССР сводный каталог.xlsx: список фильмов (доп.)</t>
        </is>
      </c>
      <c r="M2753" s="2">
        <f>HYPERLINK("https://ru.wikipedia.org/w/index.php?search=%D0%9B%D1%8E%D0%B1%D0%BE%D0%B2%D1%8C%201991%20%D1%84%D0%B8%D0%BB%D1%8C%D0%BC","искать")</f>
        <v/>
      </c>
      <c r="N2753" s="3" t="n"/>
      <c r="O2753" s="2" t="n"/>
    </row>
    <row r="2754">
      <c r="A2754" s="2" t="n">
        <v>2753</v>
      </c>
      <c r="B2754" s="2" t="inlineStr">
        <is>
          <t>короткая</t>
        </is>
      </c>
      <c r="C2754" s="2" t="n">
        <v>7181</v>
      </c>
      <c r="D2754" s="3" t="inlineStr">
        <is>
          <t>13 поручений</t>
        </is>
      </c>
      <c r="E2754" s="2" t="n">
        <v>1969</v>
      </c>
      <c r="F2754" s="2" t="inlineStr">
        <is>
          <t>телефильм</t>
        </is>
      </c>
      <c r="G2754" s="2" t="inlineStr">
        <is>
          <t>Одесская к/с</t>
        </is>
      </c>
      <c r="H2754" s="2" t="n">
        <v>289</v>
      </c>
      <c r="I2754" s="2" t="inlineStr"/>
      <c r="J2754" s="2" t="inlineStr"/>
      <c r="K2754" s="3" t="inlineStr">
        <is>
          <t>Телефильм. Снабженец Чувилихин (Николай Трофимов) отправляется в Москву, чтобы выполнить поручения сослуживцев. В столичной сутолоке он теряет список, где было записано название нот, которые нужно купить для жены директора. Анатолий Степанович мечется по городу, пытаясь вспомнить мелодию.</t>
        </is>
      </c>
      <c r="L2754" s="2" t="inlineStr">
        <is>
          <t>Кино_СССР сводный каталог.xlsx: список телефильмов</t>
        </is>
      </c>
      <c r="M2754" s="2">
        <f>HYPERLINK("https://ru.wikipedia.org/w/index.php?search=13%20%D0%BF%D0%BE%D1%80%D1%83%D1%87%D0%B5%D0%BD%D0%B8%D0%B9%201969%20%D1%84%D0%B8%D0%BB%D1%8C%D0%BC","искать")</f>
        <v/>
      </c>
      <c r="N2754" s="3" t="n"/>
      <c r="O2754" s="2" t="n"/>
    </row>
    <row r="2755">
      <c r="A2755" s="2" t="n">
        <v>2754</v>
      </c>
      <c r="B2755" s="2" t="inlineStr">
        <is>
          <t>короткая</t>
        </is>
      </c>
      <c r="C2755" s="2" t="n">
        <v>7197</v>
      </c>
      <c r="D2755" s="3" t="inlineStr">
        <is>
          <t>Айя</t>
        </is>
      </c>
      <c r="E2755" s="2" t="n">
        <v>1987</v>
      </c>
      <c r="F2755" s="2" t="inlineStr">
        <is>
          <t>телефильм</t>
        </is>
      </c>
      <c r="G2755" s="2" t="inlineStr">
        <is>
          <t>Рижская к/с</t>
        </is>
      </c>
      <c r="H2755" s="2" t="n">
        <v>289</v>
      </c>
      <c r="I2755" s="2" t="inlineStr"/>
      <c r="J2755" s="2" t="inlineStr"/>
      <c r="K2755" s="3" t="inlineStr">
        <is>
          <t>Телефильм по мотивам произведений латышского писателя Я. Яунсудрабиня. Действие фильма происходит в Латвии в конце XIX - начале XX века. Янис Балодис возвращается из Риги в родную деревню, где встречается со своей юношеской любовью - Айей. Охваченный прежним чувством, Янис женится на ней.</t>
        </is>
      </c>
      <c r="L2755" s="2" t="inlineStr">
        <is>
          <t>Кино_СССР сводный каталог.xlsx: список телефильмов</t>
        </is>
      </c>
      <c r="M2755" s="2">
        <f>HYPERLINK("https://ru.wikipedia.org/w/index.php?search=%D0%90%D0%B9%D1%8F%201987%20%D1%84%D0%B8%D0%BB%D1%8C%D0%BC","искать")</f>
        <v/>
      </c>
      <c r="N2755" s="3" t="n"/>
      <c r="O2755" s="2" t="n"/>
    </row>
    <row r="2756">
      <c r="A2756" s="2" t="n">
        <v>2755</v>
      </c>
      <c r="B2756" s="2" t="inlineStr">
        <is>
          <t>короткая</t>
        </is>
      </c>
      <c r="C2756" s="2" t="n">
        <v>7320</v>
      </c>
      <c r="D2756" s="3" t="inlineStr">
        <is>
          <t>Верить и знать</t>
        </is>
      </c>
      <c r="E2756" s="2" t="n">
        <v>1986</v>
      </c>
      <c r="F2756" s="2" t="inlineStr">
        <is>
          <t>телефильм</t>
        </is>
      </c>
      <c r="G2756" s="2" t="n"/>
      <c r="H2756" s="2" t="n">
        <v>289</v>
      </c>
      <c r="I2756" s="2" t="inlineStr"/>
      <c r="J2756" s="2" t="inlineStr"/>
      <c r="K2756" s="3" t="inlineStr">
        <is>
          <t>В центре фильма - образ колхозного бригадира Асана. Принципиальный человек, он наживает себе множество врагов в лице лодырей, пьяниц, нечестных людей. В результате наговоров Асана освобождают от должности, но это не сломило его. Он продолжает действовать так, как ему подсказывает совесть.</t>
        </is>
      </c>
      <c r="L2756" s="2" t="inlineStr">
        <is>
          <t>Кино_СССР сводный каталог.xlsx: список телефильмов</t>
        </is>
      </c>
      <c r="M2756" s="2">
        <f>HYPERLINK("https://ru.wikipedia.org/w/index.php?search=%D0%92%D0%B5%D1%80%D0%B8%D1%82%D1%8C%20%D0%B8%20%D0%B7%D0%BD%D0%B0%D1%82%D1%8C%201986%20%D1%84%D0%B8%D0%BB%D1%8C%D0%BC","искать")</f>
        <v/>
      </c>
      <c r="N2756" s="3" t="n"/>
      <c r="O2756" s="2" t="n"/>
    </row>
    <row r="2757">
      <c r="A2757" s="2" t="n">
        <v>2756</v>
      </c>
      <c r="B2757" s="2" t="inlineStr">
        <is>
          <t>короткая</t>
        </is>
      </c>
      <c r="C2757" s="2" t="n">
        <v>7442</v>
      </c>
      <c r="D2757" s="3" t="inlineStr">
        <is>
          <t>Голубая роза</t>
        </is>
      </c>
      <c r="E2757" s="2" t="n">
        <v>1988</v>
      </c>
      <c r="F2757" s="2" t="inlineStr">
        <is>
          <t>телефильм</t>
        </is>
      </c>
      <c r="G2757" s="2" t="inlineStr">
        <is>
          <t>студия «Укртелефильм»</t>
        </is>
      </c>
      <c r="H2757" s="2" t="n">
        <v>289</v>
      </c>
      <c r="I2757" s="2" t="inlineStr"/>
      <c r="J2757" s="2" t="inlineStr"/>
      <c r="K2757" s="3" t="inlineStr">
        <is>
          <t>По мотивам одноименной пьес классика украинской литературы Леси Украинки. Трагическая история любви Любы Гощинской к Оресту Груичу. Героиня фильма разрывается между всепоглощаемым чувстом и патриархальным обычаями, которые запрещают женщине самовыражаться, свободно проявлять свои желания.</t>
        </is>
      </c>
      <c r="L2757" s="2" t="inlineStr">
        <is>
          <t>Кино_СССР сводный каталог.xlsx: список телефильмов</t>
        </is>
      </c>
      <c r="M2757" s="2">
        <f>HYPERLINK("https://ru.wikipedia.org/w/index.php?search=%D0%93%D0%BE%D0%BB%D1%83%D0%B1%D0%B0%D1%8F%20%D1%80%D0%BE%D0%B7%D0%B0%201988%20%D1%84%D0%B8%D0%BB%D1%8C%D0%BC","искать")</f>
        <v/>
      </c>
      <c r="N2757" s="3" t="n"/>
      <c r="O2757" s="2" t="n"/>
    </row>
    <row r="2758">
      <c r="A2758" s="2" t="n">
        <v>2757</v>
      </c>
      <c r="B2758" s="2" t="inlineStr">
        <is>
          <t>короткая</t>
        </is>
      </c>
      <c r="C2758" s="2" t="n">
        <v>7450</v>
      </c>
      <c r="D2758" s="3" t="inlineStr">
        <is>
          <t>Гори, гори ясно...</t>
        </is>
      </c>
      <c r="E2758" s="2" t="n">
        <v>1983</v>
      </c>
      <c r="F2758" s="2" t="inlineStr">
        <is>
          <t>телефильм</t>
        </is>
      </c>
      <c r="G2758" s="2" t="n"/>
      <c r="H2758" s="2" t="n">
        <v>289</v>
      </c>
      <c r="I2758" s="2" t="inlineStr"/>
      <c r="J2758" s="2" t="inlineStr"/>
      <c r="K2758" s="3" t="inlineStr">
        <is>
          <t>Телефильм по мотивам одноименной повести Анатолия Кривоносова. Слесарю-ремонтнику спичечной фабрики Парфену Локтионову предлагают стать сменным мастером. Новая должность, с одной стороны, связана с повышенной ответственностью, а с другой - с меньшим заработком (оклад на "десятку" меньше).</t>
        </is>
      </c>
      <c r="L2758" s="2" t="inlineStr">
        <is>
          <t>Кино_СССР сводный каталог.xlsx: список телефильмов</t>
        </is>
      </c>
      <c r="M2758" s="2">
        <f>HYPERLINK("https://ru.wikipedia.org/w/index.php?search=%D0%93%D0%BE%D1%80%D0%B8%2C%20%D0%B3%D0%BE%D1%80%D0%B8%20%D1%8F%D1%81%D0%BD%D0%BE...%201983%20%D1%84%D0%B8%D0%BB%D1%8C%D0%BC","искать")</f>
        <v/>
      </c>
      <c r="N2758" s="3" t="n"/>
      <c r="O2758" s="2" t="n"/>
    </row>
    <row r="2759">
      <c r="A2759" s="2" t="n">
        <v>2758</v>
      </c>
      <c r="B2759" s="2" t="inlineStr">
        <is>
          <t>короткая</t>
        </is>
      </c>
      <c r="C2759" s="2" t="n">
        <v>7638</v>
      </c>
      <c r="D2759" s="3" t="inlineStr">
        <is>
          <t>Здравствуйте, Гульнора Рахимовна!</t>
        </is>
      </c>
      <c r="E2759" s="2" t="n">
        <v>1986</v>
      </c>
      <c r="F2759" s="2" t="inlineStr">
        <is>
          <t>телефильм</t>
        </is>
      </c>
      <c r="G2759" s="2" t="n"/>
      <c r="H2759" s="2" t="n">
        <v>289</v>
      </c>
      <c r="I2759" s="2" t="inlineStr"/>
      <c r="J2759" s="2" t="inlineStr"/>
      <c r="K2759" s="3" t="inlineStr">
        <is>
          <t>Молодая учительница музыки Гульнора Рахимовна, придя в школу, вначале встречает равнодушие к своему предмету как со стороны школьников, так и коллег по работе. Но своим желанием приобщить детей к прекрасному миру музыки завоевывает любовь и признание учеников, уважение у других педагогов.</t>
        </is>
      </c>
      <c r="L2759" s="2" t="inlineStr">
        <is>
          <t>Кино_СССР сводный каталог.xlsx: список телефильмов</t>
        </is>
      </c>
      <c r="M2759" s="2">
        <f>HYPERLINK("https://ru.wikipedia.org/w/index.php?search=%D0%97%D0%B4%D1%80%D0%B0%D0%B2%D1%81%D1%82%D0%B2%D1%83%D0%B9%D1%82%D0%B5%2C%20%D0%93%D1%83%D0%BB%D1%8C%D0%BD%D0%BE%D1%80%D0%B0%20%D0%A0%D0%B0%D1%85%D0%B8%D0%BC%D0%BE%D0%B2%D0%BD%D0%B0%21%201986%20%D1%84%D0%B8%D0%BB%D1%8C%D0%BC","искать")</f>
        <v/>
      </c>
      <c r="N2759" s="3" t="n"/>
      <c r="O2759" s="2" t="n"/>
    </row>
    <row r="2760">
      <c r="A2760" s="2" t="n">
        <v>2759</v>
      </c>
      <c r="B2760" s="2" t="inlineStr">
        <is>
          <t>короткая</t>
        </is>
      </c>
      <c r="C2760" s="2" t="n">
        <v>8151</v>
      </c>
      <c r="D2760" s="3" t="inlineStr">
        <is>
          <t>Познай себя</t>
        </is>
      </c>
      <c r="E2760" s="2" t="n">
        <v>1972</v>
      </c>
      <c r="F2760" s="2" t="inlineStr">
        <is>
          <t>телефильм</t>
        </is>
      </c>
      <c r="G2760" s="2" t="n"/>
      <c r="H2760" s="2" t="n">
        <v>289</v>
      </c>
      <c r="I2760" s="2" t="inlineStr"/>
      <c r="J2760" s="2" t="inlineStr"/>
      <c r="K2760" s="3" t="inlineStr">
        <is>
          <t>Телефильм. Экранизация пьесы "Четыре креста на солнце" (Вызов богам) белорусского драматурга Анатолия Делендика. У героини фильма Инги, выпускницы медицинского института, обнаруживают болезнь крови. Ей необходима пересадка костного мозга, но Инга боится операции и считает себя обреченной.</t>
        </is>
      </c>
      <c r="L2760" s="2" t="inlineStr">
        <is>
          <t>Кино_СССР сводный каталог.xlsx: список телефильмов</t>
        </is>
      </c>
      <c r="M2760" s="2">
        <f>HYPERLINK("https://ru.wikipedia.org/w/index.php?search=%D0%9F%D0%BE%D0%B7%D0%BD%D0%B0%D0%B9%20%D1%81%D0%B5%D0%B1%D1%8F%201972%20%D1%84%D0%B8%D0%BB%D1%8C%D0%BC","искать")</f>
        <v/>
      </c>
      <c r="N2760" s="3" t="n"/>
      <c r="O2760" s="2" t="n"/>
    </row>
    <row r="2761">
      <c r="A2761" s="2" t="n">
        <v>2760</v>
      </c>
      <c r="B2761" s="2" t="inlineStr">
        <is>
          <t>короткая</t>
        </is>
      </c>
      <c r="C2761" s="2" t="n">
        <v>9469</v>
      </c>
      <c r="D2761" s="3" t="inlineStr">
        <is>
          <t>Меня зовут Арлекино</t>
        </is>
      </c>
      <c r="E2761" s="2" t="n">
        <v>1988</v>
      </c>
      <c r="F2761" s="2" t="inlineStr">
        <is>
          <t>кинофильм</t>
        </is>
      </c>
      <c r="G2761" s="2" t="n"/>
      <c r="H2761" s="2" t="n">
        <v>289</v>
      </c>
      <c r="I2761" s="2" t="inlineStr"/>
      <c r="J2761" s="2" t="inlineStr"/>
      <c r="K2761" s="3" t="inlineStr">
        <is>
          <t>По мотивам пьесы Юрия Щекочихина "Ловушка 46, рост второй". Парень по прозвищу Арлекино и его компания, называющая себя "волками", живут на полустанке, неподалеку от города, куда часто ездят "отдыхать" - на поиски острых ощущений. И это не просто хулиганы, по крайней мере, им так кажется.</t>
        </is>
      </c>
      <c r="L2761" s="2" t="inlineStr">
        <is>
          <t>Кино_СССР сводный каталог.xlsx: список фильмов (доп.)</t>
        </is>
      </c>
      <c r="M2761" s="2">
        <f>HYPERLINK("https://ru.wikipedia.org/w/index.php?search=%D0%9C%D0%B5%D0%BD%D1%8F%20%D0%B7%D0%BE%D0%B2%D1%83%D1%82%20%D0%90%D1%80%D0%BB%D0%B5%D0%BA%D0%B8%D0%BD%D0%BE%201988%20%D1%84%D0%B8%D0%BB%D1%8C%D0%BC","искать")</f>
        <v/>
      </c>
      <c r="N2761" s="3" t="n"/>
      <c r="O2761" s="2" t="n"/>
    </row>
    <row r="2762">
      <c r="A2762" s="2" t="n">
        <v>2761</v>
      </c>
      <c r="B2762" s="2" t="inlineStr">
        <is>
          <t>короткая</t>
        </is>
      </c>
      <c r="C2762" s="2" t="n">
        <v>9583</v>
      </c>
      <c r="D2762" s="3" t="inlineStr">
        <is>
          <t>Преследование</t>
        </is>
      </c>
      <c r="E2762" s="2" t="n">
        <v>1988</v>
      </c>
      <c r="F2762" s="2" t="inlineStr">
        <is>
          <t>кинофильм</t>
        </is>
      </c>
      <c r="G2762" s="2" t="n"/>
      <c r="H2762" s="2" t="n">
        <v>289</v>
      </c>
      <c r="I2762" s="2" t="inlineStr"/>
      <c r="J2762" s="2" t="inlineStr"/>
      <c r="K2762" s="3" t="inlineStr">
        <is>
          <t>Действие фильма происходит в двадцатые годы на юге Киргизии. В военный гарнизон прибывает командир взвода Абыш Исаев. Его задача - вместе с красным командиром Валентином Угрюмовым - остановить кровопролитие и разгромы, учиняемые басмаческим отрядом Шааназара, и вернуть дехкан в свои дома.</t>
        </is>
      </c>
      <c r="L2762" s="2" t="inlineStr">
        <is>
          <t>Кино_СССР сводный каталог.xlsx: список фильмов (доп.)</t>
        </is>
      </c>
      <c r="M2762" s="2">
        <f>HYPERLINK("https://ru.wikipedia.org/w/index.php?search=%D0%9F%D1%80%D0%B5%D1%81%D0%BB%D0%B5%D0%B4%D0%BE%D0%B2%D0%B0%D0%BD%D0%B8%D0%B5%201988%20%D1%84%D0%B8%D0%BB%D1%8C%D0%BC","искать")</f>
        <v/>
      </c>
      <c r="N2762" s="3" t="n"/>
      <c r="O2762" s="2" t="n"/>
    </row>
    <row r="2763">
      <c r="A2763" s="2" t="n">
        <v>2762</v>
      </c>
      <c r="B2763" s="2" t="inlineStr">
        <is>
          <t>короткая</t>
        </is>
      </c>
      <c r="C2763" s="2" t="n">
        <v>9592</v>
      </c>
      <c r="D2763" s="3" t="inlineStr">
        <is>
          <t>Пришелец</t>
        </is>
      </c>
      <c r="E2763" s="2" t="n">
        <v>1989</v>
      </c>
      <c r="F2763" s="2" t="inlineStr">
        <is>
          <t>кинофильм</t>
        </is>
      </c>
      <c r="G2763" s="2" t="n"/>
      <c r="H2763" s="2" t="n">
        <v>289</v>
      </c>
      <c r="I2763" s="2" t="inlineStr"/>
      <c r="J2763" s="2" t="inlineStr"/>
      <c r="K2763" s="3" t="inlineStr">
        <is>
          <t>По мотивам произведений Тимура Пулатова. Бывший выпускник балетной школы Ахун, оставив балет, становится завсегдатаем восточного базара. Его привлекает азарт, риск и сама атмосфера рынка. Попав в поле зрения торговых воротил, герой не решается отказаться от участия в сговоре — и погибает.</t>
        </is>
      </c>
      <c r="L2763" s="2" t="inlineStr">
        <is>
          <t>Кино_СССР сводный каталог.xlsx: список фильмов (доп.)</t>
        </is>
      </c>
      <c r="M2763" s="2">
        <f>HYPERLINK("https://ru.wikipedia.org/w/index.php?search=%D0%9F%D1%80%D0%B8%D1%88%D0%B5%D0%BB%D0%B5%D1%86%201989%20%D1%84%D0%B8%D0%BB%D1%8C%D0%BC","искать")</f>
        <v/>
      </c>
      <c r="N2763" s="3" t="n"/>
      <c r="O2763" s="2" t="n"/>
    </row>
    <row r="2764">
      <c r="A2764" s="2" t="n">
        <v>2763</v>
      </c>
      <c r="B2764" s="2" t="inlineStr">
        <is>
          <t>короткая</t>
        </is>
      </c>
      <c r="C2764" s="2" t="n">
        <v>11179</v>
      </c>
      <c r="D2764" s="3" t="inlineStr">
        <is>
          <t>Первые уроки (год спустя)</t>
        </is>
      </c>
      <c r="E2764" s="2" t="n">
        <v>1987</v>
      </c>
      <c r="F2764" s="2" t="inlineStr">
        <is>
          <t>фильм-спектакль</t>
        </is>
      </c>
      <c r="G2764" s="2" t="inlineStr">
        <is>
          <t>Главная редакция литературно-драматических программ ЦТ</t>
        </is>
      </c>
      <c r="H2764" s="2" t="n">
        <v>289</v>
      </c>
      <c r="I2764" s="2" t="inlineStr"/>
      <c r="J2764" s="2" t="inlineStr"/>
      <c r="K2764" s="3" t="inlineStr">
        <is>
          <t>Из цикла "Политический театр".
По одноименной пьесе Федора Бурлацкого.
Руководитель одного из обкомов КПСС Широков, секретарь по идеологии Стрешнев и директора завода Корчнов продолжают разговор об актуальных проблемах перестройки, начатый в телеспектакле "Два взгляда из одного кабинета".</t>
        </is>
      </c>
      <c r="L2764" s="2" t="inlineStr">
        <is>
          <t>https://www.kino-teatr.ru/teatr/movie/81362/annot/</t>
        </is>
      </c>
      <c r="M2764" s="2">
        <f>HYPERLINK("https://ru.wikipedia.org/w/index.php?search=%D0%9F%D0%B5%D1%80%D0%B2%D1%8B%D0%B5%20%D1%83%D1%80%D0%BE%D0%BA%D0%B8%20%28%D0%B3%D0%BE%D0%B4%20%D1%81%D0%BF%D1%83%D1%81%D1%82%D1%8F%29%201987%20%D1%84%D0%B8%D0%BB%D1%8C%D0%BC","искать")</f>
        <v/>
      </c>
      <c r="N2764" s="3" t="n"/>
      <c r="O2764" s="2" t="n"/>
    </row>
    <row r="2765">
      <c r="A2765" s="2" t="n">
        <v>2764</v>
      </c>
      <c r="B2765" s="2" t="inlineStr">
        <is>
          <t>короткая</t>
        </is>
      </c>
      <c r="C2765" s="2" t="n">
        <v>7276</v>
      </c>
      <c r="D2765" s="3" t="inlineStr">
        <is>
          <t>Будем ждать, возвращайся</t>
        </is>
      </c>
      <c r="E2765" s="2" t="n">
        <v>1981</v>
      </c>
      <c r="F2765" s="2" t="inlineStr">
        <is>
          <t>телефильм</t>
        </is>
      </c>
      <c r="G2765" s="2" t="inlineStr">
        <is>
          <t>к/с им. Довженко</t>
        </is>
      </c>
      <c r="H2765" s="2" t="n">
        <v>290</v>
      </c>
      <c r="I2765" s="2" t="inlineStr"/>
      <c r="J2765" s="2" t="inlineStr"/>
      <c r="K2765" s="3" t="inlineStr">
        <is>
          <t>Телефильм. История девушки, недавно окончившей школу, и работающей киномехаником. Ее представления о жизни взяты из фильмов с Гретой Гарбо, романтической литературы и советов ее практичной подружки. Эта "гремучая смесь" не дает ей услышать себя и заставляет совершать необдуманные поступки.</t>
        </is>
      </c>
      <c r="L2765" s="2" t="inlineStr">
        <is>
          <t>Кино_СССР сводный каталог.xlsx: список телефильмов</t>
        </is>
      </c>
      <c r="M2765" s="2">
        <f>HYPERLINK("https://ru.wikipedia.org/w/index.php?search=%D0%91%D1%83%D0%B4%D0%B5%D0%BC%20%D0%B6%D0%B4%D0%B0%D1%82%D1%8C%2C%20%D0%B2%D0%BE%D0%B7%D0%B2%D1%80%D0%B0%D1%89%D0%B0%D0%B9%D1%81%D1%8F%201981%20%D1%84%D0%B8%D0%BB%D1%8C%D0%BC","искать")</f>
        <v/>
      </c>
      <c r="N2765" s="3" t="n"/>
      <c r="O2765" s="2" t="n"/>
    </row>
    <row r="2766">
      <c r="A2766" s="2" t="n">
        <v>2765</v>
      </c>
      <c r="B2766" s="2" t="inlineStr">
        <is>
          <t>короткая</t>
        </is>
      </c>
      <c r="C2766" s="2" t="n">
        <v>7411</v>
      </c>
      <c r="D2766" s="3" t="inlineStr">
        <is>
          <t>Встречная полоса</t>
        </is>
      </c>
      <c r="E2766" s="2" t="n">
        <v>1986</v>
      </c>
      <c r="F2766" s="2" t="inlineStr">
        <is>
          <t>телефильм</t>
        </is>
      </c>
      <c r="G2766" s="2" t="inlineStr">
        <is>
          <t>Главная редакция литературно-драматических программ ЦТ</t>
        </is>
      </c>
      <c r="H2766" s="2" t="n">
        <v>290</v>
      </c>
      <c r="I2766" s="2" t="inlineStr"/>
      <c r="J2766" s="2" t="inlineStr"/>
      <c r="K2766" s="3" t="inlineStr">
        <is>
          <t>По пьесе Александра Борина. В результате автомобильной катастрофы гибнут жена и сестра профессора Беляева, находившегося за рулем своих "Жигулей". Суд приговаривает Беляева к трем годам лишения свободы, а водителя самосвала Терехина, ставшего невольным участником столкновения, оправдывают.</t>
        </is>
      </c>
      <c r="L2766" s="2" t="inlineStr">
        <is>
          <t>Кино_СССР сводный каталог.xlsx: список телефильмов</t>
        </is>
      </c>
      <c r="M2766" s="2">
        <f>HYPERLINK("https://ru.wikipedia.org/w/index.php?search=%D0%92%D1%81%D1%82%D1%80%D0%B5%D1%87%D0%BD%D0%B0%D1%8F%20%D0%BF%D0%BE%D0%BB%D0%BE%D1%81%D0%B0%201986%20%D1%84%D0%B8%D0%BB%D1%8C%D0%BC","искать")</f>
        <v/>
      </c>
      <c r="N2766" s="3" t="n"/>
      <c r="O2766" s="2" t="n"/>
    </row>
    <row r="2767">
      <c r="A2767" s="2" t="n">
        <v>2766</v>
      </c>
      <c r="B2767" s="2" t="inlineStr">
        <is>
          <t>короткая</t>
        </is>
      </c>
      <c r="C2767" s="2" t="n">
        <v>7536</v>
      </c>
      <c r="D2767" s="3" t="inlineStr">
        <is>
          <t>Дом Бернарды Альбы</t>
        </is>
      </c>
      <c r="E2767" s="2" t="n">
        <v>1981</v>
      </c>
      <c r="F2767" s="2" t="inlineStr">
        <is>
          <t>телефильм</t>
        </is>
      </c>
      <c r="G2767" s="2" t="n"/>
      <c r="H2767" s="2" t="n">
        <v>290</v>
      </c>
      <c r="I2767" s="2" t="inlineStr"/>
      <c r="J2767" s="2" t="inlineStr"/>
      <c r="K2767" s="3" t="inlineStr">
        <is>
          <t>Телефильм по мотивам одноименной пьесы испанского поэта и драматурга Федерико Гарсиа Лорки. Только что овдовевшая богатая крестьянка Бернарда Альба, велела своим дочерям восемь лет носить траур. В течение этого времени они не имеют права не только помышлять о браке, но и выходить на улицу.</t>
        </is>
      </c>
      <c r="L2767" s="2" t="inlineStr">
        <is>
          <t>Кино_СССР сводный каталог.xlsx: список телефильмов</t>
        </is>
      </c>
      <c r="M2767" s="2">
        <f>HYPERLINK("https://ru.wikipedia.org/w/index.php?search=%D0%94%D0%BE%D0%BC%20%D0%91%D0%B5%D1%80%D0%BD%D0%B0%D1%80%D0%B4%D1%8B%20%D0%90%D0%BB%D1%8C%D0%B1%D1%8B%201981%20%D1%84%D0%B8%D0%BB%D1%8C%D0%BC","искать")</f>
        <v/>
      </c>
      <c r="N2767" s="3" t="n"/>
      <c r="O2767" s="2" t="n"/>
    </row>
    <row r="2768">
      <c r="A2768" s="2" t="n">
        <v>2767</v>
      </c>
      <c r="B2768" s="2" t="inlineStr">
        <is>
          <t>короткая</t>
        </is>
      </c>
      <c r="C2768" s="2" t="n">
        <v>8227</v>
      </c>
      <c r="D2768" s="3" t="inlineStr">
        <is>
          <t>Проданный смех</t>
        </is>
      </c>
      <c r="E2768" s="2" t="n">
        <v>1981</v>
      </c>
      <c r="F2768" s="2" t="inlineStr">
        <is>
          <t>телефильм</t>
        </is>
      </c>
      <c r="G2768" s="2" t="inlineStr">
        <is>
          <t>Беларусьфильм</t>
        </is>
      </c>
      <c r="H2768" s="2" t="n">
        <v>290</v>
      </c>
      <c r="I2768" s="2" t="inlineStr"/>
      <c r="J2768" s="2" t="inlineStr"/>
      <c r="K2768" s="3" t="inlineStr">
        <is>
          <t>Телефильм по сказке Д.Крюса "Тим Талер или Проданный смех". Музыкальный фильм-сказка для детей, о приключениях мальчика Тима, который променял смех на богатство, и о том, с каким трудом ему с помощью друзей удалось одолеть злого барона Треча, чтобы, лишившись богатства, вновь обрести смех.</t>
        </is>
      </c>
      <c r="L2768" s="2" t="inlineStr">
        <is>
          <t>Кино_СССР сводный каталог.xlsx: список телефильмов</t>
        </is>
      </c>
      <c r="M2768" s="2">
        <f>HYPERLINK("https://ru.wikipedia.org/w/index.php?search=%D0%9F%D1%80%D0%BE%D0%B4%D0%B0%D0%BD%D0%BD%D1%8B%D0%B9%20%D1%81%D0%BC%D0%B5%D1%85%201981%20%D1%84%D0%B8%D0%BB%D1%8C%D0%BC","искать")</f>
        <v/>
      </c>
      <c r="N2768" s="3" t="n"/>
      <c r="O2768" s="2" t="n"/>
    </row>
    <row r="2769">
      <c r="A2769" s="2" t="n">
        <v>2768</v>
      </c>
      <c r="B2769" s="2" t="inlineStr">
        <is>
          <t>короткая</t>
        </is>
      </c>
      <c r="C2769" s="2" t="n">
        <v>8351</v>
      </c>
      <c r="D2769" s="3" t="inlineStr">
        <is>
          <t>Сказки русского леса</t>
        </is>
      </c>
      <c r="E2769" s="2" t="n">
        <v>1966</v>
      </c>
      <c r="F2769" s="2" t="inlineStr">
        <is>
          <t>телефильм</t>
        </is>
      </c>
      <c r="G2769" s="2" t="n"/>
      <c r="H2769" s="2" t="n">
        <v>290</v>
      </c>
      <c r="I2769" s="2" t="inlineStr"/>
      <c r="J2769" s="2" t="inlineStr"/>
      <c r="K2769" s="3" t="inlineStr">
        <is>
          <t>Телефильм. Самые яркие звезды советского кино и эстрады в новогоднюю ночь 1966 года по независящим от них причинам оказались в лесу! Артисты не подозревают, что попали в западню, на них объявлена охота, стоят капканы и расставлены ловушки. В роли охотников — Евгений Леонов и Олег Анофриев.</t>
        </is>
      </c>
      <c r="L2769" s="2" t="inlineStr">
        <is>
          <t>Кино_СССР сводный каталог.xlsx: список телефильмов</t>
        </is>
      </c>
      <c r="M2769" s="2">
        <f>HYPERLINK("https://ru.wikipedia.org/w/index.php?search=%D0%A1%D0%BA%D0%B0%D0%B7%D0%BA%D0%B8%20%D1%80%D1%83%D1%81%D1%81%D0%BA%D0%BE%D0%B3%D0%BE%20%D0%BB%D0%B5%D1%81%D0%B0%201966%20%D1%84%D0%B8%D0%BB%D1%8C%D0%BC","искать")</f>
        <v/>
      </c>
      <c r="N2769" s="3" t="n"/>
      <c r="O2769" s="2" t="n"/>
    </row>
    <row r="2770">
      <c r="A2770" s="2" t="n">
        <v>2769</v>
      </c>
      <c r="B2770" s="2" t="inlineStr">
        <is>
          <t>короткая</t>
        </is>
      </c>
      <c r="C2770" s="2" t="n">
        <v>8432</v>
      </c>
      <c r="D2770" s="3" t="inlineStr">
        <is>
          <t>Тайна, известная всем</t>
        </is>
      </c>
      <c r="E2770" s="2" t="n">
        <v>1981</v>
      </c>
      <c r="F2770" s="2" t="inlineStr">
        <is>
          <t>телефильм</t>
        </is>
      </c>
      <c r="G2770" s="2" t="n"/>
      <c r="H2770" s="2" t="n">
        <v>290</v>
      </c>
      <c r="I2770" s="2" t="inlineStr"/>
      <c r="J2770" s="2" t="inlineStr"/>
      <c r="K2770" s="3" t="inlineStr">
        <is>
          <t>Телефильм о том, как ребята из пионерского лагеря, находящегося на Черноморском побережье, пригласили отдыхавших поблизости известных актеров принять участие в спортивном празднике. Пионеры могут все! И карнавальные костюмы сделать из подручных материалов, и артистов на праздник раздобыть!</t>
        </is>
      </c>
      <c r="L2770" s="2" t="inlineStr">
        <is>
          <t>Кино_СССР сводный каталог.xlsx: список телефильмов</t>
        </is>
      </c>
      <c r="M2770" s="2">
        <f>HYPERLINK("https://ru.wikipedia.org/w/index.php?search=%D0%A2%D0%B0%D0%B9%D0%BD%D0%B0%2C%20%D0%B8%D0%B7%D0%B2%D0%B5%D1%81%D1%82%D0%BD%D0%B0%D1%8F%20%D0%B2%D1%81%D0%B5%D0%BC%201981%20%D1%84%D0%B8%D0%BB%D1%8C%D0%BC","искать")</f>
        <v/>
      </c>
      <c r="N2770" s="3" t="n"/>
      <c r="O2770" s="2" t="n"/>
    </row>
    <row r="2771">
      <c r="A2771" s="2" t="n">
        <v>2770</v>
      </c>
      <c r="B2771" s="2" t="inlineStr">
        <is>
          <t>короткая</t>
        </is>
      </c>
      <c r="C2771" s="2" t="n">
        <v>8754</v>
      </c>
      <c r="D2771" s="3" t="inlineStr">
        <is>
          <t>Как жить... без забот</t>
        </is>
      </c>
      <c r="E2771" s="2" t="n">
        <v>1984</v>
      </c>
      <c r="F2771" s="2" t="inlineStr">
        <is>
          <t>кинофильм</t>
        </is>
      </c>
      <c r="G2771" s="2" t="n"/>
      <c r="H2771" s="2" t="n">
        <v>290</v>
      </c>
      <c r="I2771" s="2" t="inlineStr"/>
      <c r="J2771" s="2" t="inlineStr"/>
      <c r="K2771" s="3" t="inlineStr">
        <is>
          <t>Гости ждут юбиляра. Радостное ожидание прерывается неприятными телефонными звонками, отрывающими хозяйку дома от праздничных забот. Она не оплатила вовремя коммунальные платежи. Рекламный фильм, рассказывающий о возможностях безналичной оплаты коммунальных услуг через сберегательную кассу.</t>
        </is>
      </c>
      <c r="L2771" s="2" t="inlineStr">
        <is>
          <t>Кино_СССР сводный каталог.xlsx: список фильмов (доп.)</t>
        </is>
      </c>
      <c r="M2771" s="2">
        <f>HYPERLINK("https://ru.wikipedia.org/w/index.php?search=%D0%9A%D0%B0%D0%BA%20%D0%B6%D0%B8%D1%82%D1%8C...%20%D0%B1%D0%B5%D0%B7%20%D0%B7%D0%B0%D0%B1%D0%BE%D1%82%201984%20%D1%84%D0%B8%D0%BB%D1%8C%D0%BC","искать")</f>
        <v/>
      </c>
      <c r="N2771" s="3" t="n"/>
      <c r="O2771" s="2" t="n"/>
    </row>
    <row r="2772">
      <c r="A2772" s="2" t="n">
        <v>2771</v>
      </c>
      <c r="B2772" s="2" t="inlineStr">
        <is>
          <t>короткая</t>
        </is>
      </c>
      <c r="C2772" s="2" t="n">
        <v>8957</v>
      </c>
      <c r="D2772" s="3" t="inlineStr">
        <is>
          <t>Посвященный</t>
        </is>
      </c>
      <c r="E2772" s="2" t="n">
        <v>1989</v>
      </c>
      <c r="F2772" s="2" t="inlineStr">
        <is>
          <t>кинофильм</t>
        </is>
      </c>
      <c r="G2772" s="2" t="n"/>
      <c r="H2772" s="2" t="n">
        <v>290</v>
      </c>
      <c r="I2772" s="2" t="inlineStr"/>
      <c r="J2772" s="2" t="inlineStr"/>
      <c r="K2772" s="3" t="inlineStr">
        <is>
          <t>Молодой человек, став обладателем удивительного и странного дара - способности судить людей и карать их силой собственного духа, так и не воспользовался этим даром... В фильме звучит сюрреалистически-магнетическая музыка Сергея  Курехина, которой отводится важная роль в восприятии событий.</t>
        </is>
      </c>
      <c r="L2772" s="2" t="inlineStr">
        <is>
          <t>Кино_СССР сводный каталог.xlsx: список фильмов (доп.)</t>
        </is>
      </c>
      <c r="M2772" s="2">
        <f>HYPERLINK("https://ru.wikipedia.org/w/index.php?search=%D0%9F%D0%BE%D1%81%D0%B2%D1%8F%D1%89%D0%B5%D0%BD%D0%BD%D1%8B%D0%B9%201989%20%D1%84%D0%B8%D0%BB%D1%8C%D0%BC","искать")</f>
        <v/>
      </c>
      <c r="N2772" s="3" t="n"/>
      <c r="O2772" s="2" t="n"/>
    </row>
    <row r="2773">
      <c r="A2773" s="2" t="n">
        <v>2772</v>
      </c>
      <c r="B2773" s="2" t="inlineStr">
        <is>
          <t>короткая</t>
        </is>
      </c>
      <c r="C2773" s="2" t="n">
        <v>9388</v>
      </c>
      <c r="D2773" s="3" t="inlineStr">
        <is>
          <t>Идеальное преступление</t>
        </is>
      </c>
      <c r="E2773" s="2" t="n">
        <v>1989</v>
      </c>
      <c r="F2773" s="2" t="inlineStr">
        <is>
          <t>кинофильм</t>
        </is>
      </c>
      <c r="G2773" s="2" t="n"/>
      <c r="H2773" s="2" t="n">
        <v>290</v>
      </c>
      <c r="I2773" s="2" t="inlineStr"/>
      <c r="J2773" s="2" t="inlineStr"/>
      <c r="K2773" s="3" t="inlineStr">
        <is>
          <t>По мотивам романа З.Юрьева "Полная переделка". Фабриканта Ланса Гереро на основании неопровержимых доказательств обвиняют в убийстве девушки. Однако молодой адвокат Рондол еще надеется разоблачить преступников, занимающихся фабрикацией ложных улик, избавляя своих заказчиков от конкурентов.</t>
        </is>
      </c>
      <c r="L2773" s="2" t="inlineStr">
        <is>
          <t>Кино_СССР сводный каталог.xlsx: список фильмов (доп.)</t>
        </is>
      </c>
      <c r="M2773" s="2">
        <f>HYPERLINK("https://ru.wikipedia.org/w/index.php?search=%D0%98%D0%B4%D0%B5%D0%B0%D0%BB%D1%8C%D0%BD%D0%BE%D0%B5%20%D0%BF%D1%80%D0%B5%D1%81%D1%82%D1%83%D0%BF%D0%BB%D0%B5%D0%BD%D0%B8%D0%B5%201989%20%D1%84%D0%B8%D0%BB%D1%8C%D0%BC","искать")</f>
        <v/>
      </c>
      <c r="N2773" s="3" t="n"/>
      <c r="O2773" s="2" t="n"/>
    </row>
    <row r="2774">
      <c r="A2774" s="2" t="n">
        <v>2773</v>
      </c>
      <c r="B2774" s="2" t="inlineStr">
        <is>
          <t>короткая</t>
        </is>
      </c>
      <c r="C2774" s="2" t="n">
        <v>9389</v>
      </c>
      <c r="D2774" s="3" t="inlineStr">
        <is>
          <t>Из жизни Федора Кузькина</t>
        </is>
      </c>
      <c r="E2774" s="2" t="n">
        <v>1989</v>
      </c>
      <c r="F2774" s="2" t="inlineStr">
        <is>
          <t>кинофильм</t>
        </is>
      </c>
      <c r="G2774" s="2" t="n"/>
      <c r="H2774" s="2" t="n">
        <v>290</v>
      </c>
      <c r="I2774" s="2" t="inlineStr"/>
      <c r="J2774" s="2" t="inlineStr"/>
      <c r="K2774" s="3" t="inlineStr">
        <is>
          <t>По повести Бориса Можаева "Живой". Федор Кузькин - крестьянин. Он один из тех, чья молодость пришлась на самые тяжелые годы - тридцатые и сороковые. И вот, старый Кузькин решает стать если не фермером, то уж во всяком случае - единоличником. Оказывается, что его настоящие беды еще впереди.</t>
        </is>
      </c>
      <c r="L2774" s="2" t="inlineStr">
        <is>
          <t>Кино_СССР сводный каталог.xlsx: список фильмов (доп.)</t>
        </is>
      </c>
      <c r="M2774" s="2">
        <f>HYPERLINK("https://ru.wikipedia.org/w/index.php?search=%D0%98%D0%B7%20%D0%B6%D0%B8%D0%B7%D0%BD%D0%B8%20%D0%A4%D0%B5%D0%B4%D0%BE%D1%80%D0%B0%20%D0%9A%D1%83%D0%B7%D1%8C%D0%BA%D0%B8%D0%BD%D0%B0%201989%20%D1%84%D0%B8%D0%BB%D1%8C%D0%BC","искать")</f>
        <v/>
      </c>
      <c r="N2774" s="3" t="n"/>
      <c r="O2774" s="2" t="n"/>
    </row>
    <row r="2775">
      <c r="A2775" s="2" t="n">
        <v>2774</v>
      </c>
      <c r="B2775" s="2" t="inlineStr">
        <is>
          <t>короткая</t>
        </is>
      </c>
      <c r="C2775" s="2" t="n">
        <v>9617</v>
      </c>
      <c r="D2775" s="3" t="inlineStr">
        <is>
          <t>Расстанемся — пока хорошие</t>
        </is>
      </c>
      <c r="E2775" s="2" t="n">
        <v>1991</v>
      </c>
      <c r="F2775" s="2" t="inlineStr">
        <is>
          <t>кинофильм</t>
        </is>
      </c>
      <c r="G2775" s="2" t="n"/>
      <c r="H2775" s="2" t="n">
        <v>290</v>
      </c>
      <c r="I2775" s="2" t="inlineStr"/>
      <c r="J2775" s="2" t="inlineStr"/>
      <c r="K2775" s="3" t="inlineStr">
        <is>
          <t>По мотивам рассказа Фазиля Искандера "Дудка старого Хасана". В основе сюжета - трагическая гибель крестьянина, ставшего абреком. `Расстанемся - пока хорошие`, - говорит Баграт крестьянам, укрывшим его, истекающего кровью, от преследователей. Расстанемся, пока ни один из вас меня не предал.</t>
        </is>
      </c>
      <c r="L2775" s="2" t="inlineStr">
        <is>
          <t>Кино_СССР сводный каталог.xlsx: список фильмов (доп.)</t>
        </is>
      </c>
      <c r="M2775" s="2">
        <f>HYPERLINK("https://ru.wikipedia.org/w/index.php?search=%D0%A0%D0%B0%D1%81%D1%81%D1%82%D0%B0%D0%BD%D0%B5%D0%BC%D1%81%D1%8F%20%E2%80%94%20%D0%BF%D0%BE%D0%BA%D0%B0%20%D1%85%D0%BE%D1%80%D0%BE%D1%88%D0%B8%D0%B5%201991%20%D1%84%D0%B8%D0%BB%D1%8C%D0%BC","искать")</f>
        <v/>
      </c>
      <c r="N2775" s="3" t="n"/>
      <c r="O2775" s="2" t="n"/>
    </row>
    <row r="2776">
      <c r="A2776" s="2" t="n">
        <v>2775</v>
      </c>
      <c r="B2776" s="2" t="inlineStr">
        <is>
          <t>короткая</t>
        </is>
      </c>
      <c r="C2776" s="2" t="n">
        <v>9695</v>
      </c>
      <c r="D2776" s="3" t="inlineStr">
        <is>
          <t>Трагедия в стиле рок</t>
        </is>
      </c>
      <c r="E2776" s="2" t="n">
        <v>1988</v>
      </c>
      <c r="F2776" s="2" t="inlineStr">
        <is>
          <t>кинофильм</t>
        </is>
      </c>
      <c r="G2776" s="2" t="n"/>
      <c r="H2776" s="2" t="n">
        <v>290</v>
      </c>
      <c r="I2776" s="2" t="inlineStr"/>
      <c r="J2776" s="2" t="inlineStr"/>
      <c r="K2776" s="3" t="inlineStr">
        <is>
          <t>Авантюрист и делец, ловко подстраиваясь под "шестидесятников" и любящего отца, разоблачен на скамье подсудимых. На прощанье он успевает сыну сказать: "Я ни в чем не виноват...". Но сыну этот выкрик не понятен. Попав из здания суда на солнечный свет, подросток сразу попадает в руки Бритого.</t>
        </is>
      </c>
      <c r="L2776" s="2" t="inlineStr">
        <is>
          <t>Кино_СССР сводный каталог.xlsx: список фильмов (доп.)</t>
        </is>
      </c>
      <c r="M2776" s="2">
        <f>HYPERLINK("https://ru.wikipedia.org/w/index.php?search=%D0%A2%D1%80%D0%B0%D0%B3%D0%B5%D0%B4%D0%B8%D1%8F%20%D0%B2%20%D1%81%D1%82%D0%B8%D0%BB%D0%B5%20%D1%80%D0%BE%D0%BA%201988%20%D1%84%D0%B8%D0%BB%D1%8C%D0%BC","искать")</f>
        <v/>
      </c>
      <c r="N2776" s="3" t="n"/>
      <c r="O2776" s="2" t="n"/>
    </row>
    <row r="2777">
      <c r="A2777" s="2" t="n">
        <v>2776</v>
      </c>
      <c r="B2777" s="2" t="inlineStr">
        <is>
          <t>короткая</t>
        </is>
      </c>
      <c r="C2777" s="2" t="n">
        <v>10903</v>
      </c>
      <c r="D2777" s="3" t="inlineStr">
        <is>
          <t>Предел возможного</t>
        </is>
      </c>
      <c r="E2777" s="2" t="n">
        <v>1981</v>
      </c>
      <c r="F2777" s="2" t="inlineStr">
        <is>
          <t>фильм-спектакль</t>
        </is>
      </c>
      <c r="G2777" s="2" t="n"/>
      <c r="H2777" s="2" t="n">
        <v>290</v>
      </c>
      <c r="I2777" s="2" t="inlineStr"/>
      <c r="J2777" s="2" t="inlineStr"/>
      <c r="K2777" s="3" t="inlineStr">
        <is>
          <t>Спектакль Ленинградского академического театра драмы им. А. С. Пушкина (Александринский театр) по одноименному роману И. Герасимова.
История жизни Игната Матвеевича Ремеза, прошедшего путь от молодого специалиста в годы ВОВ до руководителя крупного промышленного предприятия в мирное время.</t>
        </is>
      </c>
      <c r="L2777" s="2" t="inlineStr">
        <is>
          <t>https://www.kino-teatr.ru/teatr/movie/81659/annot/</t>
        </is>
      </c>
      <c r="M2777" s="2">
        <f>HYPERLINK("https://ru.wikipedia.org/w/index.php?search=%D0%9F%D1%80%D0%B5%D0%B4%D0%B5%D0%BB%20%D0%B2%D0%BE%D0%B7%D0%BC%D0%BE%D0%B6%D0%BD%D0%BE%D0%B3%D0%BE%201981%20%D1%84%D0%B8%D0%BB%D1%8C%D0%BC","искать")</f>
        <v/>
      </c>
      <c r="N2777" s="3" t="n"/>
      <c r="O2777" s="2" t="n"/>
    </row>
    <row r="2778">
      <c r="A2778" s="2" t="n">
        <v>2777</v>
      </c>
      <c r="B2778" s="2" t="inlineStr">
        <is>
          <t>короткая</t>
        </is>
      </c>
      <c r="C2778" s="2" t="n">
        <v>10922</v>
      </c>
      <c r="D2778" s="3" t="inlineStr">
        <is>
          <t>Уходя, оглянись...</t>
        </is>
      </c>
      <c r="E2778" s="2" t="n">
        <v>1981</v>
      </c>
      <c r="F2778" s="2" t="inlineStr">
        <is>
          <t>фильм-спектакль</t>
        </is>
      </c>
      <c r="G2778" s="2" t="inlineStr">
        <is>
          <t>ТО "Экран"</t>
        </is>
      </c>
      <c r="H2778" s="2" t="n">
        <v>290</v>
      </c>
      <c r="I2778" s="2" t="inlineStr"/>
      <c r="J2778" s="2" t="inlineStr"/>
      <c r="K2778" s="3" t="inlineStr">
        <is>
          <t>Телеспектакль по одноименной пьесе Э.Володарского.
В основе - спектакль МХАТ (постановка Е.Радомысленского).
О жизни рабочей семьи Крохиных. Действие охватывает первые послевоенные и 80-е годы.
Премьера во МХАТе состоялась в 1976 году, на телевидении фильм-спектакль был записан в 1981 году</t>
        </is>
      </c>
      <c r="L2778" s="2" t="inlineStr">
        <is>
          <t>https://www.kino-teatr.ru/teatr/movie/7505/annot/</t>
        </is>
      </c>
      <c r="M2778" s="2">
        <f>HYPERLINK("https://ru.wikipedia.org/w/index.php?search=%D0%A3%D1%85%D0%BE%D0%B4%D1%8F%2C%20%D0%BE%D0%B3%D0%BB%D1%8F%D0%BD%D0%B8%D1%81%D1%8C...%201981%20%D1%84%D0%B8%D0%BB%D1%8C%D0%BC","искать")</f>
        <v/>
      </c>
      <c r="N2778" s="3" t="n"/>
      <c r="O2778" s="2" t="n"/>
    </row>
    <row r="2779">
      <c r="A2779" s="2" t="n">
        <v>2778</v>
      </c>
      <c r="B2779" s="2" t="inlineStr">
        <is>
          <t>короткая</t>
        </is>
      </c>
      <c r="C2779" s="2" t="n">
        <v>11311</v>
      </c>
      <c r="D2779" s="3" t="inlineStr">
        <is>
          <t>Мудромер</t>
        </is>
      </c>
      <c r="E2779" s="2" t="n">
        <v>1990</v>
      </c>
      <c r="F2779" s="2" t="inlineStr">
        <is>
          <t>фильм-спектакль</t>
        </is>
      </c>
      <c r="G2779" s="2" t="inlineStr">
        <is>
          <t>Главная редакция литературно-художественных программ ЦТ</t>
        </is>
      </c>
      <c r="H2779" s="2" t="n">
        <v>290</v>
      </c>
      <c r="I2779" s="2" t="inlineStr"/>
      <c r="J2779" s="2" t="inlineStr"/>
      <c r="K2779" s="3" t="inlineStr">
        <is>
          <t>По одноименной пьесе Николая Матуковского в постановке Белорусского государственного академического театра имени Янки Купалы.
В министерство приходит изобретатель и предлагает аппарат, измеряющий степень глупости. На фоне этого в министерстве происходят различные бюрократические перипетии.</t>
        </is>
      </c>
      <c r="L2779" s="2" t="inlineStr">
        <is>
          <t>https://www.kino-teatr.ru/teatr/movie/81005/annot/</t>
        </is>
      </c>
      <c r="M2779" s="2">
        <f>HYPERLINK("https://ru.wikipedia.org/w/index.php?search=%D0%9C%D1%83%D0%B4%D1%80%D0%BE%D0%BC%D0%B5%D1%80%201990%20%D1%84%D0%B8%D0%BB%D1%8C%D0%BC","искать")</f>
        <v/>
      </c>
      <c r="N2779" s="3" t="n"/>
      <c r="O2779" s="2" t="n"/>
    </row>
    <row r="2780">
      <c r="A2780" s="2" t="n">
        <v>2779</v>
      </c>
      <c r="B2780" s="2" t="inlineStr">
        <is>
          <t>короткая</t>
        </is>
      </c>
      <c r="C2780" s="2" t="n">
        <v>7787</v>
      </c>
      <c r="D2780" s="3" t="inlineStr">
        <is>
          <t>Лев Гурыч Синичкин</t>
        </is>
      </c>
      <c r="E2780" s="2" t="n">
        <v>1974</v>
      </c>
      <c r="F2780" s="2" t="inlineStr">
        <is>
          <t>телефильм</t>
        </is>
      </c>
      <c r="G2780" s="2" t="n"/>
      <c r="H2780" s="2" t="n">
        <v>291</v>
      </c>
      <c r="I2780" s="2" t="inlineStr"/>
      <c r="J2780" s="2" t="inlineStr"/>
      <c r="K2780" s="3" t="inlineStr">
        <is>
          <t>Телефильм. Экранизация старого русского водевиля Д.Ленского (предыдущая киноверсия 1956г. - "На подмостках сцены" К.Юдина). Старый актер мечтает о главной роли для своей юной талантливой дочери. Однако ей противостоит могущественная примадонна труппы с ужасным характером и большими связями.</t>
        </is>
      </c>
      <c r="L2780" s="2" t="inlineStr">
        <is>
          <t>Кино_СССР сводный каталог.xlsx: список телефильмов</t>
        </is>
      </c>
      <c r="M2780" s="2">
        <f>HYPERLINK("https://ru.wikipedia.org/w/index.php?search=%D0%9B%D0%B5%D0%B2%20%D0%93%D1%83%D1%80%D1%8B%D1%87%20%D0%A1%D0%B8%D0%BD%D0%B8%D1%87%D0%BA%D0%B8%D0%BD%201974%20%D1%84%D0%B8%D0%BB%D1%8C%D0%BC","искать")</f>
        <v/>
      </c>
      <c r="N2780" s="3" t="n"/>
      <c r="O2780" s="2" t="n"/>
    </row>
    <row r="2781">
      <c r="A2781" s="2" t="n">
        <v>2780</v>
      </c>
      <c r="B2781" s="2" t="inlineStr">
        <is>
          <t>короткая</t>
        </is>
      </c>
      <c r="C2781" s="2" t="n">
        <v>7968</v>
      </c>
      <c r="D2781" s="3" t="inlineStr">
        <is>
          <t>Не хочу быть прохожим</t>
        </is>
      </c>
      <c r="E2781" s="2" t="n">
        <v>1987</v>
      </c>
      <c r="F2781" s="2" t="inlineStr">
        <is>
          <t>телефильм</t>
        </is>
      </c>
      <c r="G2781" s="2" t="n"/>
      <c r="H2781" s="2" t="n">
        <v>291</v>
      </c>
      <c r="I2781" s="2" t="inlineStr"/>
      <c r="J2781" s="2" t="inlineStr"/>
      <c r="K2781" s="3" t="inlineStr">
        <is>
          <t>По мотивам одноименной повести Наримана Джумаева. Окончив восемь классов Ашхабадской школы, Байрам Овезов наперекор матери принимает решение вернуться в шахтерский город Гаурдак, где живет его дед и где работал его отец. Байрам поступает на учебу в ПТУ, чтобы унаследовать профессию горняка.</t>
        </is>
      </c>
      <c r="L2781" s="2" t="inlineStr">
        <is>
          <t>Кино_СССР сводный каталог.xlsx: список телефильмов</t>
        </is>
      </c>
      <c r="M2781" s="2">
        <f>HYPERLINK("https://ru.wikipedia.org/w/index.php?search=%D0%9D%D0%B5%20%D1%85%D0%BE%D1%87%D1%83%20%D0%B1%D1%8B%D1%82%D1%8C%20%D0%BF%D1%80%D0%BE%D1%85%D0%BE%D0%B6%D0%B8%D0%BC%201987%20%D1%84%D0%B8%D0%BB%D1%8C%D0%BC","искать")</f>
        <v/>
      </c>
      <c r="N2781" s="3" t="n"/>
      <c r="O2781" s="2" t="n"/>
    </row>
    <row r="2782">
      <c r="A2782" s="2" t="n">
        <v>2781</v>
      </c>
      <c r="B2782" s="2" t="inlineStr">
        <is>
          <t>короткая</t>
        </is>
      </c>
      <c r="C2782" s="2" t="n">
        <v>8115</v>
      </c>
      <c r="D2782" s="3" t="inlineStr">
        <is>
          <t>Плач перепёлки</t>
        </is>
      </c>
      <c r="E2782" s="2" t="n">
        <v>1990</v>
      </c>
      <c r="F2782" s="2" t="inlineStr">
        <is>
          <t>телефильм</t>
        </is>
      </c>
      <c r="G2782" s="2" t="n"/>
      <c r="H2782" s="2" t="n">
        <v>291</v>
      </c>
      <c r="I2782" s="2" t="inlineStr"/>
      <c r="J2782" s="2" t="inlineStr"/>
      <c r="K2782" s="3" t="inlineStr">
        <is>
          <t>Телесериал по мотивам романов Ивана Чигринова "Плач перепелки", "Оправдание крови", "Свои и чужие". Фильм о первых месяцах Великой Отечественной войны. Герои фильма - веремейковцы, жители небольшой деревни, что затерялась среди белорусских лесов. Летом 1941 года эхо войны докатилось и сюда.</t>
        </is>
      </c>
      <c r="L2782" s="2" t="inlineStr">
        <is>
          <t>Кино_СССР сводный каталог.xlsx: список телефильмов</t>
        </is>
      </c>
      <c r="M2782" s="2">
        <f>HYPERLINK("https://ru.wikipedia.org/w/index.php?search=%D0%9F%D0%BB%D0%B0%D1%87%20%D0%BF%D0%B5%D1%80%D0%B5%D0%BF%D1%91%D0%BB%D0%BA%D0%B8%201990%20%D1%84%D0%B8%D0%BB%D1%8C%D0%BC","искать")</f>
        <v/>
      </c>
      <c r="N2782" s="3" t="n"/>
      <c r="O2782" s="2" t="n"/>
    </row>
    <row r="2783">
      <c r="A2783" s="2" t="n">
        <v>2782</v>
      </c>
      <c r="B2783" s="2" t="inlineStr">
        <is>
          <t>короткая</t>
        </is>
      </c>
      <c r="C2783" s="2" t="n">
        <v>8126</v>
      </c>
      <c r="D2783" s="3" t="inlineStr">
        <is>
          <t>Побег</t>
        </is>
      </c>
      <c r="E2783" s="2" t="n">
        <v>1988</v>
      </c>
      <c r="F2783" s="2" t="inlineStr">
        <is>
          <t>телефильм</t>
        </is>
      </c>
      <c r="G2783" s="2" t="n"/>
      <c r="H2783" s="2" t="n">
        <v>291</v>
      </c>
      <c r="I2783" s="2" t="inlineStr"/>
      <c r="J2783" s="2" t="inlineStr"/>
      <c r="K2783" s="3" t="inlineStr">
        <is>
          <t>По мотивам романа Лейфа Пандуро "Датчанин Ферн". Показана жизнь человека, потерявшего память после автомобильной аварии. Человек как бы рождается заново. Но новая жизнь не приносит герою счастья. Прекрасно воспитанный, с хорошими манерами он спрашивает своего друга "Каким я был человеком?".</t>
        </is>
      </c>
      <c r="L2783" s="2" t="inlineStr">
        <is>
          <t>Кино_СССР сводный каталог.xlsx: список телефильмов</t>
        </is>
      </c>
      <c r="M2783" s="2">
        <f>HYPERLINK("https://ru.wikipedia.org/w/index.php?search=%D0%9F%D0%BE%D0%B1%D0%B5%D0%B3%201988%20%D1%84%D0%B8%D0%BB%D1%8C%D0%BC","искать")</f>
        <v/>
      </c>
      <c r="N2783" s="3" t="n"/>
      <c r="O2783" s="2" t="n"/>
    </row>
    <row r="2784">
      <c r="A2784" s="2" t="n">
        <v>2783</v>
      </c>
      <c r="B2784" s="2" t="inlineStr">
        <is>
          <t>короткая</t>
        </is>
      </c>
      <c r="C2784" s="2" t="n">
        <v>8262</v>
      </c>
      <c r="D2784" s="3" t="inlineStr">
        <is>
          <t>Рассказ бывалого пилота</t>
        </is>
      </c>
      <c r="E2784" s="2" t="n">
        <v>1984</v>
      </c>
      <c r="F2784" s="2" t="inlineStr">
        <is>
          <t>телефильм</t>
        </is>
      </c>
      <c r="G2784" s="2" t="n"/>
      <c r="H2784" s="2" t="n">
        <v>291</v>
      </c>
      <c r="I2784" s="2" t="inlineStr"/>
      <c r="J2784" s="2" t="inlineStr"/>
      <c r="K2784" s="3" t="inlineStr">
        <is>
          <t>Телефильм. По вине неземного злодея рейсовый самолет землян застревает в облаках. Таинственный пришелец, замысливший разобщить пассажиров, предлагает каждому свой способ спасения. Но пассажиры отвергают его предложения, и совместными усилиями находят блестящий выход из создавшейся ситуации.</t>
        </is>
      </c>
      <c r="L2784" s="2" t="inlineStr">
        <is>
          <t>Кино_СССР сводный каталог.xlsx: список телефильмов</t>
        </is>
      </c>
      <c r="M2784" s="2">
        <f>HYPERLINK("https://ru.wikipedia.org/w/index.php?search=%D0%A0%D0%B0%D1%81%D1%81%D0%BA%D0%B0%D0%B7%20%D0%B1%D1%8B%D0%B2%D0%B0%D0%BB%D0%BE%D0%B3%D0%BE%20%D0%BF%D0%B8%D0%BB%D0%BE%D1%82%D0%B0%201984%20%D1%84%D0%B8%D0%BB%D1%8C%D0%BC","искать")</f>
        <v/>
      </c>
      <c r="N2784" s="3" t="n"/>
      <c r="O2784" s="2" t="n"/>
    </row>
    <row r="2785">
      <c r="A2785" s="2" t="n">
        <v>2784</v>
      </c>
      <c r="B2785" s="2" t="inlineStr">
        <is>
          <t>короткая</t>
        </is>
      </c>
      <c r="C2785" s="2" t="n">
        <v>8419</v>
      </c>
      <c r="D2785" s="3" t="inlineStr">
        <is>
          <t>Султан Бейбарс</t>
        </is>
      </c>
      <c r="E2785" s="2" t="n">
        <v>1989</v>
      </c>
      <c r="F2785" s="2" t="inlineStr">
        <is>
          <t>телефильм</t>
        </is>
      </c>
      <c r="G2785" s="2" t="n"/>
      <c r="H2785" s="2" t="n">
        <v>291</v>
      </c>
      <c r="I2785" s="2" t="inlineStr"/>
      <c r="J2785" s="2" t="inlineStr"/>
      <c r="K2785" s="3" t="inlineStr">
        <is>
          <t>По мотивам повести Мориса Симашко "Емшан". Вторая часть дилогии. XIII век. Султан Бейбарс - правитель Египта, имеющий самый большой флот на Средиземном море, сокрушивший войска крестоносцев и орды монголов, вспоминает о жизненном пути, который он прошел прежде чем взойти на трон повелителя.</t>
        </is>
      </c>
      <c r="L2785" s="2" t="inlineStr">
        <is>
          <t>Кино_СССР сводный каталог.xlsx: список телефильмов</t>
        </is>
      </c>
      <c r="M2785" s="2">
        <f>HYPERLINK("https://ru.wikipedia.org/w/index.php?search=%D0%A1%D1%83%D0%BB%D1%82%D0%B0%D0%BD%20%D0%91%D0%B5%D0%B9%D0%B1%D0%B0%D1%80%D1%81%201989%20%D1%84%D0%B8%D0%BB%D1%8C%D0%BC","искать")</f>
        <v/>
      </c>
      <c r="N2785" s="3" t="n"/>
      <c r="O2785" s="2" t="n"/>
    </row>
    <row r="2786">
      <c r="A2786" s="2" t="n">
        <v>2785</v>
      </c>
      <c r="B2786" s="2" t="inlineStr">
        <is>
          <t>короткая</t>
        </is>
      </c>
      <c r="C2786" s="2" t="n">
        <v>8597</v>
      </c>
      <c r="D2786" s="3" t="inlineStr">
        <is>
          <t>Это было за Нарвской заставой</t>
        </is>
      </c>
      <c r="E2786" s="2" t="n">
        <v>1981</v>
      </c>
      <c r="F2786" s="2" t="inlineStr">
        <is>
          <t>телефильм</t>
        </is>
      </c>
      <c r="G2786" s="2" t="n"/>
      <c r="H2786" s="2" t="n">
        <v>291</v>
      </c>
      <c r="I2786" s="2" t="inlineStr"/>
      <c r="J2786" s="2" t="inlineStr"/>
      <c r="K2786" s="3" t="inlineStr">
        <is>
          <t>По мотивам оперетты Г.Свиридова “Огоньки”. В Петербурге за Нарвской заставой большое волнение - появился революционер Нечаев, который будет настраивать рабочих на борьбу. Ни околоточный, ни филер, ни владелец кабака - никто не знает, как он выглядит. Но все решительно настроены поймать его.</t>
        </is>
      </c>
      <c r="L2786" s="2" t="inlineStr">
        <is>
          <t>Кино_СССР сводный каталог.xlsx: список телефильмов</t>
        </is>
      </c>
      <c r="M2786" s="2">
        <f>HYPERLINK("https://ru.wikipedia.org/w/index.php?search=%D0%AD%D1%82%D0%BE%20%D0%B1%D1%8B%D0%BB%D0%BE%20%D0%B7%D0%B0%20%D0%9D%D0%B0%D1%80%D0%B2%D1%81%D0%BA%D0%BE%D0%B9%20%D0%B7%D0%B0%D1%81%D1%82%D0%B0%D0%B2%D0%BE%D0%B9%201981%20%D1%84%D0%B8%D0%BB%D1%8C%D0%BC","искать")</f>
        <v/>
      </c>
      <c r="N2786" s="3" t="n"/>
      <c r="O2786" s="2" t="n"/>
    </row>
    <row r="2787">
      <c r="A2787" s="2" t="n">
        <v>2786</v>
      </c>
      <c r="B2787" s="2" t="inlineStr">
        <is>
          <t>короткая</t>
        </is>
      </c>
      <c r="C2787" s="2" t="n">
        <v>9000</v>
      </c>
      <c r="D2787" s="3" t="inlineStr">
        <is>
          <t>Пьющие кровь</t>
        </is>
      </c>
      <c r="E2787" s="2" t="n">
        <v>1991</v>
      </c>
      <c r="F2787" s="2" t="inlineStr">
        <is>
          <t>кинофильм</t>
        </is>
      </c>
      <c r="G2787" s="2" t="n"/>
      <c r="H2787" s="2" t="n">
        <v>291</v>
      </c>
      <c r="I2787" s="2" t="inlineStr"/>
      <c r="J2787" s="2" t="inlineStr"/>
      <c r="K2787" s="3" t="inlineStr">
        <is>
          <t>Экранизация произведения Алексея Константиновича Толстого "Упырь". Фильм легких ужасов с любовным сюжетом. На балу молодому князю Руневскому приглянулась Даша, племянница помещиков Сугробиных. Будучи приглашенным к ним в имение, Руневский не догадывался, что все родственники Даши - вампиры.</t>
        </is>
      </c>
      <c r="L2787" s="2" t="inlineStr">
        <is>
          <t>Кино_СССР сводный каталог.xlsx: список фильмов (доп.)</t>
        </is>
      </c>
      <c r="M2787" s="2">
        <f>HYPERLINK("https://ru.wikipedia.org/w/index.php?search=%D0%9F%D1%8C%D1%8E%D1%89%D0%B8%D0%B5%20%D0%BA%D1%80%D0%BE%D0%B2%D1%8C%201991%20%D1%84%D0%B8%D0%BB%D1%8C%D0%BC","искать")</f>
        <v/>
      </c>
      <c r="N2787" s="3" t="n"/>
      <c r="O2787" s="2" t="n"/>
    </row>
    <row r="2788">
      <c r="A2788" s="2" t="n">
        <v>2787</v>
      </c>
      <c r="B2788" s="2" t="inlineStr">
        <is>
          <t>короткая</t>
        </is>
      </c>
      <c r="C2788" s="2" t="n">
        <v>9111</v>
      </c>
      <c r="D2788" s="3" t="inlineStr">
        <is>
          <t>Три лимона для любимой</t>
        </is>
      </c>
      <c r="E2788" s="2" t="n">
        <v>1987</v>
      </c>
      <c r="F2788" s="2" t="inlineStr">
        <is>
          <t>кинофильм</t>
        </is>
      </c>
      <c r="G2788" s="2" t="n"/>
      <c r="H2788" s="2" t="n">
        <v>291</v>
      </c>
      <c r="I2788" s="2" t="inlineStr"/>
      <c r="J2788" s="2" t="inlineStr"/>
      <c r="K2788" s="3" t="inlineStr">
        <is>
          <t>По рассказу Николая Березовского с использованием фрагментов рассказа О.Генри "Персики". По дороге едет машина. Девушка причесывается глядя в зеркало. Это - Маша. Рядом ее муж Гриша читает ей книгу. Через несколько минут у Маши начинаются схватки. Гриша отвозит жену в роддом. Майский парад.</t>
        </is>
      </c>
      <c r="L2788" s="2" t="inlineStr">
        <is>
          <t>Кино_СССР сводный каталог.xlsx: список фильмов (доп.)</t>
        </is>
      </c>
      <c r="M2788" s="2">
        <f>HYPERLINK("https://ru.wikipedia.org/w/index.php?search=%D0%A2%D1%80%D0%B8%20%D0%BB%D0%B8%D0%BC%D0%BE%D0%BD%D0%B0%20%D0%B4%D0%BB%D1%8F%20%D0%BB%D1%8E%D0%B1%D0%B8%D0%BC%D0%BE%D0%B9%201987%20%D1%84%D0%B8%D0%BB%D1%8C%D0%BC","искать")</f>
        <v/>
      </c>
      <c r="N2788" s="3" t="n"/>
      <c r="O2788" s="2" t="n"/>
    </row>
    <row r="2789">
      <c r="A2789" s="2" t="n">
        <v>2788</v>
      </c>
      <c r="B2789" s="2" t="inlineStr">
        <is>
          <t>короткая</t>
        </is>
      </c>
      <c r="C2789" s="2" t="n">
        <v>9261</v>
      </c>
      <c r="D2789" s="3" t="inlineStr">
        <is>
          <t>В полосе прибоя</t>
        </is>
      </c>
      <c r="E2789" s="2" t="n">
        <v>1990</v>
      </c>
      <c r="F2789" s="2" t="inlineStr">
        <is>
          <t>кинофильм</t>
        </is>
      </c>
      <c r="G2789" s="2" t="n"/>
      <c r="H2789" s="2" t="n">
        <v>291</v>
      </c>
      <c r="I2789" s="2" t="inlineStr"/>
      <c r="J2789" s="2" t="inlineStr"/>
      <c r="K2789" s="3" t="inlineStr">
        <is>
          <t>По мотивам повести Анатолия Ромова "При невыясненных обстоятельствах". Осень 1989 года. Во время нападения на инкассаторов убивают милиционера приморского городка. Майор Ровнин, друг погибшего, прибывает из Москвы, чтобы расследовать дело. Помощь московского специалиста явно кому-то мешает.</t>
        </is>
      </c>
      <c r="L2789" s="2" t="inlineStr">
        <is>
          <t>Кино_СССР сводный каталог.xlsx: список фильмов (доп.)</t>
        </is>
      </c>
      <c r="M2789" s="2">
        <f>HYPERLINK("https://ru.wikipedia.org/w/index.php?search=%D0%92%20%D0%BF%D0%BE%D0%BB%D0%BE%D1%81%D0%B5%20%D0%BF%D1%80%D0%B8%D0%B1%D0%BE%D1%8F%201990%20%D1%84%D0%B8%D0%BB%D1%8C%D0%BC","искать")</f>
        <v/>
      </c>
      <c r="N2789" s="3" t="n"/>
      <c r="O2789" s="2" t="n"/>
    </row>
    <row r="2790">
      <c r="A2790" s="2" t="n">
        <v>2789</v>
      </c>
      <c r="B2790" s="2" t="inlineStr">
        <is>
          <t>короткая</t>
        </is>
      </c>
      <c r="C2790" s="2" t="n">
        <v>9656</v>
      </c>
      <c r="D2790" s="3" t="inlineStr">
        <is>
          <t>Собачий пир</t>
        </is>
      </c>
      <c r="E2790" s="2" t="n">
        <v>1990</v>
      </c>
      <c r="F2790" s="2" t="inlineStr">
        <is>
          <t>кинофильм</t>
        </is>
      </c>
      <c r="G2790" s="2" t="n"/>
      <c r="H2790" s="2" t="n">
        <v>291</v>
      </c>
      <c r="I2790" s="2" t="inlineStr"/>
      <c r="J2790" s="2" t="inlineStr"/>
      <c r="K2790" s="3" t="inlineStr">
        <is>
          <t>Героиня фильма, опустившаяся женщина по имени Жанна, работающая уборщицей привокзального туалета, мечтает встретить мужчину, ради которого она начнет новую, чистую жизнь. И такой мужчина - Аркадий появляется.Появилась надежда, но рождественская сказка закончилась трагедией для обоих героев.</t>
        </is>
      </c>
      <c r="L2790" s="2" t="inlineStr">
        <is>
          <t>Кино_СССР сводный каталог.xlsx: список фильмов (доп.)</t>
        </is>
      </c>
      <c r="M2790" s="2">
        <f>HYPERLINK("https://ru.wikipedia.org/w/index.php?search=%D0%A1%D0%BE%D0%B1%D0%B0%D1%87%D0%B8%D0%B9%20%D0%BF%D0%B8%D1%80%201990%20%D1%84%D0%B8%D0%BB%D1%8C%D0%BC","искать")</f>
        <v/>
      </c>
      <c r="N2790" s="3" t="n"/>
      <c r="O2790" s="2" t="n"/>
    </row>
    <row r="2791">
      <c r="A2791" s="2" t="n">
        <v>2790</v>
      </c>
      <c r="B2791" s="2" t="inlineStr">
        <is>
          <t>короткая</t>
        </is>
      </c>
      <c r="C2791" s="2" t="n">
        <v>9718</v>
      </c>
      <c r="D2791" s="3" t="inlineStr">
        <is>
          <t>Утреннее шоссе</t>
        </is>
      </c>
      <c r="E2791" s="2" t="n">
        <v>1988</v>
      </c>
      <c r="F2791" s="2" t="inlineStr">
        <is>
          <t>кинофильм</t>
        </is>
      </c>
      <c r="G2791" s="2" t="n"/>
      <c r="H2791" s="2" t="n">
        <v>291</v>
      </c>
      <c r="I2791" s="2" t="inlineStr"/>
      <c r="J2791" s="2" t="inlineStr"/>
      <c r="K2791" s="3" t="inlineStr">
        <is>
          <t>Детектив по мотивам одноименного романа Ильи Штемлера. Стремительным рывком врезается красная "Лада" в чёрный "Мерседес"... Взрыв, еще один, и вот уже огнем объяты обе машины, и только крики гибнущих людей еще звучат и звучат в ушах... Вы увидите эти кадры дважды. Теперь - кратко о главном.</t>
        </is>
      </c>
      <c r="L2791" s="2" t="inlineStr">
        <is>
          <t>Кино_СССР сводный каталог.xlsx: список фильмов (доп.)</t>
        </is>
      </c>
      <c r="M2791" s="2">
        <f>HYPERLINK("https://ru.wikipedia.org/w/index.php?search=%D0%A3%D1%82%D1%80%D0%B5%D0%BD%D0%BD%D0%B5%D0%B5%20%D1%88%D0%BE%D1%81%D1%81%D0%B5%201988%20%D1%84%D0%B8%D0%BB%D1%8C%D0%BC","искать")</f>
        <v/>
      </c>
      <c r="N2791" s="3" t="n"/>
      <c r="O2791" s="2" t="n"/>
    </row>
    <row r="2792">
      <c r="A2792" s="2" t="n">
        <v>2791</v>
      </c>
      <c r="B2792" s="2" t="inlineStr">
        <is>
          <t>короткая</t>
        </is>
      </c>
      <c r="C2792" s="2" t="n">
        <v>10112</v>
      </c>
      <c r="D2792" s="3" t="inlineStr">
        <is>
          <t>Очарованный странник</t>
        </is>
      </c>
      <c r="E2792" s="2" t="n">
        <v>1963</v>
      </c>
      <c r="F2792" s="2" t="inlineStr">
        <is>
          <t>фильм-спектакль</t>
        </is>
      </c>
      <c r="G2792" s="2" t="inlineStr">
        <is>
          <t>Ленинградское ТВ</t>
        </is>
      </c>
      <c r="H2792" s="2" t="n">
        <v>291</v>
      </c>
      <c r="I2792" s="2" t="inlineStr"/>
      <c r="J2792" s="2" t="inlineStr"/>
      <c r="K2792" s="3" t="inlineStr">
        <is>
          <t>Телеспектакль по повести Н.Лескова.
История жизни простого русского мужика Ивана Флягина, с честью вынесшего все тяготы и испытания судьбы, рассказанная им самим случайным попутчикам, поражает своей простотой и искренностью, граничащей с исповедью.
Руководитель цыганского хора - С. Сорокин.</t>
        </is>
      </c>
      <c r="L2792" s="2" t="inlineStr">
        <is>
          <t>https://www.kino-teatr.ru/teatr/movie/9082/annot/</t>
        </is>
      </c>
      <c r="M2792" s="2">
        <f>HYPERLINK("https://ru.wikipedia.org/w/index.php?search=%D0%9E%D1%87%D0%B0%D1%80%D0%BE%D0%B2%D0%B0%D0%BD%D0%BD%D1%8B%D0%B9%20%D1%81%D1%82%D1%80%D0%B0%D0%BD%D0%BD%D0%B8%D0%BA%201963%20%D1%84%D0%B8%D0%BB%D1%8C%D0%BC","искать")</f>
        <v/>
      </c>
      <c r="N2792" s="3" t="n"/>
      <c r="O2792" s="2" t="n"/>
    </row>
    <row r="2793">
      <c r="A2793" s="2" t="n">
        <v>2792</v>
      </c>
      <c r="B2793" s="2" t="inlineStr">
        <is>
          <t>короткая</t>
        </is>
      </c>
      <c r="C2793" s="2" t="n">
        <v>8282</v>
      </c>
      <c r="D2793" s="3" t="inlineStr">
        <is>
          <t>Рождённая революцией</t>
        </is>
      </c>
      <c r="E2793" s="2" t="n">
        <v>1974</v>
      </c>
      <c r="F2793" s="2" t="inlineStr">
        <is>
          <t>телефильм</t>
        </is>
      </c>
      <c r="G2793" s="2" t="n"/>
      <c r="H2793" s="2" t="n">
        <v>292</v>
      </c>
      <c r="I2793" s="2" t="inlineStr"/>
      <c r="J2793" s="2" t="inlineStr"/>
      <c r="K2793" s="3" t="inlineStr">
        <is>
          <t>Сериал рассказывает о первых днях и последующей деятельности советских правоохранительных органов от лица главного героя — сотрудника петроградской милиции Николая Кондратьева в период с 1917 по 1970-е годы. Молодой рабочий Путиловского завода Кондратьев по зову долга идёт работать в «угро».</t>
        </is>
      </c>
      <c r="L2793" s="2" t="inlineStr">
        <is>
          <t>Кино_СССР сводный каталог.xlsx: список телефильмов</t>
        </is>
      </c>
      <c r="M2793" s="2">
        <f>HYPERLINK("https://ru.wikipedia.org/w/index.php?search=%D0%A0%D0%BE%D0%B6%D0%B4%D1%91%D0%BD%D0%BD%D0%B0%D1%8F%20%D1%80%D0%B5%D0%B2%D0%BE%D0%BB%D1%8E%D1%86%D0%B8%D0%B5%D0%B9%201974%20%D1%84%D0%B8%D0%BB%D1%8C%D0%BC","искать")</f>
        <v/>
      </c>
      <c r="N2793" s="3" t="n"/>
      <c r="O2793" s="2" t="n"/>
    </row>
    <row r="2794">
      <c r="A2794" s="2" t="n">
        <v>2793</v>
      </c>
      <c r="B2794" s="2" t="inlineStr">
        <is>
          <t>короткая</t>
        </is>
      </c>
      <c r="C2794" s="2" t="n">
        <v>8902</v>
      </c>
      <c r="D2794" s="3" t="inlineStr">
        <is>
          <t>Осенний ветер</t>
        </is>
      </c>
      <c r="E2794" s="2" t="n">
        <v>1986</v>
      </c>
      <c r="F2794" s="2" t="inlineStr">
        <is>
          <t>кинофильм</t>
        </is>
      </c>
      <c r="G2794" s="2" t="n"/>
      <c r="H2794" s="2" t="n">
        <v>292</v>
      </c>
      <c r="I2794" s="2" t="inlineStr"/>
      <c r="J2794" s="2" t="inlineStr"/>
      <c r="K2794" s="3" t="inlineStr">
        <is>
          <t>По мотивам пьесы французского драматурга Жана Поля Венцеля "Далеко от Агонданжа". Действие происходит во Франции. Жорж и Мари на старости лет купили дом в сельской местности вдали от родного города. Но это не принесло им счастья. Медленно и монотонно протекал остаток жизни одиноких стариков.</t>
        </is>
      </c>
      <c r="L2794" s="2" t="inlineStr">
        <is>
          <t>Кино_СССР сводный каталог.xlsx: список фильмов (доп.)</t>
        </is>
      </c>
      <c r="M2794" s="2">
        <f>HYPERLINK("https://ru.wikipedia.org/w/index.php?search=%D0%9E%D1%81%D0%B5%D0%BD%D0%BD%D0%B8%D0%B9%20%D0%B2%D0%B5%D1%82%D0%B5%D1%80%201986%20%D1%84%D0%B8%D0%BB%D1%8C%D0%BC","искать")</f>
        <v/>
      </c>
      <c r="N2794" s="3" t="n"/>
      <c r="O2794" s="2" t="n"/>
    </row>
    <row r="2795">
      <c r="A2795" s="2" t="n">
        <v>2794</v>
      </c>
      <c r="B2795" s="2" t="inlineStr">
        <is>
          <t>короткая</t>
        </is>
      </c>
      <c r="C2795" s="2" t="n">
        <v>9069</v>
      </c>
      <c r="D2795" s="3" t="inlineStr">
        <is>
          <t>Стена</t>
        </is>
      </c>
      <c r="E2795" s="2" t="n">
        <v>1990</v>
      </c>
      <c r="F2795" s="2" t="inlineStr">
        <is>
          <t>кинофильм</t>
        </is>
      </c>
      <c r="G2795" s="2" t="n"/>
      <c r="H2795" s="2" t="n">
        <v>292</v>
      </c>
      <c r="I2795" s="2" t="inlineStr"/>
      <c r="J2795" s="2" t="inlineStr"/>
      <c r="K2795" s="3" t="inlineStr">
        <is>
          <t>Фильм "Стена" - перенесенная на грузинскую почву экранизация знаменитой экзистенциалистской повести Жана-Поля Сартра с тем же названием. Действие происходит в Грузии во время гражданской войны двадцатых годов. Чекисты пытаются узнать у Александра, где скрывается Леван, враг советской власти.</t>
        </is>
      </c>
      <c r="L2795" s="2" t="inlineStr">
        <is>
          <t>Кино_СССР сводный каталог.xlsx: список фильмов (доп.)</t>
        </is>
      </c>
      <c r="M2795" s="2">
        <f>HYPERLINK("https://ru.wikipedia.org/w/index.php?search=%D0%A1%D1%82%D0%B5%D0%BD%D0%B0%201990%20%D1%84%D0%B8%D0%BB%D1%8C%D0%BC","искать")</f>
        <v/>
      </c>
      <c r="N2795" s="3" t="n"/>
      <c r="O2795" s="2" t="n"/>
    </row>
    <row r="2796">
      <c r="A2796" s="2" t="n">
        <v>2795</v>
      </c>
      <c r="B2796" s="2" t="inlineStr">
        <is>
          <t>короткая</t>
        </is>
      </c>
      <c r="C2796" s="2" t="n">
        <v>9523</v>
      </c>
      <c r="D2796" s="3" t="inlineStr">
        <is>
          <t>Одна семья</t>
        </is>
      </c>
      <c r="E2796" s="2" t="n">
        <v>1943</v>
      </c>
      <c r="F2796" s="2" t="inlineStr">
        <is>
          <t>кинофильм</t>
        </is>
      </c>
      <c r="G2796" s="2" t="n"/>
      <c r="H2796" s="2" t="n">
        <v>292</v>
      </c>
      <c r="I2796" s="2" t="inlineStr"/>
      <c r="J2796" s="2" t="inlineStr"/>
      <c r="K2796" s="3" t="inlineStr">
        <is>
          <t>Боевой киносборник. О героических буднях жителей Баку в годы Великой Отечественной войны. Состоит их трех новелл, объединенных общим сюжетом: фронтовик-азербайджанец, оказавшийся в отпуске, попадает в русскую семью, приветливо встретившую его. Между героем и дочерью хозяев возникает чувство.</t>
        </is>
      </c>
      <c r="L2796" s="2" t="inlineStr">
        <is>
          <t>Кино_СССР сводный каталог.xlsx: список фильмов (доп.)</t>
        </is>
      </c>
      <c r="M2796" s="2">
        <f>HYPERLINK("https://ru.wikipedia.org/w/index.php?search=%D0%9E%D0%B4%D0%BD%D0%B0%20%D1%81%D0%B5%D0%BC%D1%8C%D1%8F%201943%20%D1%84%D0%B8%D0%BB%D1%8C%D0%BC","искать")</f>
        <v/>
      </c>
      <c r="N2796" s="3" t="n"/>
      <c r="O2796" s="2" t="n"/>
    </row>
    <row r="2797">
      <c r="A2797" s="2" t="n">
        <v>2796</v>
      </c>
      <c r="B2797" s="2" t="inlineStr">
        <is>
          <t>короткая</t>
        </is>
      </c>
      <c r="C2797" s="2" t="n">
        <v>11362</v>
      </c>
      <c r="D2797" s="3" t="inlineStr">
        <is>
          <t>Волшебный цветок</t>
        </is>
      </c>
      <c r="E2797" s="2" t="n">
        <v>1974</v>
      </c>
      <c r="F2797" s="2" t="inlineStr">
        <is>
          <t>фильм-опера/балет</t>
        </is>
      </c>
      <c r="G2797" s="2" t="n"/>
      <c r="H2797" s="2" t="n">
        <v>292</v>
      </c>
      <c r="I2797" s="2" t="inlineStr"/>
      <c r="J2797" s="2" t="inlineStr"/>
      <c r="K2797" s="3" t="inlineStr">
        <is>
          <t>Фильм-балет по мотивам классической поэмы Мирзо Бедиля "Комде и Модан". История трагической любви индийской танцовщицы Комде и таджикского певца и музыканта Модана. Танцовщица Комде - и лик и стать, Лишь дерзкой кисти гения понять. И в танце, так изяшна, так легка, Игривей озорного мотылька.</t>
        </is>
      </c>
      <c r="L2797" s="2" t="inlineStr">
        <is>
          <t>Кино_СССР телефильмы и пропуски включить в базу.xlsx</t>
        </is>
      </c>
      <c r="M2797" s="2">
        <f>HYPERLINK("https://ru.wikipedia.org/w/index.php?search=%D0%92%D0%BE%D0%BB%D1%88%D0%B5%D0%B1%D0%BD%D1%8B%D0%B9%20%D1%86%D0%B2%D0%B5%D1%82%D0%BE%D0%BA%201974%20%D1%84%D0%B8%D0%BB%D1%8C%D0%BC","искать")</f>
        <v/>
      </c>
      <c r="N2797" s="3" t="n"/>
      <c r="O2797" s="2" t="n"/>
    </row>
    <row r="2798">
      <c r="A2798" s="2" t="n">
        <v>2797</v>
      </c>
      <c r="B2798" s="2" t="inlineStr">
        <is>
          <t>короткая</t>
        </is>
      </c>
      <c r="C2798" s="2" t="n">
        <v>7824</v>
      </c>
      <c r="D2798" s="3" t="inlineStr">
        <is>
          <t>Льдина в тёплом море</t>
        </is>
      </c>
      <c r="E2798" s="2" t="n">
        <v>1983</v>
      </c>
      <c r="F2798" s="2" t="inlineStr">
        <is>
          <t>телефильм</t>
        </is>
      </c>
      <c r="G2798" s="2" t="n"/>
      <c r="H2798" s="2" t="n">
        <v>293</v>
      </c>
      <c r="I2798" s="2" t="inlineStr"/>
      <c r="J2798" s="2" t="inlineStr"/>
      <c r="K2798" s="3" t="inlineStr">
        <is>
          <t>Телефильм по мотивам повести Д. Алибекова "Зимние приключения". Старый ремонтник судоверфи усто-Назар вышел на работу после болезни. Там уже приготовились провожать старика на пенсию. Но усто-Назар смог убедить начальство в своей работоспособности, и поручили ему отремонтировать старый катер.</t>
        </is>
      </c>
      <c r="L2798" s="2" t="inlineStr">
        <is>
          <t>Кино_СССР сводный каталог.xlsx: список телефильмов</t>
        </is>
      </c>
      <c r="M2798" s="2">
        <f>HYPERLINK("https://ru.wikipedia.org/w/index.php?search=%D0%9B%D1%8C%D0%B4%D0%B8%D0%BD%D0%B0%20%D0%B2%20%D1%82%D1%91%D0%BF%D0%BB%D0%BE%D0%BC%20%D0%BC%D0%BE%D1%80%D0%B5%201983%20%D1%84%D0%B8%D0%BB%D1%8C%D0%BC","искать")</f>
        <v/>
      </c>
      <c r="N2798" s="3" t="n"/>
      <c r="O2798" s="2" t="n"/>
    </row>
    <row r="2799">
      <c r="A2799" s="2" t="n">
        <v>2798</v>
      </c>
      <c r="B2799" s="2" t="inlineStr">
        <is>
          <t>короткая</t>
        </is>
      </c>
      <c r="C2799" s="2" t="n">
        <v>8057</v>
      </c>
      <c r="D2799" s="3" t="inlineStr">
        <is>
          <t>Остров</t>
        </is>
      </c>
      <c r="E2799" s="2" t="n">
        <v>1989</v>
      </c>
      <c r="F2799" s="2" t="inlineStr">
        <is>
          <t>телефильм</t>
        </is>
      </c>
      <c r="G2799" s="2" t="n"/>
      <c r="H2799" s="2" t="n">
        <v>293</v>
      </c>
      <c r="I2799" s="2" t="inlineStr"/>
      <c r="J2799" s="2" t="inlineStr"/>
      <c r="K2799" s="3" t="inlineStr">
        <is>
          <t>События происходят на безлюдном острове, куда ранним утром теплоход высадил влюбленных Сашу и Риту. Здесь же появляются: чудаковатый Жора, молодой "Дед Мороз" и "Рыжий", который оказывается бывшим мужем Риты. Между Сашей и "Рыжим" возникает ссора, перешедшая в драку, где побеждает бывший муж.</t>
        </is>
      </c>
      <c r="L2799" s="2" t="inlineStr">
        <is>
          <t>Кино_СССР сводный каталог.xlsx: список телефильмов</t>
        </is>
      </c>
      <c r="M2799" s="2">
        <f>HYPERLINK("https://ru.wikipedia.org/w/index.php?search=%D0%9E%D1%81%D1%82%D1%80%D0%BE%D0%B2%201989%20%D1%84%D0%B8%D0%BB%D1%8C%D0%BC","искать")</f>
        <v/>
      </c>
      <c r="N2799" s="3" t="n"/>
      <c r="O2799" s="2" t="n"/>
    </row>
    <row r="2800">
      <c r="A2800" s="2" t="n">
        <v>2799</v>
      </c>
      <c r="B2800" s="2" t="inlineStr">
        <is>
          <t>короткая</t>
        </is>
      </c>
      <c r="C2800" s="2" t="n">
        <v>8422</v>
      </c>
      <c r="D2800" s="3" t="inlineStr">
        <is>
          <t>Сын полка</t>
        </is>
      </c>
      <c r="E2800" s="2" t="n">
        <v>1981</v>
      </c>
      <c r="F2800" s="2" t="inlineStr">
        <is>
          <t>телефильм</t>
        </is>
      </c>
      <c r="G2800" s="2" t="n"/>
      <c r="H2800" s="2" t="n">
        <v>293</v>
      </c>
      <c r="I2800" s="2" t="inlineStr"/>
      <c r="J2800" s="2" t="inlineStr"/>
      <c r="K2800" s="3" t="inlineStr">
        <is>
          <t>Телефильм по одноименному произведению В. Катаева. Лето 1943 года. Группа разведчиков артиллерийского дивизиона во время рейда по вражескому тылу натыкается на 12-тилетнего мальчишку. Разведчиков потрясает его вид -совершенно дикий, грязный, оборванный, злой и голодный - настоящий "волчонок".</t>
        </is>
      </c>
      <c r="L2800" s="2" t="inlineStr">
        <is>
          <t>Кино_СССР сводный каталог.xlsx: список телефильмов</t>
        </is>
      </c>
      <c r="M2800" s="2">
        <f>HYPERLINK("https://ru.wikipedia.org/w/index.php?search=%D0%A1%D1%8B%D0%BD%20%D0%BF%D0%BE%D0%BB%D0%BA%D0%B0%201981%20%D1%84%D0%B8%D0%BB%D1%8C%D0%BC","искать")</f>
        <v/>
      </c>
      <c r="N2800" s="3" t="n"/>
      <c r="O2800" s="2" t="n"/>
    </row>
    <row r="2801">
      <c r="A2801" s="2" t="n">
        <v>2800</v>
      </c>
      <c r="B2801" s="2" t="inlineStr">
        <is>
          <t>короткая</t>
        </is>
      </c>
      <c r="C2801" s="2" t="n">
        <v>8665</v>
      </c>
      <c r="D2801" s="3" t="inlineStr">
        <is>
          <t>Воля Вселенной</t>
        </is>
      </c>
      <c r="E2801" s="2" t="n">
        <v>1988</v>
      </c>
      <c r="F2801" s="2" t="inlineStr">
        <is>
          <t>кинофильм</t>
        </is>
      </c>
      <c r="G2801" s="2" t="inlineStr">
        <is>
          <t>«Беларусьфильм», Творческое объединение художественных фильмов</t>
        </is>
      </c>
      <c r="H2801" s="2" t="n">
        <v>293</v>
      </c>
      <c r="I2801" s="2" t="inlineStr"/>
      <c r="J2801" s="2" t="inlineStr"/>
      <c r="K2801" s="3" t="inlineStr">
        <is>
          <t>Семикласснику Диме предсказывают скорую гибель в аварии. А в воскресенье сосед-летчик предлагает мальчику слетать в Ленинград и обратно в пилотской кабине. Дима отправляет прощальное письмо Лене и назло неблагоприятному стечению обстоятельств и "воле Вселенной" принимает мужественное решение.</t>
        </is>
      </c>
      <c r="L2801" s="2" t="inlineStr">
        <is>
          <t>Кино_СССР сводный каталог.xlsx: список фильмов (доп.)</t>
        </is>
      </c>
      <c r="M2801" s="2">
        <f>HYPERLINK("https://ru.wikipedia.org/w/index.php?search=%D0%92%D0%BE%D0%BB%D1%8F%20%D0%92%D1%81%D0%B5%D0%BB%D0%B5%D0%BD%D0%BD%D0%BE%D0%B9%201988%20%D1%84%D0%B8%D0%BB%D1%8C%D0%BC","искать")</f>
        <v/>
      </c>
      <c r="N2801" s="3" t="n"/>
      <c r="O2801" s="2" t="n"/>
    </row>
    <row r="2802">
      <c r="A2802" s="2" t="n">
        <v>2801</v>
      </c>
      <c r="B2802" s="2" t="inlineStr">
        <is>
          <t>короткая</t>
        </is>
      </c>
      <c r="C2802" s="2" t="n">
        <v>8685</v>
      </c>
      <c r="D2802" s="3" t="inlineStr">
        <is>
          <t>Грань</t>
        </is>
      </c>
      <c r="E2802" s="2" t="n">
        <v>1989</v>
      </c>
      <c r="F2802" s="2" t="inlineStr">
        <is>
          <t>кинофильм</t>
        </is>
      </c>
      <c r="G2802" s="2" t="inlineStr">
        <is>
          <t>КАТАРСИС (Казахстан)</t>
        </is>
      </c>
      <c r="H2802" s="2" t="n">
        <v>293</v>
      </c>
      <c r="I2802" s="2" t="inlineStr"/>
      <c r="J2802" s="2" t="inlineStr"/>
      <c r="K2802" s="3" t="inlineStr">
        <is>
          <t>Пациенты врача-реаниматора Михайлова - люди, пытавшиеся покончить жизнь самоубийством. В больнице, где работает герой, часто бывает молодая журналистка-социолог Вероника. Наташа, жена Михайлова, догадывается, что муж влюблен в другую женщину. Она ревнует и все больше ощущает свое одиночество.</t>
        </is>
      </c>
      <c r="L2802" s="2" t="inlineStr">
        <is>
          <t>Кино_СССР сводный каталог.xlsx: список фильмов (доп.)</t>
        </is>
      </c>
      <c r="M2802" s="2">
        <f>HYPERLINK("https://ru.wikipedia.org/w/index.php?search=%D0%93%D1%80%D0%B0%D0%BD%D1%8C%201989%20%D1%84%D0%B8%D0%BB%D1%8C%D0%BC","искать")</f>
        <v/>
      </c>
      <c r="N2802" s="3" t="n"/>
      <c r="O2802" s="2" t="n"/>
    </row>
    <row r="2803">
      <c r="A2803" s="2" t="n">
        <v>2802</v>
      </c>
      <c r="B2803" s="2" t="inlineStr">
        <is>
          <t>короткая</t>
        </is>
      </c>
      <c r="C2803" s="2" t="n">
        <v>8752</v>
      </c>
      <c r="D2803" s="3" t="inlineStr">
        <is>
          <t>Казино</t>
        </is>
      </c>
      <c r="E2803" s="2" t="n">
        <v>1991</v>
      </c>
      <c r="F2803" s="2" t="inlineStr">
        <is>
          <t>кинофильм</t>
        </is>
      </c>
      <c r="G2803" s="2" t="n"/>
      <c r="H2803" s="2" t="n">
        <v>293</v>
      </c>
      <c r="I2803" s="2" t="inlineStr"/>
      <c r="J2803" s="2" t="inlineStr"/>
      <c r="K2803" s="3" t="inlineStr">
        <is>
          <t>По мотивам романа Д.Х.Чейза "Итак, моя милая..." Сюжет фильма развивается вокруг осуществления дерзкого плана ограбления богатого казино. Его разработал и возглавил изощренный негодяй Мейски. Ни он, ни его подручные, естественно, не брезгуют ничем, идут на любые ухищрения, вплоть до убийства.</t>
        </is>
      </c>
      <c r="L2803" s="2" t="inlineStr">
        <is>
          <t>Кино_СССР сводный каталог.xlsx: список фильмов (доп.)</t>
        </is>
      </c>
      <c r="M2803" s="2">
        <f>HYPERLINK("https://ru.wikipedia.org/w/index.php?search=%D0%9A%D0%B0%D0%B7%D0%B8%D0%BD%D0%BE%201991%20%D1%84%D0%B8%D0%BB%D1%8C%D0%BC","искать")</f>
        <v/>
      </c>
      <c r="N2803" s="3" t="n"/>
      <c r="O2803" s="2" t="n"/>
    </row>
    <row r="2804">
      <c r="A2804" s="2" t="n">
        <v>2803</v>
      </c>
      <c r="B2804" s="2" t="inlineStr">
        <is>
          <t>короткая</t>
        </is>
      </c>
      <c r="C2804" s="2" t="n">
        <v>8836</v>
      </c>
      <c r="D2804" s="3" t="inlineStr">
        <is>
          <t>Миленький ты мой...</t>
        </is>
      </c>
      <c r="E2804" s="2" t="n">
        <v>1991</v>
      </c>
      <c r="F2804" s="2" t="inlineStr">
        <is>
          <t>кинофильм</t>
        </is>
      </c>
      <c r="G2804" s="2" t="n"/>
      <c r="H2804" s="2" t="n">
        <v>293</v>
      </c>
      <c r="I2804" s="2" t="inlineStr"/>
      <c r="J2804" s="2" t="inlineStr"/>
      <c r="K2804" s="3" t="inlineStr">
        <is>
          <t>Попытки спившегося сорокалетнего актера Александра Никитина вернуться к творческой жизни терпят неудачу. От Александра ушла жена, но появились "друзья" для вечного запоя и похмелья. И в этой его странной жизни появляется ангел-спаситель в образе милой театралки из провинции - Жени Сундуковой.</t>
        </is>
      </c>
      <c r="L2804" s="2" t="inlineStr">
        <is>
          <t>Кино_СССР сводный каталог.xlsx: список фильмов (доп.)</t>
        </is>
      </c>
      <c r="M2804" s="2">
        <f>HYPERLINK("https://ru.wikipedia.org/w/index.php?search=%D0%9C%D0%B8%D0%BB%D0%B5%D0%BD%D1%8C%D0%BA%D0%B8%D0%B9%20%D1%82%D1%8B%20%D0%BC%D0%BE%D0%B9...%201991%20%D1%84%D0%B8%D0%BB%D1%8C%D0%BC","искать")</f>
        <v/>
      </c>
      <c r="N2804" s="3" t="n"/>
      <c r="O2804" s="2" t="n"/>
    </row>
    <row r="2805">
      <c r="A2805" s="2" t="n">
        <v>2804</v>
      </c>
      <c r="B2805" s="2" t="inlineStr">
        <is>
          <t>короткая</t>
        </is>
      </c>
      <c r="C2805" s="2" t="n">
        <v>9761</v>
      </c>
      <c r="D2805" s="3" t="inlineStr">
        <is>
          <t>Шаг</t>
        </is>
      </c>
      <c r="E2805" s="2" t="n">
        <v>1988</v>
      </c>
      <c r="F2805" s="2" t="inlineStr">
        <is>
          <t>кинофильм</t>
        </is>
      </c>
      <c r="G2805" s="2" t="n"/>
      <c r="H2805" s="2" t="n">
        <v>293</v>
      </c>
      <c r="I2805" s="2" t="inlineStr"/>
      <c r="J2805" s="2" t="inlineStr"/>
      <c r="K2805" s="3" t="inlineStr">
        <is>
          <t>Действие фильма происходит в Москве и Токио в 1959 году. Японская женщина Кейко, мать двоих детей, и советский ученый профессор-иммунолог Гусев, создатель вакцины против полиомиелита, вопреки бюрократическому сопротивлению чиновников обеих стран, добиваются отправки нового лекарства в Японию.</t>
        </is>
      </c>
      <c r="L2805" s="2" t="inlineStr">
        <is>
          <t>Кино_СССР сводный каталог.xlsx: список фильмов (доп.)</t>
        </is>
      </c>
      <c r="M2805" s="2">
        <f>HYPERLINK("https://ru.wikipedia.org/w/index.php?search=%D0%A8%D0%B0%D0%B3%201988%20%D1%84%D0%B8%D0%BB%D1%8C%D0%BC","искать")</f>
        <v/>
      </c>
      <c r="N2805" s="3" t="n"/>
      <c r="O2805" s="2" t="n"/>
    </row>
    <row r="2806">
      <c r="A2806" s="2" t="n">
        <v>2805</v>
      </c>
      <c r="B2806" s="2" t="inlineStr">
        <is>
          <t>короткая</t>
        </is>
      </c>
      <c r="C2806" s="2" t="n">
        <v>7459</v>
      </c>
      <c r="D2806" s="3" t="inlineStr">
        <is>
          <t>Гостья из будущего</t>
        </is>
      </c>
      <c r="E2806" s="2" t="n">
        <v>1984</v>
      </c>
      <c r="F2806" s="2" t="inlineStr">
        <is>
          <t>телефильм</t>
        </is>
      </c>
      <c r="G2806" s="2" t="n"/>
      <c r="H2806" s="2" t="n">
        <v>294</v>
      </c>
      <c r="I2806" s="2" t="inlineStr"/>
      <c r="J2806" s="2" t="inlineStr"/>
      <c r="K2806" s="3" t="inlineStr">
        <is>
          <t>Телесериал. Борьба с космическими пиратами, захватывающее путешествие во времени, знакомство с девочкой из будущего Алисой Селезнёвой — вот к чему привёл обычный поход за кефиром мальчика Колю из 6-Б класса. Фильм поставлен по мотивам фантастического романа Кира Булычёва "Сто лет тому вперёд".</t>
        </is>
      </c>
      <c r="L2806" s="2" t="inlineStr">
        <is>
          <t>Кино_СССР сводный каталог.xlsx: список телефильмов</t>
        </is>
      </c>
      <c r="M2806" s="2">
        <f>HYPERLINK("https://ru.wikipedia.org/w/index.php?search=%D0%93%D0%BE%D1%81%D1%82%D1%8C%D1%8F%20%D0%B8%D0%B7%20%D0%B1%D1%83%D0%B4%D1%83%D1%89%D0%B5%D0%B3%D0%BE%201984%20%D1%84%D0%B8%D0%BB%D1%8C%D0%BC","искать")</f>
        <v/>
      </c>
      <c r="N2806" s="3" t="n"/>
      <c r="O2806" s="2" t="n"/>
    </row>
    <row r="2807">
      <c r="A2807" s="2" t="n">
        <v>2806</v>
      </c>
      <c r="B2807" s="2" t="inlineStr">
        <is>
          <t>короткая</t>
        </is>
      </c>
      <c r="C2807" s="2" t="n">
        <v>7491</v>
      </c>
      <c r="D2807" s="3" t="inlineStr">
        <is>
          <t>Дезертир</t>
        </is>
      </c>
      <c r="E2807" s="2" t="n">
        <v>1989</v>
      </c>
      <c r="F2807" s="2" t="inlineStr">
        <is>
          <t>телефильм</t>
        </is>
      </c>
      <c r="G2807" s="2" t="n"/>
      <c r="H2807" s="2" t="n">
        <v>294</v>
      </c>
      <c r="I2807" s="2" t="inlineStr"/>
      <c r="J2807" s="2" t="inlineStr"/>
      <c r="K2807" s="3" t="inlineStr">
        <is>
          <t>По мотивам рассказа Булата Фидарова "У большака". Эта драматическая история происходит в Северной Осетии в годы Великой Отечественной войны. Во время боя с фашистами лейтенант Сослан был контужен и попал в плен. Домой приходит похоронка. Но он бежал из плена и прячется на чердаке родного дома.</t>
        </is>
      </c>
      <c r="L2807" s="2" t="inlineStr">
        <is>
          <t>Кино_СССР сводный каталог.xlsx: список телефильмов</t>
        </is>
      </c>
      <c r="M2807" s="2">
        <f>HYPERLINK("https://ru.wikipedia.org/w/index.php?search=%D0%94%D0%B5%D0%B7%D0%B5%D1%80%D1%82%D0%B8%D1%80%201989%20%D1%84%D0%B8%D0%BB%D1%8C%D0%BC","искать")</f>
        <v/>
      </c>
      <c r="N2807" s="3" t="n"/>
      <c r="O2807" s="2" t="n"/>
    </row>
    <row r="2808">
      <c r="A2808" s="2" t="n">
        <v>2807</v>
      </c>
      <c r="B2808" s="2" t="inlineStr">
        <is>
          <t>короткая</t>
        </is>
      </c>
      <c r="C2808" s="2" t="n">
        <v>7795</v>
      </c>
      <c r="D2808" s="3" t="inlineStr">
        <is>
          <t>Лес, в который ты никогда не войдёшь</t>
        </is>
      </c>
      <c r="E2808" s="2" t="n">
        <v>1978</v>
      </c>
      <c r="F2808" s="2" t="inlineStr">
        <is>
          <t>телефильм</t>
        </is>
      </c>
      <c r="G2808" s="2" t="n"/>
      <c r="H2808" s="2" t="n">
        <v>294</v>
      </c>
      <c r="I2808" s="2" t="inlineStr"/>
      <c r="J2808" s="2" t="inlineStr"/>
      <c r="K2808" s="3" t="inlineStr">
        <is>
          <t>Телефильм. Десятиклассники одной из городских школ приехали на двухнедельную практику в соседний леспромхоз. Вначале ребята чувствовали себя туристами. Но участие в посадке леса под руководством лесничего Юрия - настоящего энтузиаста своего дела, пробудило в них чувство любви к родной природе.</t>
        </is>
      </c>
      <c r="L2808" s="2" t="inlineStr">
        <is>
          <t>Кино_СССР сводный каталог.xlsx: список телефильмов</t>
        </is>
      </c>
      <c r="M2808" s="2">
        <f>HYPERLINK("https://ru.wikipedia.org/w/index.php?search=%D0%9B%D0%B5%D1%81%2C%20%D0%B2%20%D0%BA%D0%BE%D1%82%D0%BE%D1%80%D1%8B%D0%B9%20%D1%82%D1%8B%20%D0%BD%D0%B8%D0%BA%D0%BE%D0%B3%D0%B4%D0%B0%20%D0%BD%D0%B5%20%D0%B2%D0%BE%D0%B9%D0%B4%D1%91%D1%88%D1%8C%201978%20%D1%84%D0%B8%D0%BB%D1%8C%D0%BC","искать")</f>
        <v/>
      </c>
      <c r="N2808" s="3" t="n"/>
      <c r="O2808" s="2" t="n"/>
    </row>
    <row r="2809">
      <c r="A2809" s="2" t="n">
        <v>2808</v>
      </c>
      <c r="B2809" s="2" t="inlineStr">
        <is>
          <t>короткая</t>
        </is>
      </c>
      <c r="C2809" s="2" t="n">
        <v>8387</v>
      </c>
      <c r="D2809" s="3" t="inlineStr">
        <is>
          <t>Софья Петровна</t>
        </is>
      </c>
      <c r="E2809" s="2" t="n">
        <v>1989</v>
      </c>
      <c r="F2809" s="2" t="inlineStr">
        <is>
          <t>телефильм</t>
        </is>
      </c>
      <c r="G2809" s="2" t="inlineStr">
        <is>
          <t>Мосфильм</t>
        </is>
      </c>
      <c r="H2809" s="2" t="n">
        <v>294</v>
      </c>
      <c r="I2809" s="2" t="inlineStr"/>
      <c r="J2809" s="2" t="inlineStr"/>
      <c r="K2809" s="3" t="inlineStr">
        <is>
          <t>По одноименной повести Лидии Чуковской. Ленинград. Середина 30-х годов. Женщина с пустыми от горя глазами поднесла к пламени уголок письма. Бумага, уже успевшая отсыреть, вспыхнула не сразу, сопротивляясь, дымила. Строчка за строчкой обращались в пепел... «Милая мамочка... как-то ты поживаешь.</t>
        </is>
      </c>
      <c r="L2809" s="2" t="inlineStr">
        <is>
          <t>Кино_СССР сводный каталог.xlsx: список телефильмов</t>
        </is>
      </c>
      <c r="M2809" s="2">
        <f>HYPERLINK("https://ru.wikipedia.org/w/index.php?search=%D0%A1%D0%BE%D1%84%D1%8C%D1%8F%20%D0%9F%D0%B5%D1%82%D1%80%D0%BE%D0%B2%D0%BD%D0%B0%201989%20%D1%84%D0%B8%D0%BB%D1%8C%D0%BC","искать")</f>
        <v/>
      </c>
      <c r="N2809" s="3" t="n"/>
      <c r="O2809" s="2" t="n"/>
    </row>
    <row r="2810">
      <c r="A2810" s="2" t="n">
        <v>2809</v>
      </c>
      <c r="B2810" s="2" t="inlineStr">
        <is>
          <t>короткая</t>
        </is>
      </c>
      <c r="C2810" s="2" t="n">
        <v>8511</v>
      </c>
      <c r="D2810" s="3" t="inlineStr">
        <is>
          <t>Физики</t>
        </is>
      </c>
      <c r="E2810" s="2" t="n">
        <v>1988</v>
      </c>
      <c r="F2810" s="2" t="inlineStr">
        <is>
          <t>телефильм</t>
        </is>
      </c>
      <c r="G2810" s="2" t="inlineStr">
        <is>
          <t>Лентелефильм</t>
        </is>
      </c>
      <c r="H2810" s="2" t="n">
        <v>294</v>
      </c>
      <c r="I2810" s="2" t="inlineStr"/>
      <c r="J2810" s="2" t="inlineStr"/>
      <c r="K2810" s="3" t="inlineStr">
        <is>
          <t>По мотивам одноименной пьесы Фридриха Дюренматта (1965). В санатории под поэтическим названием "Вишневый сад" совершаются три убийства. Но инспектору полиции не приходится долго ломать голову в поисках убийц - ему известно практически все: кто, когда и как убит, кто убийцы, только вот причины.</t>
        </is>
      </c>
      <c r="L2810" s="2" t="inlineStr">
        <is>
          <t>Кино_СССР сводный каталог.xlsx: список телефильмов</t>
        </is>
      </c>
      <c r="M2810" s="2">
        <f>HYPERLINK("https://ru.wikipedia.org/w/index.php?search=%D0%A4%D0%B8%D0%B7%D0%B8%D0%BA%D0%B8%201988%20%D1%84%D0%B8%D0%BB%D1%8C%D0%BC","искать")</f>
        <v/>
      </c>
      <c r="N2810" s="3" t="n"/>
      <c r="O2810" s="2" t="n"/>
    </row>
    <row r="2811">
      <c r="A2811" s="2" t="n">
        <v>2810</v>
      </c>
      <c r="B2811" s="2" t="inlineStr">
        <is>
          <t>короткая</t>
        </is>
      </c>
      <c r="C2811" s="2" t="n">
        <v>8700</v>
      </c>
      <c r="D2811" s="3" t="inlineStr">
        <is>
          <t>Джокер</t>
        </is>
      </c>
      <c r="E2811" s="2" t="n">
        <v>1991</v>
      </c>
      <c r="F2811" s="2" t="inlineStr">
        <is>
          <t>кинофильм</t>
        </is>
      </c>
      <c r="G2811" s="2" t="n"/>
      <c r="H2811" s="2" t="n">
        <v>294</v>
      </c>
      <c r="I2811" s="2" t="inlineStr"/>
      <c r="J2811" s="2" t="inlineStr"/>
      <c r="K2811" s="3" t="inlineStr">
        <is>
          <t>В руки двух друзей-авантюристов попадает древний манускрипт. "Аристократ" Джокер и нечистый на руку Хрущ отправляются на поиски клада. За этими же сокровищами охотится хладнокровный и жестокий Капитан. Джокер и Хрущ пытаются действовать поодиночке, но лишь вдвоем им удается победить соперника.</t>
        </is>
      </c>
      <c r="L2811" s="2" t="inlineStr">
        <is>
          <t>Кино_СССР сводный каталог.xlsx: список фильмов (доп.)</t>
        </is>
      </c>
      <c r="M2811" s="2">
        <f>HYPERLINK("https://ru.wikipedia.org/w/index.php?search=%D0%94%D0%B6%D0%BE%D0%BA%D0%B5%D1%80%201991%20%D1%84%D0%B8%D0%BB%D1%8C%D0%BC","искать")</f>
        <v/>
      </c>
      <c r="N2811" s="3" t="n"/>
      <c r="O2811" s="2" t="n"/>
    </row>
    <row r="2812">
      <c r="A2812" s="2" t="n">
        <v>2811</v>
      </c>
      <c r="B2812" s="2" t="inlineStr">
        <is>
          <t>короткая</t>
        </is>
      </c>
      <c r="C2812" s="2" t="n">
        <v>8740</v>
      </c>
      <c r="D2812" s="3" t="inlineStr">
        <is>
          <t>Зять из провинции</t>
        </is>
      </c>
      <c r="E2812" s="2" t="n">
        <v>1987</v>
      </c>
      <c r="F2812" s="2" t="inlineStr">
        <is>
          <t>кинофильм</t>
        </is>
      </c>
      <c r="G2812" s="2" t="inlineStr">
        <is>
          <t>Казахфильм</t>
        </is>
      </c>
      <c r="H2812" s="2" t="n">
        <v>294</v>
      </c>
      <c r="I2812" s="2" t="inlineStr"/>
      <c r="J2812" s="2" t="inlineStr"/>
      <c r="K2812" s="3" t="inlineStr">
        <is>
          <t>Парень из аула по имени Есен женится на городской девушке, у которой родственники имеют определенное положение в обществе и входят в городскую элиту. Зятя новая семья и их друзья радушно принимают в свой клан и открывают перед ним двери в "другую жизнь", но Есену не нравится такой образ жизни.</t>
        </is>
      </c>
      <c r="L2812" s="2" t="inlineStr">
        <is>
          <t>Кино_СССР сводный каталог.xlsx: список фильмов (доп.)</t>
        </is>
      </c>
      <c r="M2812" s="2">
        <f>HYPERLINK("https://ru.wikipedia.org/w/index.php?search=%D0%97%D1%8F%D1%82%D1%8C%20%D0%B8%D0%B7%20%D0%BF%D1%80%D0%BE%D0%B2%D0%B8%D0%BD%D1%86%D0%B8%D0%B8%201987%20%D1%84%D0%B8%D0%BB%D1%8C%D0%BC","искать")</f>
        <v/>
      </c>
      <c r="N2812" s="3" t="n"/>
      <c r="O2812" s="2" t="n"/>
    </row>
    <row r="2813">
      <c r="A2813" s="2" t="n">
        <v>2812</v>
      </c>
      <c r="B2813" s="2" t="inlineStr">
        <is>
          <t>короткая</t>
        </is>
      </c>
      <c r="C2813" s="2" t="n">
        <v>8787</v>
      </c>
      <c r="D2813" s="3" t="inlineStr">
        <is>
          <t>Курица</t>
        </is>
      </c>
      <c r="E2813" s="2" t="n">
        <v>1991</v>
      </c>
      <c r="F2813" s="2" t="inlineStr">
        <is>
          <t>кинофильм</t>
        </is>
      </c>
      <c r="G2813" s="2" t="n"/>
      <c r="H2813" s="2" t="n">
        <v>294</v>
      </c>
      <c r="I2813" s="2" t="inlineStr"/>
      <c r="J2813" s="2" t="inlineStr"/>
      <c r="K2813" s="3" t="inlineStr">
        <is>
          <t>Герои этой комедии работают в провинциальном театре, что сказывается на их манерах в жизни. Алла, жена главного администратора, пришла к юной артисточке Ноне по прозвищу "Курица", чтобы "застукать" со своим мужем, но в постели с ней она находит главного режиссера, собравшегося на ней жениться.</t>
        </is>
      </c>
      <c r="L2813" s="2" t="inlineStr">
        <is>
          <t>Кино_СССР сводный каталог.xlsx: список фильмов (доп.)</t>
        </is>
      </c>
      <c r="M2813" s="2">
        <f>HYPERLINK("https://ru.wikipedia.org/w/index.php?search=%D0%9A%D1%83%D1%80%D0%B8%D1%86%D0%B0%201991%20%D1%84%D0%B8%D0%BB%D1%8C%D0%BC","искать")</f>
        <v/>
      </c>
      <c r="N2813" s="3" t="n"/>
      <c r="O2813" s="2" t="n"/>
    </row>
    <row r="2814">
      <c r="A2814" s="2" t="n">
        <v>2813</v>
      </c>
      <c r="B2814" s="2" t="inlineStr">
        <is>
          <t>короткая</t>
        </is>
      </c>
      <c r="C2814" s="2" t="n">
        <v>9166</v>
      </c>
      <c r="D2814" s="3" t="inlineStr">
        <is>
          <t>Чужой (киноальманах)</t>
        </is>
      </c>
      <c r="E2814" s="2" t="n">
        <v>1988</v>
      </c>
      <c r="F2814" s="2" t="inlineStr">
        <is>
          <t>кинофильм</t>
        </is>
      </c>
      <c r="G2814" s="2" t="n"/>
      <c r="H2814" s="2" t="n">
        <v>294</v>
      </c>
      <c r="I2814" s="2" t="inlineStr"/>
      <c r="J2814" s="2" t="inlineStr"/>
      <c r="K2814" s="3" t="inlineStr">
        <is>
          <t>Фильм в составе: "Пасхальный ягненок", "Чужой".Пришедший в деревню дурачок Ахаиду добротой и весельем покоряет всех жителей. Когда герой решает покинуть деревню, дети дарят ему на прощание барашка. Однако компания разгулявшихся горожан отбирает у него на шашлык подарок и затем убивает путника.</t>
        </is>
      </c>
      <c r="L2814" s="2" t="inlineStr">
        <is>
          <t>Кино_СССР сводный каталог.xlsx: список фильмов (доп.)</t>
        </is>
      </c>
      <c r="M2814" s="2">
        <f>HYPERLINK("https://ru.wikipedia.org/w/index.php?search=%D0%A7%D1%83%D0%B6%D0%BE%D0%B9%20%28%D0%BA%D0%B8%D0%BD%D0%BE%D0%B0%D0%BB%D1%8C%D0%BC%D0%B0%D0%BD%D0%B0%D1%85%29%201988%20%D1%84%D0%B8%D0%BB%D1%8C%D0%BC","искать")</f>
        <v/>
      </c>
      <c r="N2814" s="3" t="n"/>
      <c r="O2814" s="2" t="n"/>
    </row>
    <row r="2815">
      <c r="A2815" s="2" t="n">
        <v>2814</v>
      </c>
      <c r="B2815" s="2" t="inlineStr">
        <is>
          <t>короткая</t>
        </is>
      </c>
      <c r="C2815" s="2" t="n">
        <v>9593</v>
      </c>
      <c r="D2815" s="3" t="inlineStr">
        <is>
          <t>Пробуждение</t>
        </is>
      </c>
      <c r="E2815" s="2" t="n">
        <v>1989</v>
      </c>
      <c r="F2815" s="2" t="inlineStr">
        <is>
          <t>кинофильм</t>
        </is>
      </c>
      <c r="G2815" s="2" t="n"/>
      <c r="H2815" s="2" t="n">
        <v>294</v>
      </c>
      <c r="I2815" s="2" t="inlineStr"/>
      <c r="J2815" s="2" t="inlineStr"/>
      <c r="K2815" s="3" t="inlineStr">
        <is>
          <t>По мотивам пьесы Атанаса Шкемы. Казис, руководитель антисталинской группировки в Вильнюсе, оказывается в застенках НКВД. Его допрашивает бывший одноклассник Пиюс. Когда-то они оба любили Эляну, которая стала женой Казиса. А теперь Пиюс вырвал у судьбы шанс - и готов уничтожить счастливую пару.</t>
        </is>
      </c>
      <c r="L2815" s="2" t="inlineStr">
        <is>
          <t>Кино_СССР сводный каталог.xlsx: список фильмов (доп.)</t>
        </is>
      </c>
      <c r="M2815" s="2">
        <f>HYPERLINK("https://ru.wikipedia.org/w/index.php?search=%D0%9F%D1%80%D0%BE%D0%B1%D1%83%D0%B6%D0%B4%D0%B5%D0%BD%D0%B8%D0%B5%201989%20%D1%84%D0%B8%D0%BB%D1%8C%D0%BC","искать")</f>
        <v/>
      </c>
      <c r="N2815" s="3" t="n"/>
      <c r="O2815" s="2" t="n"/>
    </row>
    <row r="2816">
      <c r="A2816" s="2" t="n">
        <v>2815</v>
      </c>
      <c r="B2816" s="2" t="inlineStr">
        <is>
          <t>короткая</t>
        </is>
      </c>
      <c r="C2816" s="2" t="n">
        <v>9726</v>
      </c>
      <c r="D2816" s="3" t="inlineStr">
        <is>
          <t>Француз</t>
        </is>
      </c>
      <c r="E2816" s="2" t="n">
        <v>1988</v>
      </c>
      <c r="F2816" s="2" t="inlineStr">
        <is>
          <t>кинофильм</t>
        </is>
      </c>
      <c r="G2816" s="2" t="n"/>
      <c r="H2816" s="2" t="n">
        <v>294</v>
      </c>
      <c r="I2816" s="2" t="inlineStr"/>
      <c r="J2816" s="2" t="inlineStr"/>
      <c r="K2816" s="3" t="inlineStr">
        <is>
          <t>По мотивам книги Евгения Дубровина "В ожидании козы". Трагикомическая история приключений бывшего героя французского Сопротивления и двух его сыновей. Дети уже почти выросли и не помнят отца, жена собралась замуж за другого. Только искренняя любовь к своим близким помогает снова обрести семью.</t>
        </is>
      </c>
      <c r="L2816" s="2" t="inlineStr">
        <is>
          <t>Кино_СССР сводный каталог.xlsx: список фильмов (доп.)</t>
        </is>
      </c>
      <c r="M2816" s="2">
        <f>HYPERLINK("https://ru.wikipedia.org/w/index.php?search=%D0%A4%D1%80%D0%B0%D0%BD%D1%86%D1%83%D0%B7%201988%20%D1%84%D0%B8%D0%BB%D1%8C%D0%BC","искать")</f>
        <v/>
      </c>
      <c r="N2816" s="3" t="n"/>
      <c r="O2816" s="2" t="n"/>
    </row>
    <row r="2817">
      <c r="A2817" s="2" t="n">
        <v>2816</v>
      </c>
      <c r="B2817" s="2" t="inlineStr">
        <is>
          <t>короткая</t>
        </is>
      </c>
      <c r="C2817" s="2" t="n">
        <v>10439</v>
      </c>
      <c r="D2817" s="3" t="inlineStr">
        <is>
          <t>Доктор Жуков, на выезд!</t>
        </is>
      </c>
      <c r="E2817" s="2" t="n">
        <v>1972</v>
      </c>
      <c r="F2817" s="2" t="inlineStr">
        <is>
          <t>фильм-спектакль</t>
        </is>
      </c>
      <c r="G2817" s="2" t="inlineStr">
        <is>
          <t>Главная редакция литературно-драматических программ ЦТ, Подборки фильмов, отечественные фильмы про врачей</t>
        </is>
      </c>
      <c r="H2817" s="2" t="n">
        <v>294</v>
      </c>
      <c r="I2817" s="2" t="inlineStr"/>
      <c r="J2817" s="2" t="inlineStr"/>
      <c r="K2817" s="3" t="inlineStr">
        <is>
          <t>Молодой врач Георгий Жуков делает первые шаги в медицине. Подчас ему приходится трудно: не всегда легко установить верный диагноз, найти быстрое решение в острой ситуации, выбрать верный тон в разговоре с больными. Но рядом с ним - опытные врачи и верные товарищи, которые всегда готовы помочь.</t>
        </is>
      </c>
      <c r="L2817" s="2" t="inlineStr">
        <is>
          <t>https://www.kino-teatr.ru/teatr/movie/16365/annot/</t>
        </is>
      </c>
      <c r="M2817" s="2">
        <f>HYPERLINK("https://ru.wikipedia.org/w/index.php?search=%D0%94%D0%BE%D0%BA%D1%82%D0%BE%D1%80%20%D0%96%D1%83%D0%BA%D0%BE%D0%B2%2C%20%D0%BD%D0%B0%20%D0%B2%D1%8B%D0%B5%D0%B7%D0%B4%21%201972%20%D1%84%D0%B8%D0%BB%D1%8C%D0%BC","искать")</f>
        <v/>
      </c>
      <c r="N2817" s="3" t="n"/>
      <c r="O2817" s="2" t="n"/>
    </row>
    <row r="2818">
      <c r="A2818" s="2" t="n">
        <v>2817</v>
      </c>
      <c r="B2818" s="2" t="inlineStr">
        <is>
          <t>короткая</t>
        </is>
      </c>
      <c r="C2818" s="2" t="n">
        <v>10694</v>
      </c>
      <c r="D2818" s="3" t="inlineStr">
        <is>
          <t>Лунев сегодня и завтра</t>
        </is>
      </c>
      <c r="E2818" s="2" t="n">
        <v>1977</v>
      </c>
      <c r="F2818" s="2" t="inlineStr">
        <is>
          <t>фильм-спектакль</t>
        </is>
      </c>
      <c r="G2818" s="2" t="n"/>
      <c r="H2818" s="2" t="n">
        <v>294</v>
      </c>
      <c r="I2818" s="2" t="inlineStr"/>
      <c r="J2818" s="2" t="inlineStr"/>
      <c r="K2818" s="3" t="inlineStr">
        <is>
          <t>По одноименной пьесе Симона Соловейчика.
Учитель математики Иван Лунев предлагает новый способ обучения детей. Это нововведение дало блестящие результаты. Однако находятся у него и противники...
Прообразом главного героя телеспектакля послужил известный педагог средней школы Донецка И.Шаталов.</t>
        </is>
      </c>
      <c r="L2818" s="2" t="inlineStr">
        <is>
          <t>https://www.kino-teatr.ru/teatr/movie/104718/annot/</t>
        </is>
      </c>
      <c r="M2818" s="2">
        <f>HYPERLINK("https://ru.wikipedia.org/w/index.php?search=%D0%9B%D1%83%D0%BD%D0%B5%D0%B2%20%D1%81%D0%B5%D0%B3%D0%BE%D0%B4%D0%BD%D1%8F%20%D0%B8%20%D0%B7%D0%B0%D0%B2%D1%82%D1%80%D0%B0%201977%20%D1%84%D0%B8%D0%BB%D1%8C%D0%BC","искать")</f>
        <v/>
      </c>
      <c r="N2818" s="3" t="n"/>
      <c r="O2818" s="2" t="n"/>
    </row>
    <row r="2819">
      <c r="A2819" s="2" t="n">
        <v>2818</v>
      </c>
      <c r="B2819" s="2" t="inlineStr">
        <is>
          <t>короткая</t>
        </is>
      </c>
      <c r="C2819" s="2" t="n">
        <v>10897</v>
      </c>
      <c r="D2819" s="3" t="inlineStr">
        <is>
          <t>Охотник</t>
        </is>
      </c>
      <c r="E2819" s="2" t="n">
        <v>1981</v>
      </c>
      <c r="F2819" s="2" t="inlineStr">
        <is>
          <t>фильм-спектакль</t>
        </is>
      </c>
      <c r="G2819" s="2" t="inlineStr">
        <is>
          <t>Центральное телевидение</t>
        </is>
      </c>
      <c r="H2819" s="2" t="n">
        <v>294</v>
      </c>
      <c r="I2819" s="2" t="inlineStr"/>
      <c r="J2819" s="2" t="inlineStr"/>
      <c r="K2819" s="3" t="inlineStr">
        <is>
          <t>По сатирической пьесе Сергея Михалкова.
Кандидат наук Невидимский одержим желанием получить докторскую степень. Однажды, представившись бывшим одноклассником, к нему приходит некто Шапкин с просьбой прочесть рукопись. Невидимский решает использовать эту работу для своей докторской диссертации.</t>
        </is>
      </c>
      <c r="L2819" s="2" t="inlineStr">
        <is>
          <t>https://www.kino-teatr.ru/teatr/movie/16806/annot/</t>
        </is>
      </c>
      <c r="M2819" s="2">
        <f>HYPERLINK("https://ru.wikipedia.org/w/index.php?search=%D0%9E%D1%85%D0%BE%D1%82%D0%BD%D0%B8%D0%BA%201981%20%D1%84%D0%B8%D0%BB%D1%8C%D0%BC","искать")</f>
        <v/>
      </c>
      <c r="N2819" s="3" t="n"/>
      <c r="O2819" s="2" t="n"/>
    </row>
    <row r="2820">
      <c r="A2820" s="2" t="n">
        <v>2819</v>
      </c>
      <c r="B2820" s="2" t="inlineStr">
        <is>
          <t>короткая</t>
        </is>
      </c>
      <c r="C2820" s="2" t="n">
        <v>7344</v>
      </c>
      <c r="D2820" s="3" t="inlineStr">
        <is>
          <t>Вилюс Каралюс</t>
        </is>
      </c>
      <c r="E2820" s="2" t="n">
        <v>1988</v>
      </c>
      <c r="F2820" s="2" t="inlineStr">
        <is>
          <t>телефильм</t>
        </is>
      </c>
      <c r="G2820" s="2" t="n"/>
      <c r="H2820" s="2" t="n">
        <v>295</v>
      </c>
      <c r="I2820" s="2" t="inlineStr"/>
      <c r="J2820" s="2" t="inlineStr"/>
      <c r="K2820" s="3" t="inlineStr">
        <is>
          <t>По одноимённому роману Евы Симонайтите. Фильм рассказывает о жизни деревни Малой Литвы в конце XIX начале XX века. Старый Каралюс перед смертью завещал своим сыновьям жить дружно и не забывать о своих литовских корнях. Но для Вилюса Каралюса главное - жить богато. Он женится на красавице Грете.</t>
        </is>
      </c>
      <c r="L2820" s="2" t="inlineStr">
        <is>
          <t>Кино_СССР сводный каталог.xlsx: список телефильмов</t>
        </is>
      </c>
      <c r="M2820" s="2">
        <f>HYPERLINK("https://ru.wikipedia.org/w/index.php?search=%D0%92%D0%B8%D0%BB%D1%8E%D1%81%20%D0%9A%D0%B0%D1%80%D0%B0%D0%BB%D1%8E%D1%81%201988%20%D1%84%D0%B8%D0%BB%D1%8C%D0%BC","искать")</f>
        <v/>
      </c>
      <c r="N2820" s="3" t="n"/>
      <c r="O2820" s="2" t="n"/>
    </row>
    <row r="2821">
      <c r="A2821" s="2" t="n">
        <v>2820</v>
      </c>
      <c r="B2821" s="2" t="inlineStr">
        <is>
          <t>короткая</t>
        </is>
      </c>
      <c r="C2821" s="2" t="n">
        <v>7389</v>
      </c>
      <c r="D2821" s="3" t="inlineStr">
        <is>
          <t>Время для размышлений</t>
        </is>
      </c>
      <c r="E2821" s="2" t="n">
        <v>1982</v>
      </c>
      <c r="F2821" s="2" t="inlineStr">
        <is>
          <t>телефильм</t>
        </is>
      </c>
      <c r="G2821" s="2" t="inlineStr">
        <is>
          <t>Одесская к/с</t>
        </is>
      </c>
      <c r="H2821" s="2" t="n">
        <v>295</v>
      </c>
      <c r="I2821" s="2" t="inlineStr"/>
      <c r="J2821" s="2" t="inlineStr"/>
      <c r="K2821" s="3" t="inlineStr">
        <is>
          <t>Алла и Игорь решают пожениться. Для обоих это уже второй брак. Обида на бывшего мужа, занятого наукой и равнодушного к бытовым проблемам, озлобила Аллу. Она уверена, что он и его родители хотят отобрать у нее ребенка. В гневе она не замечает, что несправедлива к близким, делает несчастным сына.</t>
        </is>
      </c>
      <c r="L2821" s="2" t="inlineStr">
        <is>
          <t>Кино_СССР сводный каталог.xlsx: список телефильмов</t>
        </is>
      </c>
      <c r="M2821" s="2">
        <f>HYPERLINK("https://ru.wikipedia.org/w/index.php?search=%D0%92%D1%80%D0%B5%D0%BC%D1%8F%20%D0%B4%D0%BB%D1%8F%20%D1%80%D0%B0%D0%B7%D0%BC%D1%8B%D1%88%D0%BB%D0%B5%D0%BD%D0%B8%D0%B9%201982%20%D1%84%D0%B8%D0%BB%D1%8C%D0%BC","искать")</f>
        <v/>
      </c>
      <c r="N2821" s="3" t="n"/>
      <c r="O2821" s="2" t="n"/>
    </row>
    <row r="2822">
      <c r="A2822" s="2" t="n">
        <v>2821</v>
      </c>
      <c r="B2822" s="2" t="inlineStr">
        <is>
          <t>короткая</t>
        </is>
      </c>
      <c r="C2822" s="2" t="n">
        <v>7646</v>
      </c>
      <c r="D2822" s="3" t="inlineStr">
        <is>
          <t>Зима - не полевой сезон</t>
        </is>
      </c>
      <c r="E2822" s="2" t="n">
        <v>1972</v>
      </c>
      <c r="F2822" s="2" t="inlineStr">
        <is>
          <t>телефильм</t>
        </is>
      </c>
      <c r="G2822" s="2" t="n"/>
      <c r="H2822" s="2" t="n">
        <v>295</v>
      </c>
      <c r="I2822" s="2" t="inlineStr"/>
      <c r="J2822" s="2" t="inlineStr"/>
      <c r="K2822" s="3" t="inlineStr">
        <is>
          <t>Кариев не может защитить кандидатскую диссертацию, так как не имеет для своей идеи необходимого теоретического обоснования. Молодые геологи – Куров, Мухамедов и Сараев, работавшие в геологической партии под руководством Кариева, помогают ему, проявив способность решать крупные научные проблемы.</t>
        </is>
      </c>
      <c r="L2822" s="2" t="inlineStr">
        <is>
          <t>Кино_СССР сводный каталог.xlsx: список телефильмов</t>
        </is>
      </c>
      <c r="M2822" s="2">
        <f>HYPERLINK("https://ru.wikipedia.org/w/index.php?search=%D0%97%D0%B8%D0%BC%D0%B0%20-%20%D0%BD%D0%B5%20%D0%BF%D0%BE%D0%BB%D0%B5%D0%B2%D0%BE%D0%B9%20%D1%81%D0%B5%D0%B7%D0%BE%D0%BD%201972%20%D1%84%D0%B8%D0%BB%D1%8C%D0%BC","искать")</f>
        <v/>
      </c>
      <c r="N2822" s="3" t="n"/>
      <c r="O2822" s="2" t="n"/>
    </row>
    <row r="2823">
      <c r="A2823" s="2" t="n">
        <v>2822</v>
      </c>
      <c r="B2823" s="2" t="inlineStr">
        <is>
          <t>короткая</t>
        </is>
      </c>
      <c r="C2823" s="2" t="n">
        <v>8085</v>
      </c>
      <c r="D2823" s="3" t="inlineStr">
        <is>
          <t>Пеппи Длинныйчулок</t>
        </is>
      </c>
      <c r="E2823" s="2" t="n">
        <v>1984</v>
      </c>
      <c r="F2823" s="2" t="inlineStr">
        <is>
          <t>телефильм</t>
        </is>
      </c>
      <c r="G2823" s="2" t="n"/>
      <c r="H2823" s="2" t="n">
        <v>295</v>
      </c>
      <c r="I2823" s="2" t="inlineStr"/>
      <c r="J2823" s="2" t="inlineStr"/>
      <c r="K2823" s="3" t="inlineStr">
        <is>
          <t>По мотивам одноименной повести знаменитой шведской писательницы Астрид Линдгрен. Маленький приморский городок жил очень чинной, очень правильной - словом, очень скучной жизнью. И вдруг в нем появилась возмутительница спокойствия, веселая выдумщица Пеппи. Многим казалось, что она постоянно врет.</t>
        </is>
      </c>
      <c r="L2823" s="2" t="inlineStr">
        <is>
          <t>Кино_СССР сводный каталог.xlsx: список телефильмов</t>
        </is>
      </c>
      <c r="M2823" s="2">
        <f>HYPERLINK("https://ru.wikipedia.org/w/index.php?search=%D0%9F%D0%B5%D0%BF%D0%BF%D0%B8%20%D0%94%D0%BB%D0%B8%D0%BD%D0%BD%D1%8B%D0%B9%D1%87%D1%83%D0%BB%D0%BE%D0%BA%201984%20%D1%84%D0%B8%D0%BB%D1%8C%D0%BC","искать")</f>
        <v/>
      </c>
      <c r="N2823" s="3" t="n"/>
      <c r="O2823" s="2" t="n"/>
    </row>
    <row r="2824">
      <c r="A2824" s="2" t="n">
        <v>2823</v>
      </c>
      <c r="B2824" s="2" t="inlineStr">
        <is>
          <t>короткая</t>
        </is>
      </c>
      <c r="C2824" s="2" t="n">
        <v>8385</v>
      </c>
      <c r="D2824" s="3" t="inlineStr">
        <is>
          <t>Соседи</t>
        </is>
      </c>
      <c r="E2824" s="2" t="n">
        <v>1979</v>
      </c>
      <c r="F2824" s="2" t="inlineStr">
        <is>
          <t>телефильм</t>
        </is>
      </c>
      <c r="G2824" s="2" t="n"/>
      <c r="H2824" s="2" t="n">
        <v>295</v>
      </c>
      <c r="I2824" s="2" t="inlineStr"/>
      <c r="J2824" s="2" t="inlineStr"/>
      <c r="K2824" s="3" t="inlineStr">
        <is>
          <t>Телефильм состоит из трех новелл, повествующих о забавных случаях из жизни соседей одной белорусской деревушки. В новелле "Попугай, яблоко и…" деревенского мальчишку Сашку несправедливо обвиняют в краже попугая и велосипедного колеса. "Лесник и…" рассказывает о невезучем леснике Никите Тыркиче.</t>
        </is>
      </c>
      <c r="L2824" s="2" t="inlineStr">
        <is>
          <t>Кино_СССР сводный каталог.xlsx: список телефильмов</t>
        </is>
      </c>
      <c r="M2824" s="2">
        <f>HYPERLINK("https://ru.wikipedia.org/w/index.php?search=%D0%A1%D0%BE%D1%81%D0%B5%D0%B4%D0%B8%201979%20%D1%84%D0%B8%D0%BB%D1%8C%D0%BC","искать")</f>
        <v/>
      </c>
      <c r="N2824" s="3" t="n"/>
      <c r="O2824" s="2" t="n"/>
    </row>
    <row r="2825">
      <c r="A2825" s="2" t="n">
        <v>2824</v>
      </c>
      <c r="B2825" s="2" t="inlineStr">
        <is>
          <t>короткая</t>
        </is>
      </c>
      <c r="C2825" s="2" t="n">
        <v>8541</v>
      </c>
      <c r="D2825" s="3" t="inlineStr">
        <is>
          <t>Чародейная ночь</t>
        </is>
      </c>
      <c r="E2825" s="2" t="n">
        <v>1989</v>
      </c>
      <c r="F2825" s="2" t="inlineStr">
        <is>
          <t>телефильм</t>
        </is>
      </c>
      <c r="G2825" s="2" t="n"/>
      <c r="H2825" s="2" t="n">
        <v>295</v>
      </c>
      <c r="I2825" s="2" t="inlineStr"/>
      <c r="J2825" s="2" t="inlineStr"/>
      <c r="K2825" s="3" t="inlineStr">
        <is>
          <t>Телефильм по пьесе Славомира Мрожека. Двое командировочных, давно вместе работающие и постоянно вместе разъезжающие, поселяются в один номер гостиницы. Это им обоим неприятно, но уже привычно. Слегка пикируясь, кому где спать, кому первому умыться и т.д., они, уставшие успокаиваются и засыпают.</t>
        </is>
      </c>
      <c r="L2825" s="2" t="inlineStr">
        <is>
          <t>Кино_СССР сводный каталог.xlsx: список телефильмов</t>
        </is>
      </c>
      <c r="M2825" s="2">
        <f>HYPERLINK("https://ru.wikipedia.org/w/index.php?search=%D0%A7%D0%B0%D1%80%D0%BE%D0%B4%D0%B5%D0%B9%D0%BD%D0%B0%D1%8F%20%D0%BD%D0%BE%D1%87%D1%8C%201989%20%D1%84%D0%B8%D0%BB%D1%8C%D0%BC","искать")</f>
        <v/>
      </c>
      <c r="N2825" s="3" t="n"/>
      <c r="O2825" s="2" t="n"/>
    </row>
    <row r="2826">
      <c r="A2826" s="2" t="n">
        <v>2825</v>
      </c>
      <c r="B2826" s="2" t="inlineStr">
        <is>
          <t>короткая</t>
        </is>
      </c>
      <c r="C2826" s="2" t="n">
        <v>8553</v>
      </c>
      <c r="D2826" s="3" t="inlineStr">
        <is>
          <t>Чёрная крыша</t>
        </is>
      </c>
      <c r="E2826" s="2" t="n">
        <v>1982</v>
      </c>
      <c r="F2826" s="2" t="inlineStr">
        <is>
          <t>телефильм</t>
        </is>
      </c>
      <c r="G2826" s="2" t="n"/>
      <c r="H2826" s="2" t="n">
        <v>295</v>
      </c>
      <c r="I2826" s="2" t="inlineStr"/>
      <c r="J2826" s="2" t="inlineStr"/>
      <c r="K2826" s="3" t="inlineStr">
        <is>
          <t>Фильм снят по пьесе "Леа" эстонского драматурга Юхана Смуула(1922-1971). Бывший жених девушки Леа, Эско Трахтер, отказавшийся от бедной невесты ради выгодного брака, служит у немцев.. «Леа Вийрес. Светлая, милая, человечная. Она хочет, но никак не может замкнуться в тесной сектантской скорлупе.</t>
        </is>
      </c>
      <c r="L2826" s="2" t="inlineStr">
        <is>
          <t>Кино_СССР сводный каталог.xlsx: список телефильмов</t>
        </is>
      </c>
      <c r="M2826" s="2">
        <f>HYPERLINK("https://ru.wikipedia.org/w/index.php?search=%D0%A7%D1%91%D1%80%D0%BD%D0%B0%D1%8F%20%D0%BA%D1%80%D1%8B%D1%88%D0%B0%201982%20%D1%84%D0%B8%D0%BB%D1%8C%D0%BC","искать")</f>
        <v/>
      </c>
      <c r="N2826" s="3" t="n"/>
      <c r="O2826" s="2" t="n"/>
    </row>
    <row r="2827">
      <c r="A2827" s="2" t="n">
        <v>2826</v>
      </c>
      <c r="B2827" s="2" t="inlineStr">
        <is>
          <t>короткая</t>
        </is>
      </c>
      <c r="C2827" s="2" t="n">
        <v>8751</v>
      </c>
      <c r="D2827" s="3" t="inlineStr">
        <is>
          <t>Исчадье ада</t>
        </is>
      </c>
      <c r="E2827" s="2" t="n">
        <v>1991</v>
      </c>
      <c r="F2827" s="2" t="inlineStr">
        <is>
          <t>кинофильм</t>
        </is>
      </c>
      <c r="G2827" s="2" t="n"/>
      <c r="H2827" s="2" t="n">
        <v>295</v>
      </c>
      <c r="I2827" s="2" t="inlineStr"/>
      <c r="J2827" s="2" t="inlineStr"/>
      <c r="K2827" s="3" t="inlineStr">
        <is>
          <t>По мотивам повести Бориса Савинкова "Конь бледный". Начало XX века. Группа террористов ведет охоту за губернатором российского провинциального городка: по решению подпольного комитета он должен быть казнен... "...И вот, конь бледный, И на нем всадник, Которому имя смерть, и ад следовал за ним".</t>
        </is>
      </c>
      <c r="L2827" s="2" t="inlineStr">
        <is>
          <t>Кино_СССР сводный каталог.xlsx: список фильмов (доп.)</t>
        </is>
      </c>
      <c r="M2827" s="2">
        <f>HYPERLINK("https://ru.wikipedia.org/w/index.php?search=%D0%98%D1%81%D1%87%D0%B0%D0%B4%D1%8C%D0%B5%20%D0%B0%D0%B4%D0%B0%201991%20%D1%84%D0%B8%D0%BB%D1%8C%D0%BC","искать")</f>
        <v/>
      </c>
      <c r="N2827" s="3" t="n"/>
      <c r="O2827" s="2" t="n"/>
    </row>
    <row r="2828">
      <c r="A2828" s="2" t="n">
        <v>2827</v>
      </c>
      <c r="B2828" s="2" t="inlineStr">
        <is>
          <t>короткая</t>
        </is>
      </c>
      <c r="C2828" s="2" t="n">
        <v>9301</v>
      </c>
      <c r="D2828" s="3" t="inlineStr">
        <is>
          <t>Гашим</t>
        </is>
      </c>
      <c r="E2828" s="2" t="n">
        <v>1929</v>
      </c>
      <c r="F2828" s="2" t="inlineStr">
        <is>
          <t>кинофильм</t>
        </is>
      </c>
      <c r="G2828" s="2" t="n"/>
      <c r="H2828" s="2" t="n">
        <v>295</v>
      </c>
      <c r="I2828" s="2" t="inlineStr"/>
      <c r="J2828" s="2" t="inlineStr"/>
      <c r="K2828" s="3" t="inlineStr">
        <is>
          <t>Главный герой - азербайджанский солдат Гашим, оказавшись в большевистской тюрьме в Армении, начинает понимать, что его враги не армяне, а богатые люди, которые настраивают друг против друга армян и азербайджанцев. Фильм был запрещен к прокату из-за "серьезных идейно-художественных недостатков".</t>
        </is>
      </c>
      <c r="L2828" s="2" t="inlineStr">
        <is>
          <t>Кино_СССР сводный каталог.xlsx: список фильмов (доп.)</t>
        </is>
      </c>
      <c r="M2828" s="2">
        <f>HYPERLINK("https://ru.wikipedia.org/w/index.php?search=%D0%93%D0%B0%D1%88%D0%B8%D0%BC%201929%20%D1%84%D0%B8%D0%BB%D1%8C%D0%BC","искать")</f>
        <v/>
      </c>
      <c r="N2828" s="3" t="n"/>
      <c r="O2828" s="2" t="n"/>
    </row>
    <row r="2829">
      <c r="A2829" s="2" t="n">
        <v>2828</v>
      </c>
      <c r="B2829" s="2" t="inlineStr">
        <is>
          <t>короткая</t>
        </is>
      </c>
      <c r="C2829" s="2" t="n">
        <v>9457</v>
      </c>
      <c r="D2829" s="3" t="inlineStr">
        <is>
          <t>Лошади в океане</t>
        </is>
      </c>
      <c r="E2829" s="2" t="n">
        <v>1989</v>
      </c>
      <c r="F2829" s="2" t="inlineStr">
        <is>
          <t>кинофильм</t>
        </is>
      </c>
      <c r="G2829" s="2" t="n"/>
      <c r="H2829" s="2" t="n">
        <v>295</v>
      </c>
      <c r="I2829" s="2" t="inlineStr"/>
      <c r="J2829" s="2" t="inlineStr"/>
      <c r="K2829" s="3" t="inlineStr">
        <is>
          <t>Режиссер детского театра Костров попадает в тюрьму по ложному обвинению. Его помещают в камеру к несовершеннолетним. С большим трудом ему удается установить в камере законы нормального общежития и нарушить принятую в зоне иерархию. Вскоре Кострова оправдывают. Однако домой он так и не вернется.</t>
        </is>
      </c>
      <c r="L2829" s="2" t="inlineStr">
        <is>
          <t>Кино_СССР сводный каталог.xlsx: список фильмов (доп.)</t>
        </is>
      </c>
      <c r="M2829" s="2">
        <f>HYPERLINK("https://ru.wikipedia.org/w/index.php?search=%D0%9B%D0%BE%D1%88%D0%B0%D0%B4%D0%B8%20%D0%B2%20%D0%BE%D0%BA%D0%B5%D0%B0%D0%BD%D0%B5%201989%20%D1%84%D0%B8%D0%BB%D1%8C%D0%BC","искать")</f>
        <v/>
      </c>
      <c r="N2829" s="3" t="n"/>
      <c r="O2829" s="2" t="n"/>
    </row>
    <row r="2830">
      <c r="A2830" s="2" t="n">
        <v>2829</v>
      </c>
      <c r="B2830" s="2" t="inlineStr">
        <is>
          <t>короткая</t>
        </is>
      </c>
      <c r="C2830" s="2" t="n">
        <v>9800</v>
      </c>
      <c r="D2830" s="3" t="inlineStr">
        <is>
          <t>Полесская хроника (1981, 1982, 1984)</t>
        </is>
      </c>
      <c r="E2830" s="2" t="n">
        <v>1981</v>
      </c>
      <c r="F2830" s="2" t="inlineStr">
        <is>
          <t>телефильм</t>
        </is>
      </c>
      <c r="G2830" s="2" t="inlineStr">
        <is>
          <t>Беларусьфильм</t>
        </is>
      </c>
      <c r="H2830" s="2" t="n">
        <v>295</v>
      </c>
      <c r="I2830" s="2" t="inlineStr"/>
      <c r="J2830" s="2" t="inlineStr"/>
      <c r="K2830" s="3" t="inlineStr">
        <is>
          <t>В 20-е годы в глухие места полесских болот пришла Советская власть. Однако зажиточные хозяева деревушки Курени не собирались отдавать свои земли крестьянам. Банды запугивали людей. Но крестьяне сами сделали первый шаг: всей деревней они вышли прокладывать гать через болото-дорогу к новой жизни.</t>
        </is>
      </c>
      <c r="L2830" s="2" t="inlineStr">
        <is>
          <t>https://www.kino-teatr.ru/kino/movie/sov/3635/annot/</t>
        </is>
      </c>
      <c r="M2830" s="2">
        <f>HYPERLINK("https://ru.wikipedia.org/w/index.php?search=%D0%9F%D0%BE%D0%BB%D0%B5%D1%81%D1%81%D0%BA%D0%B0%D1%8F%20%D1%85%D1%80%D0%BE%D0%BD%D0%B8%D0%BA%D0%B0%20%281981%2C%201982%2C%201984%29%201981%20%D1%84%D0%B8%D0%BB%D1%8C%D0%BC","искать")</f>
        <v/>
      </c>
      <c r="N2830" s="3" t="n"/>
      <c r="O2830" s="2" t="n"/>
    </row>
    <row r="2831">
      <c r="A2831" s="2" t="n">
        <v>2830</v>
      </c>
      <c r="B2831" s="2" t="inlineStr">
        <is>
          <t>короткая</t>
        </is>
      </c>
      <c r="C2831" s="2" t="n">
        <v>10183</v>
      </c>
      <c r="D2831" s="3" t="inlineStr">
        <is>
          <t>Бедная Лиза</t>
        </is>
      </c>
      <c r="E2831" s="2" t="n">
        <v>1967</v>
      </c>
      <c r="F2831" s="2" t="inlineStr">
        <is>
          <t>фильм-спектакль</t>
        </is>
      </c>
      <c r="G2831" s="2" t="n"/>
      <c r="H2831" s="2" t="n">
        <v>295</v>
      </c>
      <c r="I2831" s="2" t="inlineStr"/>
      <c r="J2831" s="2" t="inlineStr"/>
      <c r="K2831" s="3" t="inlineStr">
        <is>
          <t>Телеспектакль по одноименной повести Н.Карамзина из цикла "Литературный театр".
Злодей Эраст полюбил прекрасную селянку Лизу, обесчестил, предал и сбежал. Трагическая развязка не за горами.
В телеспектакле звучит "Элегическое трио" С.Рахманинова в исполнении И.Гусельникова, В.Кудрейко, С.Рябова</t>
        </is>
      </c>
      <c r="L2831" s="2" t="inlineStr">
        <is>
          <t>https://www.kino-teatr.ru/teatr/movie/81413/annot/</t>
        </is>
      </c>
      <c r="M2831" s="2">
        <f>HYPERLINK("https://ru.wikipedia.org/w/index.php?search=%D0%91%D0%B5%D0%B4%D0%BD%D0%B0%D1%8F%20%D0%9B%D0%B8%D0%B7%D0%B0%201967%20%D1%84%D0%B8%D0%BB%D1%8C%D0%BC","искать")</f>
        <v/>
      </c>
      <c r="N2831" s="3" t="n"/>
      <c r="O2831" s="2" t="n"/>
    </row>
    <row r="2832">
      <c r="A2832" s="2" t="n">
        <v>2831</v>
      </c>
      <c r="B2832" s="2" t="inlineStr">
        <is>
          <t>короткая</t>
        </is>
      </c>
      <c r="C2832" s="2" t="n">
        <v>10315</v>
      </c>
      <c r="D2832" s="3" t="inlineStr">
        <is>
          <t>Лена Костенецкая</t>
        </is>
      </c>
      <c r="E2832" s="2" t="n">
        <v>1969</v>
      </c>
      <c r="F2832" s="2" t="inlineStr">
        <is>
          <t>фильм-спектакль</t>
        </is>
      </c>
      <c r="G2832" s="2" t="inlineStr">
        <is>
          <t>Центральное телевидение</t>
        </is>
      </c>
      <c r="H2832" s="2" t="n">
        <v>295</v>
      </c>
      <c r="I2832" s="2" t="inlineStr"/>
      <c r="J2832" s="2" t="inlineStr"/>
      <c r="K2832" s="3" t="inlineStr">
        <is>
          <t>По мотивам романа Александра Фадеева "Последний из удэге". Дальний Восток, 1920-е годы. Гражданская война развела семьи по разные стороны баррикад. Как разобраться в этой ситуации молодой девушке, которая воспитывается у богатой тетушки, в то время, когда ее отец возглавляет партизанский отряд.</t>
        </is>
      </c>
      <c r="L2832" s="2" t="inlineStr">
        <is>
          <t>https://www.kino-teatr.ru/teatr/movie/104716/annot/</t>
        </is>
      </c>
      <c r="M2832" s="2">
        <f>HYPERLINK("https://ru.wikipedia.org/w/index.php?search=%D0%9B%D0%B5%D0%BD%D0%B0%20%D0%9A%D0%BE%D1%81%D1%82%D0%B5%D0%BD%D0%B5%D1%86%D0%BA%D0%B0%D1%8F%201969%20%D1%84%D0%B8%D0%BB%D1%8C%D0%BC","искать")</f>
        <v/>
      </c>
      <c r="N2832" s="3" t="n"/>
      <c r="O2832" s="2" t="n"/>
    </row>
    <row r="2833">
      <c r="A2833" s="2" t="n">
        <v>2832</v>
      </c>
      <c r="B2833" s="2" t="inlineStr">
        <is>
          <t>короткая</t>
        </is>
      </c>
      <c r="C2833" s="2" t="n">
        <v>11094</v>
      </c>
      <c r="D2833" s="3" t="inlineStr">
        <is>
          <t>БДТ тридцать лет спустя</t>
        </is>
      </c>
      <c r="E2833" s="2" t="n">
        <v>1986</v>
      </c>
      <c r="F2833" s="2" t="inlineStr">
        <is>
          <t>фильм-спектакль</t>
        </is>
      </c>
      <c r="G2833" s="2" t="inlineStr">
        <is>
          <t>Главная редакция литературно-драматических программ ЦТ</t>
        </is>
      </c>
      <c r="H2833" s="2" t="n">
        <v>295</v>
      </c>
      <c r="I2833" s="2" t="inlineStr"/>
      <c r="J2833" s="2" t="inlineStr"/>
      <c r="K2833" s="3" t="inlineStr">
        <is>
          <t>Спектакль БДТ, посвященный 30-летию творческой деятельности Г.А.Товстоногова. Замечательный спектакль-капустник в котором представлены сценки из спектаклей БДТ разных лет: "Ревизор", "Смерть Тарелкина", "Этот пылкий влюбленный", "История лошади", "На всякого мудреца довольно простоты" и другие.</t>
        </is>
      </c>
      <c r="L2833" s="2" t="inlineStr">
        <is>
          <t>https://www.kino-teatr.ru/teatr/movie/102099/annot/</t>
        </is>
      </c>
      <c r="M2833" s="2">
        <f>HYPERLINK("https://ru.wikipedia.org/w/index.php?search=%D0%91%D0%94%D0%A2%20%D1%82%D1%80%D0%B8%D0%B4%D1%86%D0%B0%D1%82%D1%8C%20%D0%BB%D0%B5%D1%82%20%D1%81%D0%BF%D1%83%D1%81%D1%82%D1%8F%201986%20%D1%84%D0%B8%D0%BB%D1%8C%D0%BC","искать")</f>
        <v/>
      </c>
      <c r="N2833" s="3" t="n"/>
      <c r="O2833" s="2" t="n"/>
    </row>
    <row r="2834">
      <c r="A2834" s="2" t="n">
        <v>2833</v>
      </c>
      <c r="B2834" s="2" t="inlineStr">
        <is>
          <t>короткая</t>
        </is>
      </c>
      <c r="C2834" s="2" t="n">
        <v>7713</v>
      </c>
      <c r="D2834" s="3" t="inlineStr">
        <is>
          <t>Капитан Фракасс</t>
        </is>
      </c>
      <c r="E2834" s="2" t="n">
        <v>1984</v>
      </c>
      <c r="F2834" s="2" t="inlineStr">
        <is>
          <t>телефильм</t>
        </is>
      </c>
      <c r="G2834" s="2" t="inlineStr">
        <is>
          <t>к/с им. Довженко</t>
        </is>
      </c>
      <c r="H2834" s="2" t="n">
        <v>296</v>
      </c>
      <c r="I2834" s="2" t="inlineStr"/>
      <c r="J2834" s="2" t="inlineStr"/>
      <c r="K2834" s="3" t="inlineStr">
        <is>
          <t>Телефильм по одноименному роману французского писателя-романтика XIX века Теофиля Готье. Франция, 17-й век. Обедневший барон де Сигоньяк разрешает труппе странствующих актеров провести ночь в своем замке. В итоге, уставший от сельской жизни молодой барон решает отправиться вместе с ними в Париж.</t>
        </is>
      </c>
      <c r="L2834" s="2" t="inlineStr">
        <is>
          <t>Кино_СССР сводный каталог.xlsx: список телефильмов</t>
        </is>
      </c>
      <c r="M2834" s="2">
        <f>HYPERLINK("https://ru.wikipedia.org/w/index.php?search=%D0%9A%D0%B0%D0%BF%D0%B8%D1%82%D0%B0%D0%BD%20%D0%A4%D1%80%D0%B0%D0%BA%D0%B0%D1%81%D1%81%201984%20%D1%84%D0%B8%D0%BB%D1%8C%D0%BC","искать")</f>
        <v/>
      </c>
      <c r="N2834" s="3" t="n"/>
      <c r="O2834" s="2" t="n"/>
    </row>
    <row r="2835">
      <c r="A2835" s="2" t="n">
        <v>2834</v>
      </c>
      <c r="B2835" s="2" t="inlineStr">
        <is>
          <t>короткая</t>
        </is>
      </c>
      <c r="C2835" s="2" t="n">
        <v>7738</v>
      </c>
      <c r="D2835" s="3" t="inlineStr">
        <is>
          <t>Кодовое название "Южный гром"</t>
        </is>
      </c>
      <c r="E2835" s="2" t="n">
        <v>1980</v>
      </c>
      <c r="F2835" s="2" t="inlineStr">
        <is>
          <t>телефильм</t>
        </is>
      </c>
      <c r="G2835" s="2" t="inlineStr">
        <is>
          <t>Молдова-фильм</t>
        </is>
      </c>
      <c r="H2835" s="2" t="n">
        <v>296</v>
      </c>
      <c r="I2835" s="2" t="inlineStr"/>
      <c r="J2835" s="2" t="inlineStr"/>
      <c r="K2835" s="3" t="inlineStr">
        <is>
          <t>Телефильм. Великая Отечественная война. В условиях чрезвычайной секретности подготавливается Ясско-Кишиневская операция. Фашистская разведка стремится всеми средствами разгадать планы советского командования. С этой целью ее агенты пытаются шантажировать сотрудника контрразведки майора Чумакову.</t>
        </is>
      </c>
      <c r="L2835" s="2" t="inlineStr">
        <is>
          <t>Кино_СССР сводный каталог.xlsx: список телефильмов</t>
        </is>
      </c>
      <c r="M2835" s="2">
        <f>HYPERLINK("https://ru.wikipedia.org/w/index.php?search=%D0%9A%D0%BE%D0%B4%D0%BE%D0%B2%D0%BE%D0%B5%20%D0%BD%D0%B0%D0%B7%D0%B2%D0%B0%D0%BD%D0%B8%D0%B5%20%22%D0%AE%D0%B6%D0%BD%D1%8B%D0%B9%20%D0%B3%D1%80%D0%BE%D0%BC%22%201980%20%D1%84%D0%B8%D0%BB%D1%8C%D0%BC","искать")</f>
        <v/>
      </c>
      <c r="N2835" s="3" t="n"/>
      <c r="O2835" s="2" t="n"/>
    </row>
    <row r="2836">
      <c r="A2836" s="2" t="n">
        <v>2835</v>
      </c>
      <c r="B2836" s="2" t="inlineStr">
        <is>
          <t>короткая</t>
        </is>
      </c>
      <c r="C2836" s="2" t="n">
        <v>7986</v>
      </c>
      <c r="D2836" s="3" t="inlineStr">
        <is>
          <t>Необыкновенные приключения Карика и Вали</t>
        </is>
      </c>
      <c r="E2836" s="2" t="n">
        <v>1987</v>
      </c>
      <c r="F2836" s="2" t="inlineStr">
        <is>
          <t>телефильм</t>
        </is>
      </c>
      <c r="G2836" s="2" t="n"/>
      <c r="H2836" s="2" t="n">
        <v>296</v>
      </c>
      <c r="I2836" s="2" t="inlineStr"/>
      <c r="J2836" s="2" t="inlineStr"/>
      <c r="K2836" s="3" t="inlineStr">
        <is>
          <t>По одноименной повести Яна Ларри. Брат и сестра Карик и Валя попадают в квартиру профессора Енотова. Выпив изобретенный им эликсир, они уменьшаются настолько, что стрекоза уносит их на пруд. И теперь весь привычный мир, в котором они до сих пор жили, приобрел невероятные очертания и особенности.</t>
        </is>
      </c>
      <c r="L2836" s="2" t="inlineStr">
        <is>
          <t>Кино_СССР сводный каталог.xlsx: список телефильмов</t>
        </is>
      </c>
      <c r="M2836" s="2">
        <f>HYPERLINK("https://ru.wikipedia.org/w/index.php?search=%D0%9D%D0%B5%D0%BE%D0%B1%D1%8B%D0%BA%D0%BD%D0%BE%D0%B2%D0%B5%D0%BD%D0%BD%D1%8B%D0%B5%20%D0%BF%D1%80%D0%B8%D0%BA%D0%BB%D1%8E%D1%87%D0%B5%D0%BD%D0%B8%D1%8F%20%D0%9A%D0%B0%D1%80%D0%B8%D0%BA%D0%B0%20%D0%B8%20%D0%92%D0%B0%D0%BB%D0%B8%201987%20%D1%84%D0%B8%D0%BB%D1%8C%D0%BC","искать")</f>
        <v/>
      </c>
      <c r="N2836" s="3" t="n"/>
      <c r="O2836" s="2" t="n"/>
    </row>
    <row r="2837">
      <c r="A2837" s="2" t="n">
        <v>2836</v>
      </c>
      <c r="B2837" s="2" t="inlineStr">
        <is>
          <t>короткая</t>
        </is>
      </c>
      <c r="C2837" s="2" t="n">
        <v>8406</v>
      </c>
      <c r="D2837" s="3" t="inlineStr">
        <is>
          <t>Столкновение</t>
        </is>
      </c>
      <c r="E2837" s="2" t="n">
        <v>1984</v>
      </c>
      <c r="F2837" s="2" t="inlineStr">
        <is>
          <t>телефильм</t>
        </is>
      </c>
      <c r="G2837" s="2" t="n"/>
      <c r="H2837" s="2" t="n">
        <v>296</v>
      </c>
      <c r="I2837" s="2" t="inlineStr"/>
      <c r="J2837" s="2" t="inlineStr"/>
      <c r="K2837" s="3" t="inlineStr">
        <is>
          <t>Телефильм снят по мотивам романа Миколаса Слуцкиса "На исходе дня". Ответственный работник Казюкенас тяжело заболел. Ему приходится лечь в больницу и довериться известному хирургу Наримантасу. Больной и врач-старые знакомые. В юности они были неразлучными друзьями, но что-то разрушило их дружбу.</t>
        </is>
      </c>
      <c r="L2837" s="2" t="inlineStr">
        <is>
          <t>Кино_СССР сводный каталог.xlsx: список телефильмов</t>
        </is>
      </c>
      <c r="M2837" s="2">
        <f>HYPERLINK("https://ru.wikipedia.org/w/index.php?search=%D0%A1%D1%82%D0%BE%D0%BB%D0%BA%D0%BD%D0%BE%D0%B2%D0%B5%D0%BD%D0%B8%D0%B5%201984%20%D1%84%D0%B8%D0%BB%D1%8C%D0%BC","искать")</f>
        <v/>
      </c>
      <c r="N2837" s="3" t="n"/>
      <c r="O2837" s="2" t="n"/>
    </row>
    <row r="2838">
      <c r="A2838" s="2" t="n">
        <v>2837</v>
      </c>
      <c r="B2838" s="2" t="inlineStr">
        <is>
          <t>короткая</t>
        </is>
      </c>
      <c r="C2838" s="2" t="n">
        <v>8427</v>
      </c>
      <c r="D2838" s="3" t="inlineStr">
        <is>
          <t>Таежный моряк</t>
        </is>
      </c>
      <c r="E2838" s="2" t="n">
        <v>1983</v>
      </c>
      <c r="F2838" s="2" t="inlineStr">
        <is>
          <t>телефильм</t>
        </is>
      </c>
      <c r="G2838" s="2" t="n"/>
      <c r="H2838" s="2" t="n">
        <v>296</v>
      </c>
      <c r="I2838" s="2" t="inlineStr"/>
      <c r="J2838" s="2" t="inlineStr"/>
      <c r="K2838" s="3" t="inlineStr">
        <is>
          <t>Фильм снят по повести Валерия Поволяева "Таежный моряк. Далеко на Севере работает бригада газовиков, возглавляемая бригадиром Геной Морозовым. Во время вынужденной стоянки в поселке строителей-дорожников он знакомится с красавицей Любой, за которой ухаживал начальник дорожного участка Ростовцев.</t>
        </is>
      </c>
      <c r="L2838" s="2" t="inlineStr">
        <is>
          <t>Кино_СССР сводный каталог.xlsx: список телефильмов</t>
        </is>
      </c>
      <c r="M2838" s="2">
        <f>HYPERLINK("https://ru.wikipedia.org/w/index.php?search=%D0%A2%D0%B0%D0%B5%D0%B6%D0%BD%D1%8B%D0%B9%20%D0%BC%D0%BE%D1%80%D1%8F%D0%BA%201983%20%D1%84%D0%B8%D0%BB%D1%8C%D0%BC","искать")</f>
        <v/>
      </c>
      <c r="N2838" s="3" t="n"/>
      <c r="O2838" s="2" t="n"/>
    </row>
    <row r="2839">
      <c r="A2839" s="2" t="n">
        <v>2838</v>
      </c>
      <c r="B2839" s="2" t="inlineStr">
        <is>
          <t>короткая</t>
        </is>
      </c>
      <c r="C2839" s="2" t="n">
        <v>8765</v>
      </c>
      <c r="D2839" s="3" t="inlineStr">
        <is>
          <t>Кислородный голод</t>
        </is>
      </c>
      <c r="E2839" s="2" t="n">
        <v>1991</v>
      </c>
      <c r="F2839" s="2" t="inlineStr">
        <is>
          <t>кинофильм</t>
        </is>
      </c>
      <c r="G2839" s="2" t="n"/>
      <c r="H2839" s="2" t="n">
        <v>296</v>
      </c>
      <c r="I2839" s="2" t="inlineStr"/>
      <c r="J2839" s="2" t="inlineStr"/>
      <c r="K2839" s="3" t="inlineStr">
        <is>
          <t>По мотивам рассказов Юрия Андруховича. Об армейской "дедовщине", навеянный режиссеру собственным пребыванием в Советской Армии. В обычной советской воинской части "деды", зачитав приказ о дембеле, решили поизмываться над "молодыми". Все "молодые" покорно терпели, а рядовой Билык терпеть не стал.</t>
        </is>
      </c>
      <c r="L2839" s="2" t="inlineStr">
        <is>
          <t>Кино_СССР сводный каталог.xlsx: список фильмов (доп.)</t>
        </is>
      </c>
      <c r="M2839" s="2">
        <f>HYPERLINK("https://ru.wikipedia.org/w/index.php?search=%D0%9A%D0%B8%D1%81%D0%BB%D0%BE%D1%80%D0%BE%D0%B4%D0%BD%D1%8B%D0%B9%20%D0%B3%D0%BE%D0%BB%D0%BE%D0%B4%201991%20%D1%84%D0%B8%D0%BB%D1%8C%D0%BC","искать")</f>
        <v/>
      </c>
      <c r="N2839" s="3" t="n"/>
      <c r="O2839" s="2" t="n"/>
    </row>
    <row r="2840">
      <c r="A2840" s="2" t="n">
        <v>2839</v>
      </c>
      <c r="B2840" s="2" t="inlineStr">
        <is>
          <t>короткая</t>
        </is>
      </c>
      <c r="C2840" s="2" t="n">
        <v>8975</v>
      </c>
      <c r="D2840" s="3" t="inlineStr">
        <is>
          <t>Призывники</t>
        </is>
      </c>
      <c r="E2840" s="2" t="n">
        <v>1987</v>
      </c>
      <c r="F2840" s="2" t="inlineStr">
        <is>
          <t>кинофильм</t>
        </is>
      </c>
      <c r="G2840" s="2" t="n"/>
      <c r="H2840" s="2" t="n">
        <v>296</v>
      </c>
      <c r="I2840" s="2" t="inlineStr"/>
      <c r="J2840" s="2" t="inlineStr"/>
      <c r="K2840" s="3" t="inlineStr">
        <is>
          <t>Фильм в комедийном жанре рассказывает о трёх закадычных друзьях - Поэте, Артисте и Чемпионе, которые буквально в один день получают повестки в армию и как из беспечных подростков они взрослеют на глазах и готовятся вступить во взрослую жизнь. Небольшой провинциальный город в белорусском Полесье.</t>
        </is>
      </c>
      <c r="L2840" s="2" t="inlineStr">
        <is>
          <t>Кино_СССР сводный каталог.xlsx: список фильмов (доп.)</t>
        </is>
      </c>
      <c r="M2840" s="2">
        <f>HYPERLINK("https://ru.wikipedia.org/w/index.php?search=%D0%9F%D1%80%D0%B8%D0%B7%D1%8B%D0%B2%D0%BD%D0%B8%D0%BA%D0%B8%201987%20%D1%84%D0%B8%D0%BB%D1%8C%D0%BC","искать")</f>
        <v/>
      </c>
      <c r="N2840" s="3" t="n"/>
      <c r="O2840" s="2" t="n"/>
    </row>
    <row r="2841">
      <c r="A2841" s="2" t="n">
        <v>2840</v>
      </c>
      <c r="B2841" s="2" t="inlineStr">
        <is>
          <t>короткая</t>
        </is>
      </c>
      <c r="C2841" s="2" t="n">
        <v>9710</v>
      </c>
      <c r="D2841" s="3" t="inlineStr">
        <is>
          <t>Улыбка</t>
        </is>
      </c>
      <c r="E2841" s="2" t="n">
        <v>1991</v>
      </c>
      <c r="F2841" s="2" t="inlineStr">
        <is>
          <t>кинофильм</t>
        </is>
      </c>
      <c r="G2841" s="2" t="n"/>
      <c r="H2841" s="2" t="n">
        <v>296</v>
      </c>
      <c r="I2841" s="2" t="inlineStr"/>
      <c r="J2841" s="2" t="inlineStr"/>
      <c r="K2841" s="3" t="inlineStr">
        <is>
          <t>По книге Дмитрия Лазарева. В основном действие фильма происходит в сумасшедшем доме. Но абсурд не имеет границ, у него есть только причина. И в этом тотальном безумии герои фильма пытаются найти ответ, и более того - считают нужным отвечать на поставленные вопросы. Это трогает и вселяет надежду.</t>
        </is>
      </c>
      <c r="L2841" s="2" t="inlineStr">
        <is>
          <t>Кино_СССР сводный каталог.xlsx: список фильмов (доп.)</t>
        </is>
      </c>
      <c r="M2841" s="2">
        <f>HYPERLINK("https://ru.wikipedia.org/w/index.php?search=%D0%A3%D0%BB%D1%8B%D0%B1%D0%BA%D0%B0%201991%20%D1%84%D0%B8%D0%BB%D1%8C%D0%BC","искать")</f>
        <v/>
      </c>
      <c r="N2841" s="3" t="n"/>
      <c r="O2841" s="2" t="n"/>
    </row>
    <row r="2842">
      <c r="A2842" s="2" t="n">
        <v>2841</v>
      </c>
      <c r="B2842" s="2" t="inlineStr">
        <is>
          <t>короткая</t>
        </is>
      </c>
      <c r="C2842" s="2" t="n">
        <v>9725</v>
      </c>
      <c r="D2842" s="3" t="inlineStr">
        <is>
          <t>Франка - жена Хама</t>
        </is>
      </c>
      <c r="E2842" s="2" t="n">
        <v>1990</v>
      </c>
      <c r="F2842" s="2" t="inlineStr">
        <is>
          <t>кинофильм</t>
        </is>
      </c>
      <c r="G2842" s="2" t="n"/>
      <c r="H2842" s="2" t="n">
        <v>296</v>
      </c>
      <c r="I2842" s="2" t="inlineStr"/>
      <c r="J2842" s="2" t="inlineStr"/>
      <c r="K2842" s="3" t="inlineStr">
        <is>
          <t>По мотивам повести Элизы Ожешко "Хам". Действие фильма происходит в начале ХХ века в белорусском селе. Красавица Франка, дочь польского чинуши, выходит замуж за белорусского рыбака и не может принять счастливую судьбу: до замужества ей пришлось побывать и прачкой в богатых домах, и проституткой.</t>
        </is>
      </c>
      <c r="L2842" s="2" t="inlineStr">
        <is>
          <t>Кино_СССР сводный каталог.xlsx: список фильмов (доп.)</t>
        </is>
      </c>
      <c r="M2842" s="2">
        <f>HYPERLINK("https://ru.wikipedia.org/w/index.php?search=%D0%A4%D1%80%D0%B0%D0%BD%D0%BA%D0%B0%20-%20%D0%B6%D0%B5%D0%BD%D0%B0%20%D0%A5%D0%B0%D0%BC%D0%B0%201990%20%D1%84%D0%B8%D0%BB%D1%8C%D0%BC","искать")</f>
        <v/>
      </c>
      <c r="N2842" s="3" t="n"/>
      <c r="O2842" s="2" t="n"/>
    </row>
    <row r="2843">
      <c r="A2843" s="2" t="n">
        <v>2842</v>
      </c>
      <c r="B2843" s="2" t="inlineStr">
        <is>
          <t>короткая</t>
        </is>
      </c>
      <c r="C2843" s="2" t="n">
        <v>9984</v>
      </c>
      <c r="D2843" s="3" t="inlineStr">
        <is>
          <t>Кузнец</t>
        </is>
      </c>
      <c r="E2843" s="2" t="n">
        <v>1982</v>
      </c>
      <c r="F2843" s="2" t="inlineStr">
        <is>
          <t>телефильм</t>
        </is>
      </c>
      <c r="G2843" s="2" t="inlineStr">
        <is>
          <t>Грузия-фильм, по заказу государственного комитета СССР по телевидению и радиовещанию</t>
        </is>
      </c>
      <c r="H2843" s="2" t="n">
        <v>296</v>
      </c>
      <c r="I2843" s="2" t="inlineStr"/>
      <c r="J2843" s="2" t="inlineStr"/>
      <c r="K2843" s="3" t="inlineStr">
        <is>
          <t>Добросовестно трудился кузнец Кола, пока в его кунице не появились новые сотрудники: бухгалтер, кассир, директор и секретарь. Оставшись однажды без металла, Кола так и не смог дождаться, когда же его сослуживцы на своих бесконечных заседаниях примут решение - где взять сырье. Кола уходит от них.</t>
        </is>
      </c>
      <c r="L2843" s="2" t="inlineStr">
        <is>
          <t>https://www.kino-teatr.ru/short/movie/sov/83597/annot/</t>
        </is>
      </c>
      <c r="M2843" s="2">
        <f>HYPERLINK("https://ru.wikipedia.org/w/index.php?search=%D0%9A%D1%83%D0%B7%D0%BD%D0%B5%D1%86%201982%20%D1%84%D0%B8%D0%BB%D1%8C%D0%BC","искать")</f>
        <v/>
      </c>
      <c r="N2843" s="3" t="n"/>
      <c r="O2843" s="2" t="n"/>
    </row>
    <row r="2844">
      <c r="A2844" s="2" t="n">
        <v>2843</v>
      </c>
      <c r="B2844" s="2" t="inlineStr">
        <is>
          <t>короткая</t>
        </is>
      </c>
      <c r="C2844" s="2" t="n">
        <v>10082</v>
      </c>
      <c r="D2844" s="3" t="inlineStr">
        <is>
          <t>Сердца должны гореть</t>
        </is>
      </c>
      <c r="E2844" s="2" t="n">
        <v>1960</v>
      </c>
      <c r="F2844" s="2" t="inlineStr">
        <is>
          <t>фильм-спектакль</t>
        </is>
      </c>
      <c r="G2844" s="2" t="inlineStr">
        <is>
          <t>Главная редакция литературно-драматических программ ЦТ</t>
        </is>
      </c>
      <c r="H2844" s="2" t="n">
        <v>296</v>
      </c>
      <c r="I2844" s="2" t="inlineStr"/>
      <c r="J2844" s="2" t="inlineStr"/>
      <c r="K2844" s="3" t="inlineStr">
        <is>
          <t>Действие происходит на строительстве крупной электростанции в Сибири. Производственный конфликт между начальником строительства Кротовым и главным инженером Юрьевым осложняется личными взаимоотношениями - Елена, жена Кротова, искренне полюбила Юрьева, человека принципиального, честного, доброго.</t>
        </is>
      </c>
      <c r="L2844" s="2" t="inlineStr">
        <is>
          <t>https://www.kino-teatr.ru/teatr/movie/79299/annot/</t>
        </is>
      </c>
      <c r="M2844" s="2">
        <f>HYPERLINK("https://ru.wikipedia.org/w/index.php?search=%D0%A1%D0%B5%D1%80%D0%B4%D1%86%D0%B0%20%D0%B4%D0%BE%D0%BB%D0%B6%D0%BD%D1%8B%20%D0%B3%D0%BE%D1%80%D0%B5%D1%82%D1%8C%201960%20%D1%84%D0%B8%D0%BB%D1%8C%D0%BC","искать")</f>
        <v/>
      </c>
      <c r="N2844" s="3" t="n"/>
      <c r="O2844" s="2" t="n"/>
    </row>
    <row r="2845">
      <c r="A2845" s="2" t="n">
        <v>2844</v>
      </c>
      <c r="B2845" s="2" t="inlineStr">
        <is>
          <t>короткая</t>
        </is>
      </c>
      <c r="C2845" s="2" t="n">
        <v>10342</v>
      </c>
      <c r="D2845" s="3" t="inlineStr">
        <is>
          <t>Христиане</t>
        </is>
      </c>
      <c r="E2845" s="2" t="n">
        <v>1969</v>
      </c>
      <c r="F2845" s="2" t="inlineStr">
        <is>
          <t>фильм-спектакль</t>
        </is>
      </c>
      <c r="G2845" s="2" t="inlineStr">
        <is>
          <t>Центральное телевидение</t>
        </is>
      </c>
      <c r="H2845" s="2" t="n">
        <v>296</v>
      </c>
      <c r="I2845" s="2" t="inlineStr"/>
      <c r="J2845" s="2" t="inlineStr"/>
      <c r="K2845" s="3" t="inlineStr">
        <is>
          <t>По мотивам одноименного судебного очерка Л. Андреева.
О судопроизводстве в дореволюционной России. На одном судебном заседании свидетельница Караулова, занимающаяся проституцией, отказалась принять присягу. "Я не считаю себя христианкой," - заявила она. Этот казус вызвал большое волнение в зале.</t>
        </is>
      </c>
      <c r="L2845" s="2" t="inlineStr">
        <is>
          <t>https://www.kino-teatr.ru/teatr/movie/103596/annot/</t>
        </is>
      </c>
      <c r="M2845" s="2">
        <f>HYPERLINK("https://ru.wikipedia.org/w/index.php?search=%D0%A5%D1%80%D0%B8%D1%81%D1%82%D0%B8%D0%B0%D0%BD%D0%B5%201969%20%D1%84%D0%B8%D0%BB%D1%8C%D0%BC","искать")</f>
        <v/>
      </c>
      <c r="N2845" s="3" t="n"/>
      <c r="O2845" s="2" t="n"/>
    </row>
    <row r="2846">
      <c r="A2846" s="2" t="n">
        <v>2845</v>
      </c>
      <c r="B2846" s="2" t="inlineStr">
        <is>
          <t>короткая</t>
        </is>
      </c>
      <c r="C2846" s="2" t="n">
        <v>7606</v>
      </c>
      <c r="D2846" s="3" t="inlineStr">
        <is>
          <t>Жили три холостяка</t>
        </is>
      </c>
      <c r="E2846" s="2" t="n">
        <v>1973</v>
      </c>
      <c r="F2846" s="2" t="inlineStr">
        <is>
          <t>телефильм</t>
        </is>
      </c>
      <c r="G2846" s="2" t="n"/>
      <c r="H2846" s="2" t="n">
        <v>297</v>
      </c>
      <c r="I2846" s="2" t="inlineStr"/>
      <c r="J2846" s="2" t="inlineStr"/>
      <c r="K2846" s="3" t="inlineStr">
        <is>
          <t>По мотивам водевиля В. Дыховичного «Свадебное путешествие». Весёлая музыкальная история о трех молодых аспирантах, друзьях с детства, поклявшихся во имя науки отказаться от всего, что может помешать их работе, в том числе и от знакомства с девушками, пока они не закончат работу над диссертациями.</t>
        </is>
      </c>
      <c r="L2846" s="2" t="inlineStr">
        <is>
          <t>Кино_СССР сводный каталог.xlsx: список телефильмов</t>
        </is>
      </c>
      <c r="M2846" s="2">
        <f>HYPERLINK("https://ru.wikipedia.org/w/index.php?search=%D0%96%D0%B8%D0%BB%D0%B8%20%D1%82%D1%80%D0%B8%20%D1%85%D0%BE%D0%BB%D0%BE%D1%81%D1%82%D1%8F%D0%BA%D0%B0%201973%20%D1%84%D0%B8%D0%BB%D1%8C%D0%BC","искать")</f>
        <v/>
      </c>
      <c r="N2846" s="3" t="n"/>
      <c r="O2846" s="2" t="n"/>
    </row>
    <row r="2847">
      <c r="A2847" s="2" t="n">
        <v>2846</v>
      </c>
      <c r="B2847" s="2" t="inlineStr">
        <is>
          <t>короткая</t>
        </is>
      </c>
      <c r="C2847" s="2" t="n">
        <v>7803</v>
      </c>
      <c r="D2847" s="3" t="inlineStr">
        <is>
          <t>Лето в Заборье</t>
        </is>
      </c>
      <c r="E2847" s="2" t="n">
        <v>1979</v>
      </c>
      <c r="F2847" s="2" t="inlineStr">
        <is>
          <t>телефильм</t>
        </is>
      </c>
      <c r="G2847" s="2" t="n"/>
      <c r="H2847" s="2" t="n">
        <v>297</v>
      </c>
      <c r="I2847" s="2" t="inlineStr"/>
      <c r="J2847" s="2" t="inlineStr"/>
      <c r="K2847" s="3" t="inlineStr">
        <is>
          <t>Замечательная история том, как мальчишки, приехавшие на время летних каникул в лесничество, вырастили журавленка, волчат и других лесных зверюшек. Ребята научились любить ценить и уважать как саму природу, так и её обитателей, а также осознали ответственность человека за сохранность флоры и фауны</t>
        </is>
      </c>
      <c r="L2847" s="2" t="inlineStr">
        <is>
          <t>Кино_СССР сводный каталог.xlsx: список телефильмов</t>
        </is>
      </c>
      <c r="M2847" s="2">
        <f>HYPERLINK("https://ru.wikipedia.org/w/index.php?search=%D0%9B%D0%B5%D1%82%D0%BE%20%D0%B2%20%D0%97%D0%B0%D0%B1%D0%BE%D1%80%D1%8C%D0%B5%201979%20%D1%84%D0%B8%D0%BB%D1%8C%D0%BC","искать")</f>
        <v/>
      </c>
      <c r="N2847" s="3" t="n"/>
      <c r="O2847" s="2" t="n"/>
    </row>
    <row r="2848">
      <c r="A2848" s="2" t="n">
        <v>2847</v>
      </c>
      <c r="B2848" s="2" t="inlineStr">
        <is>
          <t>короткая</t>
        </is>
      </c>
      <c r="C2848" s="2" t="n">
        <v>8801</v>
      </c>
      <c r="D2848" s="3" t="inlineStr">
        <is>
          <t>Ловушка для одинокого мужчины</t>
        </is>
      </c>
      <c r="E2848" s="2" t="n">
        <v>1990</v>
      </c>
      <c r="F2848" s="2" t="inlineStr">
        <is>
          <t>кинофильм</t>
        </is>
      </c>
      <c r="G2848" s="2" t="n"/>
      <c r="H2848" s="2" t="n">
        <v>297</v>
      </c>
      <c r="I2848" s="2" t="inlineStr"/>
      <c r="J2848" s="2" t="inlineStr"/>
      <c r="K2848" s="3" t="inlineStr">
        <is>
          <t>По мотивам пьесы Робера Тома "Ловушка". Несколько дней назад исчезла наследница миллионера Даниэля - его жена Элизабет. Он сообщил в полицию о происшествии. Именно поэтому он и ждет в своем уединенном, уютно обставленном коттедже звонка полицейского. Приходит кюре и сообщает, что привез беглянку.</t>
        </is>
      </c>
      <c r="L2848" s="2" t="inlineStr">
        <is>
          <t>Кино_СССР сводный каталог.xlsx: список фильмов (доп.)</t>
        </is>
      </c>
      <c r="M2848" s="2">
        <f>HYPERLINK("https://ru.wikipedia.org/w/index.php?search=%D0%9B%D0%BE%D0%B2%D1%83%D1%88%D0%BA%D0%B0%20%D0%B4%D0%BB%D1%8F%20%D0%BE%D0%B4%D0%B8%D0%BD%D0%BE%D0%BA%D0%BE%D0%B3%D0%BE%20%D0%BC%D1%83%D0%B6%D1%87%D0%B8%D0%BD%D1%8B%201990%20%D1%84%D0%B8%D0%BB%D1%8C%D0%BC","искать")</f>
        <v/>
      </c>
      <c r="N2848" s="3" t="n"/>
      <c r="O2848" s="2" t="n"/>
    </row>
    <row r="2849">
      <c r="A2849" s="2" t="n">
        <v>2848</v>
      </c>
      <c r="B2849" s="2" t="inlineStr">
        <is>
          <t>короткая</t>
        </is>
      </c>
      <c r="C2849" s="2" t="n">
        <v>8864</v>
      </c>
      <c r="D2849" s="3" t="inlineStr">
        <is>
          <t>Наш человек в Сан-Ремо</t>
        </is>
      </c>
      <c r="E2849" s="2" t="n">
        <v>1990</v>
      </c>
      <c r="F2849" s="2" t="inlineStr">
        <is>
          <t>кинофильм</t>
        </is>
      </c>
      <c r="G2849" s="2" t="n"/>
      <c r="H2849" s="2" t="n">
        <v>297</v>
      </c>
      <c r="I2849" s="2" t="inlineStr"/>
      <c r="J2849" s="2" t="inlineStr"/>
      <c r="K2849" s="3" t="inlineStr">
        <is>
          <t>Двое друзей: один с сибирской стройки, другой - выписавшийся из госпиталя "афганец" – едут отдохнуть к морю на Юг. Ну а какой отдых без сексапильных девушек?! Но надо же было такому случиться: в провинциальном ресторане он знакомится с талантливой певицей Таней (так ему во всяком случае кажется).</t>
        </is>
      </c>
      <c r="L2849" s="2" t="inlineStr">
        <is>
          <t>Кино_СССР сводный каталог.xlsx: список фильмов (доп.)</t>
        </is>
      </c>
      <c r="M2849" s="2">
        <f>HYPERLINK("https://ru.wikipedia.org/w/index.php?search=%D0%9D%D0%B0%D1%88%20%D1%87%D0%B5%D0%BB%D0%BE%D0%B2%D0%B5%D0%BA%20%D0%B2%20%D0%A1%D0%B0%D0%BD-%D0%A0%D0%B5%D0%BC%D0%BE%201990%20%D1%84%D0%B8%D0%BB%D1%8C%D0%BC","искать")</f>
        <v/>
      </c>
      <c r="N2849" s="3" t="n"/>
      <c r="O2849" s="2" t="n"/>
    </row>
    <row r="2850">
      <c r="A2850" s="2" t="n">
        <v>2849</v>
      </c>
      <c r="B2850" s="2" t="inlineStr">
        <is>
          <t>короткая</t>
        </is>
      </c>
      <c r="C2850" s="2" t="n">
        <v>9219</v>
      </c>
      <c r="D2850" s="3" t="inlineStr">
        <is>
          <t>Бархан</t>
        </is>
      </c>
      <c r="E2850" s="2" t="n">
        <v>1989</v>
      </c>
      <c r="F2850" s="2" t="inlineStr">
        <is>
          <t>кинофильм</t>
        </is>
      </c>
      <c r="G2850" s="2" t="n"/>
      <c r="H2850" s="2" t="n">
        <v>297</v>
      </c>
      <c r="I2850" s="2" t="inlineStr"/>
      <c r="J2850" s="2" t="inlineStr"/>
      <c r="K2850" s="3" t="inlineStr">
        <is>
          <t>По мотивам одноимённого рассказа Владимира Соколова. Молодые супруги - Ирина и Гоша - отправляются на машине из Москвы в Среднюю Азию к новому месту службы. Когда трасса сменяется бездорожьем, герои оказываются в сложной ситуации не только неопытных путешественников, но и свидетелей преступления.</t>
        </is>
      </c>
      <c r="L2850" s="2" t="inlineStr">
        <is>
          <t>Кино_СССР сводный каталог.xlsx: список фильмов (доп.)</t>
        </is>
      </c>
      <c r="M2850" s="2">
        <f>HYPERLINK("https://ru.wikipedia.org/w/index.php?search=%D0%91%D0%B0%D1%80%D1%85%D0%B0%D0%BD%201989%20%D1%84%D0%B8%D0%BB%D1%8C%D0%BC","искать")</f>
        <v/>
      </c>
      <c r="N2850" s="3" t="n"/>
      <c r="O2850" s="2" t="n"/>
    </row>
    <row r="2851">
      <c r="A2851" s="2" t="n">
        <v>2850</v>
      </c>
      <c r="B2851" s="2" t="inlineStr">
        <is>
          <t>короткая</t>
        </is>
      </c>
      <c r="C2851" s="2" t="n">
        <v>9435</v>
      </c>
      <c r="D2851" s="3" t="inlineStr">
        <is>
          <t>Кошкодав Сильвер</t>
        </is>
      </c>
      <c r="E2851" s="2" t="n">
        <v>1989</v>
      </c>
      <c r="F2851" s="2" t="inlineStr">
        <is>
          <t>кинофильм</t>
        </is>
      </c>
      <c r="G2851" s="2" t="n"/>
      <c r="H2851" s="2" t="n">
        <v>297</v>
      </c>
      <c r="I2851" s="2" t="inlineStr"/>
      <c r="J2851" s="2" t="inlineStr"/>
      <c r="K2851" s="3" t="inlineStr">
        <is>
          <t>По мотивам одноименного рассказа Виктора Конецкого. Герой фильма — пациент психиатрической больницы, вообразивший себя в брюхе кашалота, в которое он сам себя заточил, чтобы уйти от суеты и пошлости современного мира, чтобы не бороться со злом, чтобы жить в своем собственном, придуманном им мире.</t>
        </is>
      </c>
      <c r="L2851" s="2" t="inlineStr">
        <is>
          <t>Кино_СССР сводный каталог.xlsx: список фильмов (доп.)</t>
        </is>
      </c>
      <c r="M2851" s="2">
        <f>HYPERLINK("https://ru.wikipedia.org/w/index.php?search=%D0%9A%D0%BE%D1%88%D0%BA%D0%BE%D0%B4%D0%B0%D0%B2%20%D0%A1%D0%B8%D0%BB%D1%8C%D0%B2%D0%B5%D1%80%201989%20%D1%84%D0%B8%D0%BB%D1%8C%D0%BC","искать")</f>
        <v/>
      </c>
      <c r="N2851" s="3" t="n"/>
      <c r="O2851" s="2" t="n"/>
    </row>
    <row r="2852">
      <c r="A2852" s="2" t="n">
        <v>2851</v>
      </c>
      <c r="B2852" s="2" t="inlineStr">
        <is>
          <t>короткая</t>
        </is>
      </c>
      <c r="C2852" s="2" t="n">
        <v>9745</v>
      </c>
      <c r="D2852" s="3" t="inlineStr">
        <is>
          <t>Частный детектив, или Операция «Кооперация»</t>
        </is>
      </c>
      <c r="E2852" s="2" t="n">
        <v>1989</v>
      </c>
      <c r="F2852" s="2" t="inlineStr">
        <is>
          <t>кинофильм</t>
        </is>
      </c>
      <c r="G2852" s="2" t="n"/>
      <c r="H2852" s="2" t="n">
        <v>297</v>
      </c>
      <c r="I2852" s="2" t="inlineStr"/>
      <c r="J2852" s="2" t="inlineStr"/>
      <c r="K2852" s="3" t="inlineStr">
        <is>
          <t>Эксцентрическая криминальная комедия. Молодой предприниматель Дима открывает частное сыскное бюро и в судорожных поисках клиентов выходит на след банды, главарем которой оказывается один из его ближайших знакомых. Начинается опаснейшая схватка с погонями, переодеваниями и покушениями на убийство.</t>
        </is>
      </c>
      <c r="L2852" s="2" t="inlineStr">
        <is>
          <t>Кино_СССР сводный каталог.xlsx: список фильмов (доп.)</t>
        </is>
      </c>
      <c r="M2852" s="2">
        <f>HYPERLINK("https://ru.wikipedia.org/w/index.php?search=%D0%A7%D0%B0%D1%81%D1%82%D0%BD%D1%8B%D0%B9%20%D0%B4%D0%B5%D1%82%D0%B5%D0%BA%D1%82%D0%B8%D0%B2%2C%20%D0%B8%D0%BB%D0%B8%20%D0%9E%D0%BF%D0%B5%D1%80%D0%B0%D1%86%D0%B8%D1%8F%20%C2%AB%D0%9A%D0%BE%D0%BE%D0%BF%D0%B5%D1%80%D0%B0%D1%86%D0%B8%D1%8F%C2%BB%201989%20%D1%84%D0%B8%D0%BB%D1%8C%D0%BC","искать")</f>
        <v/>
      </c>
      <c r="N2852" s="3" t="n"/>
      <c r="O2852" s="2" t="n"/>
    </row>
    <row r="2853">
      <c r="A2853" s="2" t="n">
        <v>2852</v>
      </c>
      <c r="B2853" s="2" t="inlineStr">
        <is>
          <t>короткая</t>
        </is>
      </c>
      <c r="C2853" s="2" t="n">
        <v>10253</v>
      </c>
      <c r="D2853" s="3" t="inlineStr">
        <is>
          <t>Ма-аленькая!</t>
        </is>
      </c>
      <c r="E2853" s="2" t="n">
        <v>1968</v>
      </c>
      <c r="F2853" s="2" t="inlineStr">
        <is>
          <t>фильм-спектакль</t>
        </is>
      </c>
      <c r="G2853" s="2" t="inlineStr">
        <is>
          <t>Центральное ТВ</t>
        </is>
      </c>
      <c r="H2853" s="2" t="n">
        <v>297</v>
      </c>
      <c r="I2853" s="2" t="inlineStr"/>
      <c r="J2853" s="2" t="inlineStr"/>
      <c r="K2853" s="3" t="inlineStr">
        <is>
          <t>Фильм-спектакль по мотивам одноименного рассказа Максима Горького.
Молоденькая девушка живет на поселении в далекой сибирской деревне у пожилой четы. По сердцу пришлась она двум старикам. Когда девушка неожиданно умирает, они отправляются за многие версты в святые места молить о спасении её души.</t>
        </is>
      </c>
      <c r="L2853" s="2" t="inlineStr">
        <is>
          <t>https://www.kino-teatr.ru/teatr/movie/80907/annot/</t>
        </is>
      </c>
      <c r="M2853" s="2">
        <f>HYPERLINK("https://ru.wikipedia.org/w/index.php?search=%D0%9C%D0%B0-%D0%B0%D0%BB%D0%B5%D0%BD%D1%8C%D0%BA%D0%B0%D1%8F%21%201968%20%D1%84%D0%B8%D0%BB%D1%8C%D0%BC","искать")</f>
        <v/>
      </c>
      <c r="N2853" s="3" t="n"/>
      <c r="O2853" s="2" t="n"/>
    </row>
    <row r="2854">
      <c r="A2854" s="2" t="n">
        <v>2853</v>
      </c>
      <c r="B2854" s="2" t="inlineStr">
        <is>
          <t>короткая</t>
        </is>
      </c>
      <c r="C2854" s="2" t="n">
        <v>10473</v>
      </c>
      <c r="D2854" s="3" t="inlineStr">
        <is>
          <t>Теория невероятности</t>
        </is>
      </c>
      <c r="E2854" s="2" t="n">
        <v>1972</v>
      </c>
      <c r="F2854" s="2" t="inlineStr">
        <is>
          <t>фильм-спектакль</t>
        </is>
      </c>
      <c r="G2854" s="2" t="inlineStr">
        <is>
          <t>Главная редакция литературно-драматических программ ЦТ</t>
        </is>
      </c>
      <c r="H2854" s="2" t="n">
        <v>297</v>
      </c>
      <c r="I2854" s="2" t="inlineStr"/>
      <c r="J2854" s="2" t="inlineStr"/>
      <c r="K2854" s="3" t="inlineStr">
        <is>
          <t>По одноименной пьесе М.Анчарова в постановке Московского театра имени М.Н.Ермоловой.
Герой пьесы, физик Аносов, после неудавшегося научного эксперимента отправляется в "страну" своего детства - Благушу, некогда окраинный район Москвы. Воспоминания помогают герою найти силы для продолжения работы.</t>
        </is>
      </c>
      <c r="L2854" s="2" t="inlineStr">
        <is>
          <t>https://www.kino-teatr.ru/teatr/movie/79300/annot/</t>
        </is>
      </c>
      <c r="M2854" s="2">
        <f>HYPERLINK("https://ru.wikipedia.org/w/index.php?search=%D0%A2%D0%B5%D0%BE%D1%80%D0%B8%D1%8F%20%D0%BD%D0%B5%D0%B2%D0%B5%D1%80%D0%BE%D1%8F%D1%82%D0%BD%D0%BE%D1%81%D1%82%D0%B8%201972%20%D1%84%D0%B8%D0%BB%D1%8C%D0%BC","искать")</f>
        <v/>
      </c>
      <c r="N2854" s="3" t="n"/>
      <c r="O2854" s="2" t="n"/>
    </row>
    <row r="2855">
      <c r="A2855" s="2" t="n">
        <v>2854</v>
      </c>
      <c r="B2855" s="2" t="inlineStr">
        <is>
          <t>короткая</t>
        </is>
      </c>
      <c r="C2855" s="2" t="n">
        <v>10593</v>
      </c>
      <c r="D2855" s="3" t="inlineStr">
        <is>
          <t>Театр Клары Газуль</t>
        </is>
      </c>
      <c r="E2855" s="2" t="n">
        <v>1974</v>
      </c>
      <c r="F2855" s="2" t="inlineStr">
        <is>
          <t>фильм-спектакль</t>
        </is>
      </c>
      <c r="G2855" s="2" t="inlineStr">
        <is>
          <t>Главная редакция литературно-драматических программ ЦТ</t>
        </is>
      </c>
      <c r="H2855" s="2" t="n">
        <v>297</v>
      </c>
      <c r="I2855" s="2" t="inlineStr"/>
      <c r="J2855" s="2" t="inlineStr"/>
      <c r="K2855" s="3" t="inlineStr">
        <is>
          <t>Музыкальная фантазия по пьесам французского писателя П.Мериме "Женщина-дьявол" и "Карета святых даров".
Труппа бродячих актеров театра Клары Газуль, путешествуя по Гранадскому королевству, высмеивает в своих представлениях человеческие пороки, лживость вельмож и монахов времен разгула Инквизиции.</t>
        </is>
      </c>
      <c r="L2855" s="2" t="inlineStr">
        <is>
          <t>https://www.kino-teatr.ru/teatr/movie/17592/annot/</t>
        </is>
      </c>
      <c r="M2855" s="2">
        <f>HYPERLINK("https://ru.wikipedia.org/w/index.php?search=%D0%A2%D0%B5%D0%B0%D1%82%D1%80%20%D0%9A%D0%BB%D0%B0%D1%80%D1%8B%20%D0%93%D0%B0%D0%B7%D1%83%D0%BB%D1%8C%201974%20%D1%84%D0%B8%D0%BB%D1%8C%D0%BC","искать")</f>
        <v/>
      </c>
      <c r="N2855" s="3" t="n"/>
      <c r="O2855" s="2" t="n"/>
    </row>
    <row r="2856">
      <c r="A2856" s="2" t="n">
        <v>2855</v>
      </c>
      <c r="B2856" s="2" t="inlineStr">
        <is>
          <t>короткая</t>
        </is>
      </c>
      <c r="C2856" s="2" t="n">
        <v>7378</v>
      </c>
      <c r="D2856" s="3" t="inlineStr">
        <is>
          <t>Вот и лето прошло...</t>
        </is>
      </c>
      <c r="E2856" s="2" t="n">
        <v>1972</v>
      </c>
      <c r="F2856" s="2" t="inlineStr">
        <is>
          <t>телефильм</t>
        </is>
      </c>
      <c r="G2856" s="2" t="inlineStr">
        <is>
          <t>«Беларусьфильм»</t>
        </is>
      </c>
      <c r="H2856" s="2" t="n">
        <v>298</v>
      </c>
      <c r="I2856" s="2" t="inlineStr"/>
      <c r="J2856" s="2" t="inlineStr"/>
      <c r="K2856" s="3" t="inlineStr">
        <is>
          <t>Темка прощается с детским садом и воспитательницей — завтра он пойдет в первый класс. Для него начнется школьная жизнь, но ему нужно еще завершить много дел. Тема укладывает кирпичом лужу во дворе, признается дворнику, что разбил стекло, навещает больного дружка. Настоящая жизнь только начинается.</t>
        </is>
      </c>
      <c r="L2856" s="2" t="inlineStr">
        <is>
          <t>Кино_СССР сводный каталог.xlsx: список телефильмов</t>
        </is>
      </c>
      <c r="M2856" s="2">
        <f>HYPERLINK("https://ru.wikipedia.org/w/index.php?search=%D0%92%D0%BE%D1%82%20%D0%B8%20%D0%BB%D0%B5%D1%82%D0%BE%20%D0%BF%D1%80%D0%BE%D1%88%D0%BB%D0%BE...%201972%20%D1%84%D0%B8%D0%BB%D1%8C%D0%BC","искать")</f>
        <v/>
      </c>
      <c r="N2856" s="3" t="n"/>
      <c r="O2856" s="2" t="n"/>
    </row>
    <row r="2857">
      <c r="A2857" s="2" t="n">
        <v>2856</v>
      </c>
      <c r="B2857" s="2" t="inlineStr">
        <is>
          <t>короткая</t>
        </is>
      </c>
      <c r="C2857" s="2" t="n">
        <v>7801</v>
      </c>
      <c r="D2857" s="3" t="inlineStr">
        <is>
          <t>Лето в веснушках</t>
        </is>
      </c>
      <c r="E2857" s="2" t="n">
        <v>1988</v>
      </c>
      <c r="F2857" s="2" t="inlineStr">
        <is>
          <t>телефильм</t>
        </is>
      </c>
      <c r="G2857" s="2" t="n"/>
      <c r="H2857" s="2" t="n">
        <v>298</v>
      </c>
      <c r="I2857" s="2" t="inlineStr"/>
      <c r="J2857" s="2" t="inlineStr"/>
      <c r="K2857" s="3" t="inlineStr">
        <is>
          <t>Фильм поставлен по мотивам повести Бронюса Бушмы "Хорёк в силках". Одно лето из жизни десятилетнего мальчика Адулиса Бабарскаса, который живет в деревне с матерью и старшим братом Раполасом. Адулис благосклонен к дружбе брата с соседкой Живиле. В фильме мир взрослых людей показан глазами мальчика.</t>
        </is>
      </c>
      <c r="L2857" s="2" t="inlineStr">
        <is>
          <t>Кино_СССР сводный каталог.xlsx: список телефильмов</t>
        </is>
      </c>
      <c r="M2857" s="2">
        <f>HYPERLINK("https://ru.wikipedia.org/w/index.php?search=%D0%9B%D0%B5%D1%82%D0%BE%20%D0%B2%20%D0%B2%D0%B5%D1%81%D0%BD%D1%83%D1%88%D0%BA%D0%B0%D1%85%201988%20%D1%84%D0%B8%D0%BB%D1%8C%D0%BC","искать")</f>
        <v/>
      </c>
      <c r="N2857" s="3" t="n"/>
      <c r="O2857" s="2" t="n"/>
    </row>
    <row r="2858">
      <c r="A2858" s="2" t="n">
        <v>2857</v>
      </c>
      <c r="B2858" s="2" t="inlineStr">
        <is>
          <t>короткая</t>
        </is>
      </c>
      <c r="C2858" s="2" t="n">
        <v>7916</v>
      </c>
      <c r="D2858" s="3" t="inlineStr">
        <is>
          <t>Мы - ваши дети</t>
        </is>
      </c>
      <c r="E2858" s="2" t="n">
        <v>1987</v>
      </c>
      <c r="F2858" s="2" t="inlineStr">
        <is>
          <t>телефильм</t>
        </is>
      </c>
      <c r="G2858" s="2" t="n"/>
      <c r="H2858" s="2" t="n">
        <v>298</v>
      </c>
      <c r="I2858" s="2" t="inlineStr"/>
      <c r="J2858" s="2" t="inlineStr"/>
      <c r="K2858" s="3" t="inlineStr">
        <is>
          <t>Драма по мотивам пьесы Г. Никитина и О. Пыжовой «Иван». Директор сельского ПТУ, Демидова, старается сделать все возможное, чтобы воспитать учеников широко образованными людьми. Искренне преданная работе, она, однако, не хочет видеть своего сына среди учеников ПТУ, но он все же поступает в училище.</t>
        </is>
      </c>
      <c r="L2858" s="2" t="inlineStr">
        <is>
          <t>Кино_СССР сводный каталог.xlsx: список телефильмов</t>
        </is>
      </c>
      <c r="M2858" s="2">
        <f>HYPERLINK("https://ru.wikipedia.org/w/index.php?search=%D0%9C%D1%8B%20-%20%D0%B2%D0%B0%D1%88%D0%B8%20%D0%B4%D0%B5%D1%82%D0%B8%201987%20%D1%84%D0%B8%D0%BB%D1%8C%D0%BC","искать")</f>
        <v/>
      </c>
      <c r="N2858" s="3" t="n"/>
      <c r="O2858" s="2" t="n"/>
    </row>
    <row r="2859">
      <c r="A2859" s="2" t="n">
        <v>2858</v>
      </c>
      <c r="B2859" s="2" t="inlineStr">
        <is>
          <t>короткая</t>
        </is>
      </c>
      <c r="C2859" s="2" t="n">
        <v>8100</v>
      </c>
      <c r="D2859" s="3" t="inlineStr">
        <is>
          <t>Переходим к любви</t>
        </is>
      </c>
      <c r="E2859" s="2" t="n">
        <v>1975</v>
      </c>
      <c r="F2859" s="2" t="inlineStr">
        <is>
          <t>телефильм</t>
        </is>
      </c>
      <c r="G2859" s="2" t="inlineStr">
        <is>
          <t>к/с им. Довженко</t>
        </is>
      </c>
      <c r="H2859" s="2" t="n">
        <v>298</v>
      </c>
      <c r="I2859" s="2" t="inlineStr"/>
      <c r="J2859" s="2" t="inlineStr"/>
      <c r="K2859" s="3" t="inlineStr">
        <is>
          <t>По мотивам одноименного романа Павла Загребельного. Рабочий Дмитрий Череда — известный человек на заводе, о нем пишут в газетах. Первым разочарованием в жизни Дмитрия стала неразделенная любовь к начинающей певице Валерии. Думая о своей артистической карьере, она легко расстается с рабочим парнем.</t>
        </is>
      </c>
      <c r="L2859" s="2" t="inlineStr">
        <is>
          <t>Кино_СССР сводный каталог.xlsx: список телефильмов</t>
        </is>
      </c>
      <c r="M2859" s="2">
        <f>HYPERLINK("https://ru.wikipedia.org/w/index.php?search=%D0%9F%D0%B5%D1%80%D0%B5%D1%85%D0%BE%D0%B4%D0%B8%D0%BC%20%D0%BA%20%D0%BB%D1%8E%D0%B1%D0%B2%D0%B8%201975%20%D1%84%D0%B8%D0%BB%D1%8C%D0%BC","искать")</f>
        <v/>
      </c>
      <c r="N2859" s="3" t="n"/>
      <c r="O2859" s="2" t="n"/>
    </row>
    <row r="2860">
      <c r="A2860" s="2" t="n">
        <v>2859</v>
      </c>
      <c r="B2860" s="2" t="inlineStr">
        <is>
          <t>короткая</t>
        </is>
      </c>
      <c r="C2860" s="2" t="n">
        <v>8452</v>
      </c>
      <c r="D2860" s="3" t="inlineStr">
        <is>
          <t>Тётя Маруся</t>
        </is>
      </c>
      <c r="E2860" s="2" t="n">
        <v>1985</v>
      </c>
      <c r="F2860" s="2" t="inlineStr">
        <is>
          <t>телефильм</t>
        </is>
      </c>
      <c r="G2860" s="2" t="n"/>
      <c r="H2860" s="2" t="n">
        <v>298</v>
      </c>
      <c r="I2860" s="2" t="inlineStr"/>
      <c r="J2860" s="2" t="inlineStr"/>
      <c r="K2860" s="3" t="inlineStr">
        <is>
          <t>По мотивам одноименной повести Галины Поповой. Простая русская женщина, потеряв мужа и сына, оказалась в чужой семье и воспитала чужого ребенка. ...Мария более тридцати лет живет в семье Алимовых. Когда-то судьба свела ее с Ларисой Алимовой, которая из-за болезни не могла растить своего сына Петю.</t>
        </is>
      </c>
      <c r="L2860" s="2" t="inlineStr">
        <is>
          <t>Кино_СССР сводный каталог.xlsx: список телефильмов</t>
        </is>
      </c>
      <c r="M2860" s="2">
        <f>HYPERLINK("https://ru.wikipedia.org/w/index.php?search=%D0%A2%D1%91%D1%82%D1%8F%20%D0%9C%D0%B0%D1%80%D1%83%D1%81%D1%8F%201985%20%D1%84%D0%B8%D0%BB%D1%8C%D0%BC","искать")</f>
        <v/>
      </c>
      <c r="N2860" s="3" t="n"/>
      <c r="O2860" s="2" t="n"/>
    </row>
    <row r="2861">
      <c r="A2861" s="2" t="n">
        <v>2860</v>
      </c>
      <c r="B2861" s="2" t="inlineStr">
        <is>
          <t>короткая</t>
        </is>
      </c>
      <c r="C2861" s="2" t="n">
        <v>8547</v>
      </c>
      <c r="D2861" s="3" t="inlineStr">
        <is>
          <t>Человек меняет кожу</t>
        </is>
      </c>
      <c r="E2861" s="2" t="n">
        <v>1978</v>
      </c>
      <c r="F2861" s="2" t="inlineStr">
        <is>
          <t>телефильм</t>
        </is>
      </c>
      <c r="G2861" s="2" t="n"/>
      <c r="H2861" s="2" t="n">
        <v>298</v>
      </c>
      <c r="I2861" s="2" t="inlineStr"/>
      <c r="J2861" s="2" t="inlineStr"/>
      <c r="K2861" s="3" t="inlineStr">
        <is>
          <t>Телесериал по мотивам одноименного романа Бруно Ясенского. Действие фильма происходит в начале 30-х годов на строительстве Вахшского канала в Таджикистане. Иностранный агент Мурри, прибывший в Советский Союз по контракту как инженер-строитель, со своими сообщниками готовит взрыв перемычки плотины.</t>
        </is>
      </c>
      <c r="L2861" s="2" t="inlineStr">
        <is>
          <t>Кино_СССР сводный каталог.xlsx: список телефильмов</t>
        </is>
      </c>
      <c r="M2861" s="2">
        <f>HYPERLINK("https://ru.wikipedia.org/w/index.php?search=%D0%A7%D0%B5%D0%BB%D0%BE%D0%B2%D0%B5%D0%BA%20%D0%BC%D0%B5%D0%BD%D1%8F%D0%B5%D1%82%20%D0%BA%D0%BE%D0%B6%D1%83%201978%20%D1%84%D0%B8%D0%BB%D1%8C%D0%BC","искать")</f>
        <v/>
      </c>
      <c r="N2861" s="3" t="n"/>
      <c r="O2861" s="2" t="n"/>
    </row>
    <row r="2862">
      <c r="A2862" s="2" t="n">
        <v>2861</v>
      </c>
      <c r="B2862" s="2" t="inlineStr">
        <is>
          <t>короткая</t>
        </is>
      </c>
      <c r="C2862" s="2" t="n">
        <v>8617</v>
      </c>
      <c r="D2862" s="3" t="inlineStr">
        <is>
          <t>Ясь и Янина</t>
        </is>
      </c>
      <c r="E2862" s="2" t="n">
        <v>1974</v>
      </c>
      <c r="F2862" s="2" t="inlineStr">
        <is>
          <t>телефильм</t>
        </is>
      </c>
      <c r="G2862" s="2" t="n"/>
      <c r="H2862" s="2" t="n">
        <v>298</v>
      </c>
      <c r="I2862" s="2" t="inlineStr"/>
      <c r="J2862" s="2" t="inlineStr"/>
      <c r="K2862" s="3" t="inlineStr">
        <is>
          <t>О веселых приключениях молодых влюбленных. В этой картине дебютировал в качестве драматического актёра Владимир Мулявин. В этом же фильме впервые прозвучали некоторые композиции "Песняров", ставшие впоследствии хитами. Именно в картине впервые прозвучала известная аранжировка "Касіў Ясь канюшыну".</t>
        </is>
      </c>
      <c r="L2862" s="2" t="inlineStr">
        <is>
          <t>Кино_СССР сводный каталог.xlsx: список телефильмов</t>
        </is>
      </c>
      <c r="M2862" s="2">
        <f>HYPERLINK("https://ru.wikipedia.org/w/index.php?search=%D0%AF%D1%81%D1%8C%20%D0%B8%20%D0%AF%D0%BD%D0%B8%D0%BD%D0%B0%201974%20%D1%84%D0%B8%D0%BB%D1%8C%D0%BC","искать")</f>
        <v/>
      </c>
      <c r="N2862" s="3" t="n"/>
      <c r="O2862" s="2" t="n"/>
    </row>
    <row r="2863">
      <c r="A2863" s="2" t="n">
        <v>2862</v>
      </c>
      <c r="B2863" s="2" t="inlineStr">
        <is>
          <t>короткая</t>
        </is>
      </c>
      <c r="C2863" s="2" t="n">
        <v>8919</v>
      </c>
      <c r="D2863" s="3" t="inlineStr">
        <is>
          <t>Паспорт</t>
        </is>
      </c>
      <c r="E2863" s="2" t="n">
        <v>1990</v>
      </c>
      <c r="F2863" s="2" t="inlineStr">
        <is>
          <t>кинофильм</t>
        </is>
      </c>
      <c r="G2863" s="2" t="n"/>
      <c r="H2863" s="2" t="n">
        <v>298</v>
      </c>
      <c r="I2863" s="2" t="inlineStr"/>
      <c r="J2863" s="2" t="inlineStr"/>
      <c r="K2863" s="3" t="inlineStr">
        <is>
          <t>История рассказывает о приключениях таксиста Мераба Папашвили, который вместо родного брата, хормейстера детского хора Якова, случайно оказался в Израиле. Пребывание там практически с первого дня стало для него поисками пути для возвращения домой. Путь этот полон приключений и комедийных ситуаций.</t>
        </is>
      </c>
      <c r="L2863" s="2" t="inlineStr">
        <is>
          <t>Кино_СССР сводный каталог.xlsx: список фильмов (доп.)</t>
        </is>
      </c>
      <c r="M2863" s="2">
        <f>HYPERLINK("https://ru.wikipedia.org/w/index.php?search=%D0%9F%D0%B0%D1%81%D0%BF%D0%BE%D1%80%D1%82%201990%20%D1%84%D0%B8%D0%BB%D1%8C%D0%BC","искать")</f>
        <v/>
      </c>
      <c r="N2863" s="3" t="n"/>
      <c r="O2863" s="2" t="n"/>
    </row>
    <row r="2864">
      <c r="A2864" s="2" t="n">
        <v>2863</v>
      </c>
      <c r="B2864" s="2" t="inlineStr">
        <is>
          <t>короткая</t>
        </is>
      </c>
      <c r="C2864" s="2" t="n">
        <v>9025</v>
      </c>
      <c r="D2864" s="3" t="inlineStr">
        <is>
          <t>Савраска</t>
        </is>
      </c>
      <c r="E2864" s="2" t="n">
        <v>1989</v>
      </c>
      <c r="F2864" s="2" t="inlineStr">
        <is>
          <t>кинофильм</t>
        </is>
      </c>
      <c r="G2864" s="2" t="n"/>
      <c r="H2864" s="2" t="n">
        <v>298</v>
      </c>
      <c r="I2864" s="2" t="inlineStr"/>
      <c r="J2864" s="2" t="inlineStr"/>
      <c r="K2864" s="3" t="inlineStr">
        <is>
          <t>В южном портовом городе живет мальчик Парамон Саврасов. Внешне жизнь Савраски, как называли его друзья, проходит довольно-таки обыкновенно: школьные дела, домашние обязанности. Приближение 8 Марта нарушает обычный ритм жизни. Савраска решил раздобыть денег на подарок маме и однокласснице Серафиме.</t>
        </is>
      </c>
      <c r="L2864" s="2" t="inlineStr">
        <is>
          <t>Кино_СССР сводный каталог.xlsx: список фильмов (доп.)</t>
        </is>
      </c>
      <c r="M2864" s="2">
        <f>HYPERLINK("https://ru.wikipedia.org/w/index.php?search=%D0%A1%D0%B0%D0%B2%D1%80%D0%B0%D1%81%D0%BA%D0%B0%201989%20%D1%84%D0%B8%D0%BB%D1%8C%D0%BC","искать")</f>
        <v/>
      </c>
      <c r="N2864" s="3" t="n"/>
      <c r="O2864" s="2" t="n"/>
    </row>
    <row r="2865">
      <c r="A2865" s="2" t="n">
        <v>2864</v>
      </c>
      <c r="B2865" s="2" t="inlineStr">
        <is>
          <t>короткая</t>
        </is>
      </c>
      <c r="C2865" s="2" t="n">
        <v>9368</v>
      </c>
      <c r="D2865" s="3" t="inlineStr">
        <is>
          <t>Закат</t>
        </is>
      </c>
      <c r="E2865" s="2" t="n">
        <v>1990</v>
      </c>
      <c r="F2865" s="2" t="inlineStr">
        <is>
          <t>кинофильм</t>
        </is>
      </c>
      <c r="G2865" s="2" t="n"/>
      <c r="H2865" s="2" t="n">
        <v>298</v>
      </c>
      <c r="I2865" s="2" t="inlineStr"/>
      <c r="J2865" s="2" t="inlineStr"/>
      <c r="K2865" s="3" t="inlineStr">
        <is>
          <t>Драматическая фантазия на темы Исаака Бабеля. Старый богатый еврей Мендель Крик влюбился в красавицу Марусю. Но мечты о цветущей Бессарабии, где они с Марусей доживут свои денечки, не понравились его сыновьям - Левке и Бене. Не продан старый дом, не куплены сады, забыта Маруся... Пришла революция.</t>
        </is>
      </c>
      <c r="L2865" s="2" t="inlineStr">
        <is>
          <t>Кино_СССР сводный каталог.xlsx: список фильмов (доп.)</t>
        </is>
      </c>
      <c r="M2865" s="2">
        <f>HYPERLINK("https://ru.wikipedia.org/w/index.php?search=%D0%97%D0%B0%D0%BA%D0%B0%D1%82%201990%20%D1%84%D0%B8%D0%BB%D1%8C%D0%BC","искать")</f>
        <v/>
      </c>
      <c r="N2865" s="3" t="n"/>
      <c r="O2865" s="2" t="n"/>
    </row>
    <row r="2866">
      <c r="A2866" s="2" t="n">
        <v>2865</v>
      </c>
      <c r="B2866" s="2" t="inlineStr">
        <is>
          <t>короткая</t>
        </is>
      </c>
      <c r="C2866" s="2" t="n">
        <v>9532</v>
      </c>
      <c r="D2866" s="3" t="inlineStr">
        <is>
          <t>Отец и сын</t>
        </is>
      </c>
      <c r="E2866" s="2" t="n">
        <v>1936</v>
      </c>
      <c r="F2866" s="2" t="inlineStr">
        <is>
          <t>кинофильм</t>
        </is>
      </c>
      <c r="G2866" s="2" t="n"/>
      <c r="H2866" s="2" t="n">
        <v>298</v>
      </c>
      <c r="I2866" s="2" t="inlineStr"/>
      <c r="J2866" s="2" t="inlineStr"/>
      <c r="K2866" s="3" t="inlineStr">
        <is>
          <t>На экраны фильм не вышел. Психологическая драма о сложных взаимоотношениях двенадцатилетнего мальчика и его отца - директора завода, ушедшего полностью в дела производства и не уделяющего сыну внимания. Мальчик забрасывает учебу после ссоры с отцом, уходит из дома и сталкивается с уголовным миром.</t>
        </is>
      </c>
      <c r="L2866" s="2" t="inlineStr">
        <is>
          <t>Кино_СССР сводный каталог.xlsx: список фильмов (доп.)</t>
        </is>
      </c>
      <c r="M2866" s="2">
        <f>HYPERLINK("https://ru.wikipedia.org/w/index.php?search=%D0%9E%D1%82%D0%B5%D1%86%20%D0%B8%20%D1%81%D1%8B%D0%BD%201936%20%D1%84%D0%B8%D0%BB%D1%8C%D0%BC","искать")</f>
        <v/>
      </c>
      <c r="N2866" s="3" t="n"/>
      <c r="O2866" s="2" t="n"/>
    </row>
    <row r="2867">
      <c r="A2867" s="2" t="n">
        <v>2866</v>
      </c>
      <c r="B2867" s="2" t="inlineStr">
        <is>
          <t>короткая</t>
        </is>
      </c>
      <c r="C2867" s="2" t="n">
        <v>9601</v>
      </c>
      <c r="D2867" s="3" t="inlineStr">
        <is>
          <t>Прохиндиада, или Бег на месте</t>
        </is>
      </c>
      <c r="E2867" s="2" t="n">
        <v>1984</v>
      </c>
      <c r="F2867" s="2" t="inlineStr">
        <is>
          <t>кинофильм</t>
        </is>
      </c>
      <c r="G2867" s="2" t="n"/>
      <c r="H2867" s="2" t="n">
        <v>298</v>
      </c>
      <c r="I2867" s="2" t="inlineStr"/>
      <c r="J2867" s="2" t="inlineStr"/>
      <c r="K2867" s="3" t="inlineStr">
        <is>
          <t>Сатирическая комедия с элементами гротеска. Герой ленты — обаятельный ловкач и тонкий психолог «нужных душ», сотрудник солидного научно-исследовательского института Сан Саныч Любомудров — в тяжелые дни, когда «застой» вроде бы уже и позади, а новые дни еще не наступили, становится королем бартера.</t>
        </is>
      </c>
      <c r="L2867" s="2" t="inlineStr">
        <is>
          <t>Кино_СССР сводный каталог.xlsx: список фильмов (доп.)</t>
        </is>
      </c>
      <c r="M2867" s="2">
        <f>HYPERLINK("https://ru.wikipedia.org/w/index.php?search=%D0%9F%D1%80%D0%BE%D1%85%D0%B8%D0%BD%D0%B4%D0%B8%D0%B0%D0%B4%D0%B0%2C%20%D0%B8%D0%BB%D0%B8%20%D0%91%D0%B5%D0%B3%20%D0%BD%D0%B0%20%D0%BC%D0%B5%D1%81%D1%82%D0%B5%201984%20%D1%84%D0%B8%D0%BB%D1%8C%D0%BC","искать")</f>
        <v/>
      </c>
      <c r="N2867" s="3" t="n"/>
      <c r="O2867" s="2" t="n"/>
    </row>
    <row r="2868">
      <c r="A2868" s="2" t="n">
        <v>2867</v>
      </c>
      <c r="B2868" s="2" t="inlineStr">
        <is>
          <t>короткая</t>
        </is>
      </c>
      <c r="C2868" s="2" t="n">
        <v>9759</v>
      </c>
      <c r="D2868" s="3" t="inlineStr">
        <is>
          <t>Чудо-женщина</t>
        </is>
      </c>
      <c r="E2868" s="2" t="n">
        <v>1990</v>
      </c>
      <c r="F2868" s="2" t="inlineStr">
        <is>
          <t>кинофильм</t>
        </is>
      </c>
      <c r="G2868" s="2" t="n"/>
      <c r="H2868" s="2" t="n">
        <v>298</v>
      </c>
      <c r="I2868" s="2" t="inlineStr"/>
      <c r="J2868" s="2" t="inlineStr"/>
      <c r="K2868" s="3" t="inlineStr">
        <is>
          <t>По пьесе Шарафа Башбекова "Железная женщина". Железная девушка Аломат в прямом смысле слова - железная. Стирка, кухня, полевые работы, танцы - все это "зашито" в память электронной подруги молодого программиста, который отдает ее на время своему другу, Кучкару, тяжело переживающему развод с женой.</t>
        </is>
      </c>
      <c r="L2868" s="2" t="inlineStr">
        <is>
          <t>Кино_СССР сводный каталог.xlsx: список фильмов (доп.)</t>
        </is>
      </c>
      <c r="M2868" s="2">
        <f>HYPERLINK("https://ru.wikipedia.org/w/index.php?search=%D0%A7%D1%83%D0%B4%D0%BE-%D0%B6%D0%B5%D0%BD%D1%89%D0%B8%D0%BD%D0%B0%201990%20%D1%84%D0%B8%D0%BB%D1%8C%D0%BC","искать")</f>
        <v/>
      </c>
      <c r="N2868" s="3" t="n"/>
      <c r="O2868" s="2" t="n"/>
    </row>
    <row r="2869">
      <c r="A2869" s="2" t="n">
        <v>2868</v>
      </c>
      <c r="B2869" s="2" t="inlineStr">
        <is>
          <t>короткая</t>
        </is>
      </c>
      <c r="C2869" s="2" t="n">
        <v>9787</v>
      </c>
      <c r="D2869" s="3" t="inlineStr">
        <is>
          <t>Яр</t>
        </is>
      </c>
      <c r="E2869" s="2" t="n">
        <v>1991</v>
      </c>
      <c r="F2869" s="2" t="inlineStr">
        <is>
          <t>кинофильм</t>
        </is>
      </c>
      <c r="G2869" s="2" t="n"/>
      <c r="H2869" s="2" t="n">
        <v>298</v>
      </c>
      <c r="I2869" s="2" t="inlineStr"/>
      <c r="J2869" s="2" t="inlineStr"/>
      <c r="K2869" s="3" t="inlineStr">
        <is>
          <t>Историческая мелодрама по повести Сергея Есенина. После появления пришлого мастера оружейного дела на затерянную в лесах деревню обрушиваются несчастья: мрет скот, появляются волки, трагически накаляются страсти. Чувствуя, что скоро начнется "охота на ведьм", оружейник пытается покинуть эти места.</t>
        </is>
      </c>
      <c r="L2869" s="2" t="inlineStr">
        <is>
          <t>Кино_СССР сводный каталог.xlsx: список фильмов (доп.)</t>
        </is>
      </c>
      <c r="M2869" s="2">
        <f>HYPERLINK("https://ru.wikipedia.org/w/index.php?search=%D0%AF%D1%80%201991%20%D1%84%D0%B8%D0%BB%D1%8C%D0%BC","искать")</f>
        <v/>
      </c>
      <c r="N2869" s="3" t="n"/>
      <c r="O2869" s="2" t="n"/>
    </row>
    <row r="2870">
      <c r="A2870" s="2" t="n">
        <v>2869</v>
      </c>
      <c r="B2870" s="2" t="inlineStr">
        <is>
          <t>короткая</t>
        </is>
      </c>
      <c r="C2870" s="2" t="n">
        <v>11052</v>
      </c>
      <c r="D2870" s="3" t="inlineStr">
        <is>
          <t>Будьте здоровы</t>
        </is>
      </c>
      <c r="E2870" s="2" t="n">
        <v>1985</v>
      </c>
      <c r="F2870" s="2" t="inlineStr">
        <is>
          <t>фильм-спектакль</t>
        </is>
      </c>
      <c r="G2870" s="2" t="n"/>
      <c r="H2870" s="2" t="n">
        <v>298</v>
      </c>
      <c r="I2870" s="2" t="inlineStr"/>
      <c r="J2870" s="2" t="inlineStr"/>
      <c r="K2870" s="3" t="inlineStr">
        <is>
          <t>Комедийно-детективная история по пьесе Пьера Шено.
Спектакль Театра им. Вахтангова.
Умирает известный писатель Стефан Буасьер. Многие хотят поправить свои дела за счет его кончины. Но усопший неожиданно оживает. Родные стараются скрыть факт его воскрешения, для чего идут на всевозможные ухищрения.</t>
        </is>
      </c>
      <c r="L2870" s="2" t="inlineStr">
        <is>
          <t>https://www.kino-teatr.ru/teatr/movie/10725/annot/</t>
        </is>
      </c>
      <c r="M2870" s="2">
        <f>HYPERLINK("https://ru.wikipedia.org/w/index.php?search=%D0%91%D1%83%D0%B4%D1%8C%D1%82%D0%B5%20%D0%B7%D0%B4%D0%BE%D1%80%D0%BE%D0%B2%D1%8B%201985%20%D1%84%D0%B8%D0%BB%D1%8C%D0%BC","искать")</f>
        <v/>
      </c>
      <c r="N2870" s="3" t="n"/>
      <c r="O2870" s="2" t="n"/>
    </row>
    <row r="2871">
      <c r="A2871" s="2" t="n">
        <v>2870</v>
      </c>
      <c r="B2871" s="2" t="inlineStr">
        <is>
          <t>короткая</t>
        </is>
      </c>
      <c r="C2871" s="2" t="n">
        <v>7571</v>
      </c>
      <c r="D2871" s="3" t="inlineStr">
        <is>
          <t>Его отпуск</t>
        </is>
      </c>
      <c r="E2871" s="2" t="n">
        <v>1981</v>
      </c>
      <c r="F2871" s="2" t="inlineStr">
        <is>
          <t>телефильм</t>
        </is>
      </c>
      <c r="G2871" s="2" t="n"/>
      <c r="H2871" s="2" t="n">
        <v>299</v>
      </c>
      <c r="I2871" s="2" t="inlineStr"/>
      <c r="J2871" s="2" t="inlineStr"/>
      <c r="K2871" s="3" t="inlineStr">
        <is>
          <t>Телефильм. Цех крупного минского завода. Рабочий-передовик Кораблев устанавливает, что причина постоянных проблем с производством продукции в некачественных деталях смежников. Кораблев берет отпуск, едет в другой город на завод "Красный луг" и устраивается на работу, скрывая истинный мотив приезда.</t>
        </is>
      </c>
      <c r="L2871" s="2" t="inlineStr">
        <is>
          <t>Кино_СССР сводный каталог.xlsx: список телефильмов</t>
        </is>
      </c>
      <c r="M2871" s="2">
        <f>HYPERLINK("https://ru.wikipedia.org/w/index.php?search=%D0%95%D0%B3%D0%BE%20%D0%BE%D1%82%D0%BF%D1%83%D1%81%D0%BA%201981%20%D1%84%D0%B8%D0%BB%D1%8C%D0%BC","искать")</f>
        <v/>
      </c>
      <c r="N2871" s="3" t="n"/>
      <c r="O2871" s="2" t="n"/>
    </row>
    <row r="2872">
      <c r="A2872" s="2" t="n">
        <v>2871</v>
      </c>
      <c r="B2872" s="2" t="inlineStr">
        <is>
          <t>короткая</t>
        </is>
      </c>
      <c r="C2872" s="2" t="n">
        <v>8926</v>
      </c>
      <c r="D2872" s="3" t="inlineStr">
        <is>
          <t>Перелет воробьев</t>
        </is>
      </c>
      <c r="E2872" s="2" t="n">
        <v>1980</v>
      </c>
      <c r="F2872" s="2" t="inlineStr">
        <is>
          <t>кинофильм</t>
        </is>
      </c>
      <c r="G2872" s="2" t="n"/>
      <c r="H2872" s="2" t="n">
        <v>299</v>
      </c>
      <c r="I2872" s="2" t="inlineStr"/>
      <c r="J2872" s="2" t="inlineStr"/>
      <c r="K2872" s="3" t="inlineStr">
        <is>
          <t>Весь фильм – это одно путешествие. Путешествие в пассажирском вагоне второго класса по советской Грузии. Люди ютятся на тесных сиденьях, кое-кто пытается устроиться на лежачих местах – полках. Главным «развлечением» становится элегантный блондин, который уверяет, что он – актер и объездил весь мир.</t>
        </is>
      </c>
      <c r="L2872" s="2" t="inlineStr">
        <is>
          <t>Кино_СССР сводный каталог.xlsx: список фильмов (доп.)</t>
        </is>
      </c>
      <c r="M2872" s="2">
        <f>HYPERLINK("https://ru.wikipedia.org/w/index.php?search=%D0%9F%D0%B5%D1%80%D0%B5%D0%BB%D0%B5%D1%82%20%D0%B2%D0%BE%D1%80%D0%BE%D0%B1%D1%8C%D0%B5%D0%B2%201980%20%D1%84%D0%B8%D0%BB%D1%8C%D0%BC","искать")</f>
        <v/>
      </c>
      <c r="N2872" s="3" t="n"/>
      <c r="O2872" s="2" t="n"/>
    </row>
    <row r="2873">
      <c r="A2873" s="2" t="n">
        <v>2872</v>
      </c>
      <c r="B2873" s="2" t="inlineStr">
        <is>
          <t>короткая</t>
        </is>
      </c>
      <c r="C2873" s="2" t="n">
        <v>8970</v>
      </c>
      <c r="D2873" s="3" t="inlineStr">
        <is>
          <t>Право на женщину</t>
        </is>
      </c>
      <c r="E2873" s="2" t="n">
        <v>1930</v>
      </c>
      <c r="F2873" s="2" t="inlineStr">
        <is>
          <t>кинофильм</t>
        </is>
      </c>
      <c r="G2873" s="2" t="n"/>
      <c r="H2873" s="2" t="n">
        <v>299</v>
      </c>
      <c r="I2873" s="2" t="inlineStr"/>
      <c r="J2873" s="2" t="inlineStr"/>
      <c r="K2873" s="3" t="inlineStr">
        <is>
          <t>"Героиня фильма уходит от мужа, не разрешающего ей учиться, забирает с собой ребенка и поступает в мединститут. Ребенок заболевает и умирает, но даже это потрясение не в силах вернуть женщину к прежней жизни: она продолжает учебу в институте и становится хирургом. ...Фильм сохранился без 5-й части.</t>
        </is>
      </c>
      <c r="L2873" s="2" t="inlineStr">
        <is>
          <t>Кино_СССР сводный каталог.xlsx: список фильмов (доп.)</t>
        </is>
      </c>
      <c r="M2873" s="2">
        <f>HYPERLINK("https://ru.wikipedia.org/w/index.php?search=%D0%9F%D1%80%D0%B0%D0%B2%D0%BE%20%D0%BD%D0%B0%20%D0%B6%D0%B5%D0%BD%D1%89%D0%B8%D0%BD%D1%83%201930%20%D1%84%D0%B8%D0%BB%D1%8C%D0%BC","искать")</f>
        <v/>
      </c>
      <c r="N2873" s="3" t="n"/>
      <c r="O2873" s="2" t="n"/>
    </row>
    <row r="2874">
      <c r="A2874" s="2" t="n">
        <v>2873</v>
      </c>
      <c r="B2874" s="2" t="inlineStr">
        <is>
          <t>короткая</t>
        </is>
      </c>
      <c r="C2874" s="2" t="n">
        <v>9281</v>
      </c>
      <c r="D2874" s="3" t="inlineStr">
        <is>
          <t>Воры в законе</t>
        </is>
      </c>
      <c r="E2874" s="2" t="n">
        <v>1988</v>
      </c>
      <c r="F2874" s="2" t="inlineStr">
        <is>
          <t>кинофильм</t>
        </is>
      </c>
      <c r="G2874" s="2" t="n"/>
      <c r="H2874" s="2" t="n">
        <v>299</v>
      </c>
      <c r="I2874" s="2" t="inlineStr"/>
      <c r="J2874" s="2" t="inlineStr"/>
      <c r="K2874" s="3" t="inlineStr">
        <is>
          <t>По мотивам новелл «Чегемская Кармен» и «Бармен Адгур» второй книги романа Фазиля Искандера «Сандро из Чегема». Андрей, археолог, историк и поэт, влюбляется в Риту - любовницу главы мафии маленького городка на Черноморском побережье Кавказа. Они женятся, но Рита недолго выдерживает семейное счастье.</t>
        </is>
      </c>
      <c r="L2874" s="2" t="inlineStr">
        <is>
          <t>Кино_СССР сводный каталог.xlsx: список фильмов (доп.)</t>
        </is>
      </c>
      <c r="M2874" s="2">
        <f>HYPERLINK("https://ru.wikipedia.org/w/index.php?search=%D0%92%D0%BE%D1%80%D1%8B%20%D0%B2%20%D0%B7%D0%B0%D0%BA%D0%BE%D0%BD%D0%B5%201988%20%D1%84%D0%B8%D0%BB%D1%8C%D0%BC","искать")</f>
        <v/>
      </c>
      <c r="N2874" s="3" t="n"/>
      <c r="O2874" s="2" t="n"/>
    </row>
    <row r="2875">
      <c r="A2875" s="2" t="n">
        <v>2874</v>
      </c>
      <c r="B2875" s="2" t="inlineStr">
        <is>
          <t>короткая</t>
        </is>
      </c>
      <c r="C2875" s="2" t="n">
        <v>10644</v>
      </c>
      <c r="D2875" s="3" t="inlineStr">
        <is>
          <t>Доктор философии</t>
        </is>
      </c>
      <c r="E2875" s="2" t="n">
        <v>1976</v>
      </c>
      <c r="F2875" s="2" t="inlineStr">
        <is>
          <t>фильм-спектакль</t>
        </is>
      </c>
      <c r="G2875" s="2" t="inlineStr">
        <is>
          <t>Главная редакция литературно-драматических программ ЦТ</t>
        </is>
      </c>
      <c r="H2875" s="2" t="n">
        <v>299</v>
      </c>
      <c r="I2875" s="2" t="inlineStr"/>
      <c r="J2875" s="2" t="inlineStr"/>
      <c r="K2875" s="3" t="inlineStr">
        <is>
          <t>По пьесе Бранислава Нушича.
Наследник большого состояния возвращается домой с дипломом доктора философии, полученным за границей, где на самом деле учился под его именем управляющий отца. Кроме диплома молодой служащий успел обзавестись женой и ребенком, которые не замедлили появиться вслед за ним.</t>
        </is>
      </c>
      <c r="L2875" s="2" t="inlineStr">
        <is>
          <t>https://www.kino-teatr.ru/teatr/movie/1921/annot/</t>
        </is>
      </c>
      <c r="M2875" s="2">
        <f>HYPERLINK("https://ru.wikipedia.org/w/index.php?search=%D0%94%D0%BE%D0%BA%D1%82%D0%BE%D1%80%20%D1%84%D0%B8%D0%BB%D0%BE%D1%81%D0%BE%D1%84%D0%B8%D0%B8%201976%20%D1%84%D0%B8%D0%BB%D1%8C%D0%BC","искать")</f>
        <v/>
      </c>
      <c r="N2875" s="3" t="n"/>
      <c r="O2875" s="2" t="n"/>
    </row>
    <row r="2876">
      <c r="A2876" s="2" t="n">
        <v>2875</v>
      </c>
      <c r="B2876" s="2" t="inlineStr">
        <is>
          <t>короткая</t>
        </is>
      </c>
      <c r="C2876" s="2" t="n">
        <v>10998</v>
      </c>
      <c r="D2876" s="3" t="inlineStr">
        <is>
          <t>Мотылёк</t>
        </is>
      </c>
      <c r="E2876" s="2" t="n">
        <v>1983</v>
      </c>
      <c r="F2876" s="2" t="inlineStr">
        <is>
          <t>фильм-спектакль</t>
        </is>
      </c>
      <c r="G2876" s="2" t="n"/>
      <c r="H2876" s="2" t="n">
        <v>299</v>
      </c>
      <c r="I2876" s="2" t="inlineStr"/>
      <c r="J2876" s="2" t="inlineStr"/>
      <c r="K2876" s="3" t="inlineStr">
        <is>
          <t>Спектакль Узбекского драматического театра имени Хамзы поставлен по одноименной пьесе узбекского драматурга Уйгуна (1905-1990).
В этом спектакле показано, как простая девушка обманывается ложной любовью, как мотылек, и в итоге лишается возможностей настоящей любви, родственников и даже образования.</t>
        </is>
      </c>
      <c r="L2876" s="2" t="inlineStr">
        <is>
          <t>https://www.kino-teatr.ru/teatr/movie/190939/annot/</t>
        </is>
      </c>
      <c r="M2876" s="2">
        <f>HYPERLINK("https://ru.wikipedia.org/w/index.php?search=%D0%9C%D0%BE%D1%82%D1%8B%D0%BB%D1%91%D0%BA%201983%20%D1%84%D0%B8%D0%BB%D1%8C%D0%BC","искать")</f>
        <v/>
      </c>
      <c r="N2876" s="3" t="n"/>
      <c r="O2876" s="2" t="n"/>
    </row>
    <row r="2877">
      <c r="A2877" s="2" t="n">
        <v>2876</v>
      </c>
      <c r="B2877" s="2" t="inlineStr">
        <is>
          <t>короткая</t>
        </is>
      </c>
      <c r="C2877" s="2" t="n">
        <v>11356</v>
      </c>
      <c r="D2877" s="3" t="inlineStr">
        <is>
          <t>Ануш</t>
        </is>
      </c>
      <c r="E2877" s="2" t="n">
        <v>1983</v>
      </c>
      <c r="F2877" s="2" t="inlineStr">
        <is>
          <t>фильм-опера/балет</t>
        </is>
      </c>
      <c r="G2877" s="2" t="n"/>
      <c r="H2877" s="2" t="n">
        <v>299</v>
      </c>
      <c r="I2877" s="2" t="inlineStr"/>
      <c r="J2877" s="2" t="inlineStr"/>
      <c r="K2877" s="3" t="inlineStr">
        <is>
          <t>Экранизация оперы А.Тиграняна, по мотивам поэмы Ов.Туманяна. История трагической любви девушки Ануш и пастуха Саро. В утесы бьет разъяренный Дэв-Бед пеной мутных волн, И виден над ним зеленый Саро надмогильный холм. Там слезы безумная льет, Возлюбленная его, И стонет она и зовет К себе Саро своего.</t>
        </is>
      </c>
      <c r="L2877" s="2" t="inlineStr">
        <is>
          <t>Кино_СССР телефильмы и пропуски включить в базу.xlsx</t>
        </is>
      </c>
      <c r="M2877" s="2">
        <f>HYPERLINK("https://ru.wikipedia.org/w/index.php?search=%D0%90%D0%BD%D1%83%D1%88%201983%20%D1%84%D0%B8%D0%BB%D1%8C%D0%BC","искать")</f>
        <v/>
      </c>
      <c r="N2877" s="3" t="n"/>
      <c r="O2877" s="2" t="n"/>
    </row>
    <row r="2878">
      <c r="A2878" s="2" t="n">
        <v>2877</v>
      </c>
      <c r="B2878" s="2" t="inlineStr"/>
      <c r="C2878" s="2" t="n">
        <v>7187</v>
      </c>
      <c r="D2878" s="3" t="inlineStr">
        <is>
          <t>Аварийное положение</t>
        </is>
      </c>
      <c r="E2878" s="2" t="n">
        <v>1973</v>
      </c>
      <c r="F2878" s="2" t="inlineStr">
        <is>
          <t>телефильм</t>
        </is>
      </c>
      <c r="G2878" s="2" t="inlineStr">
        <is>
          <t>ТО «Экран»</t>
        </is>
      </c>
      <c r="H2878" s="2" t="n">
        <v>300</v>
      </c>
      <c r="I2878" s="2" t="inlineStr"/>
      <c r="J2878" s="2" t="inlineStr"/>
      <c r="K2878" s="3" t="inlineStr">
        <is>
          <t>Зимой на селе вновь разошелся грипп. Директор интерната выступает с предложением к сельскому шоферу Кузьмичу подменить на время в 6 "А" классе слегших преподавателей. Кузьмич не мудрствуя, берет на себя ответственное поручение, и решает сделать из интерната образцово-показательное учебное заведение.</t>
        </is>
      </c>
      <c r="L2878" s="2" t="inlineStr">
        <is>
          <t>Кино_СССР сводный каталог.xlsx: список телефильмов</t>
        </is>
      </c>
      <c r="M2878" s="2">
        <f>HYPERLINK("https://ru.wikipedia.org/w/index.php?search=%D0%90%D0%B2%D0%B0%D1%80%D0%B8%D0%B9%D0%BD%D0%BE%D0%B5%20%D0%BF%D0%BE%D0%BB%D0%BE%D0%B6%D0%B5%D0%BD%D0%B8%D0%B5%201973%20%D1%84%D0%B8%D0%BB%D1%8C%D0%BC","искать")</f>
        <v/>
      </c>
      <c r="N2878" s="3" t="n"/>
      <c r="O2878" s="2" t="n"/>
    </row>
    <row r="2879">
      <c r="A2879" s="2" t="n">
        <v>2878</v>
      </c>
      <c r="B2879" s="2" t="inlineStr"/>
      <c r="C2879" s="2" t="n">
        <v>7294</v>
      </c>
      <c r="D2879" s="3" t="inlineStr">
        <is>
          <t>В лесах под Ковелем</t>
        </is>
      </c>
      <c r="E2879" s="2" t="n">
        <v>1984</v>
      </c>
      <c r="F2879" s="2" t="inlineStr">
        <is>
          <t>телефильм</t>
        </is>
      </c>
      <c r="G2879" s="2" t="inlineStr">
        <is>
          <t>к/с им. Довженко</t>
        </is>
      </c>
      <c r="H2879" s="2" t="n">
        <v>300</v>
      </c>
      <c r="I2879" s="2" t="inlineStr"/>
      <c r="J2879" s="2" t="inlineStr"/>
      <c r="K2879" s="3" t="inlineStr">
        <is>
          <t>Телесериал по воспоминаниям дважды Герой Советского Союза Алексея Фёдоровича Фёдорова (1901-1989). О партизанском соединении, действовавшем в 1943 году в районе Ковельского железнодорожного узла. Продолжение рассказа о партизанском движении на Украине, начатого в фильме "Подпольный обком действует".</t>
        </is>
      </c>
      <c r="L2879" s="2" t="inlineStr">
        <is>
          <t>Кино_СССР сводный каталог.xlsx: список телефильмов</t>
        </is>
      </c>
      <c r="M2879" s="2">
        <f>HYPERLINK("https://ru.wikipedia.org/w/index.php?search=%D0%92%20%D0%BB%D0%B5%D1%81%D0%B0%D1%85%20%D0%BF%D0%BE%D0%B4%20%D0%9A%D0%BE%D0%B2%D0%B5%D0%BB%D0%B5%D0%BC%201984%20%D1%84%D0%B8%D0%BB%D1%8C%D0%BC","искать")</f>
        <v/>
      </c>
      <c r="N2879" s="3" t="n"/>
      <c r="O2879" s="2" t="n"/>
    </row>
    <row r="2880">
      <c r="A2880" s="2" t="n">
        <v>2879</v>
      </c>
      <c r="B2880" s="2" t="inlineStr"/>
      <c r="C2880" s="2" t="n">
        <v>7869</v>
      </c>
      <c r="D2880" s="3" t="inlineStr">
        <is>
          <t>Место встречи изменить нельзя</t>
        </is>
      </c>
      <c r="E2880" s="2" t="n">
        <v>1979</v>
      </c>
      <c r="F2880" s="2" t="inlineStr">
        <is>
          <t>телефильм</t>
        </is>
      </c>
      <c r="G2880" s="2" t="n"/>
      <c r="H2880" s="2" t="n">
        <v>300</v>
      </c>
      <c r="I2880" s="2" t="inlineStr"/>
      <c r="J2880" s="2" t="inlineStr"/>
      <c r="K2880" s="3" t="inlineStr">
        <is>
          <t>Лето 1945 года. Отгремел салют Великой Победы и страна постепенно возвращается к мирной жизни. Из "огня да в полымя" попадает молоденький командир разведроты Володя Шарапов, придя по распределению в МУР, в отдел по борьбе с бандитизмом. В городе лютует банда "Чёрная кошка", наводя ужас на москвичей.</t>
        </is>
      </c>
      <c r="L2880" s="2" t="inlineStr">
        <is>
          <t>Кино_СССР сводный каталог.xlsx: список телефильмов</t>
        </is>
      </c>
      <c r="M2880" s="2">
        <f>HYPERLINK("https://ru.wikipedia.org/w/index.php?search=%D0%9C%D0%B5%D1%81%D1%82%D0%BE%20%D0%B2%D1%81%D1%82%D1%80%D0%B5%D1%87%D0%B8%20%D0%B8%D0%B7%D0%BC%D0%B5%D0%BD%D0%B8%D1%82%D1%8C%20%D0%BD%D0%B5%D0%BB%D1%8C%D0%B7%D1%8F%201979%20%D1%84%D0%B8%D0%BB%D1%8C%D0%BC","искать")</f>
        <v/>
      </c>
      <c r="N2880" s="3" t="n"/>
      <c r="O2880" s="2" t="n"/>
    </row>
    <row r="2881">
      <c r="A2881" s="2" t="n">
        <v>2880</v>
      </c>
      <c r="B2881" s="2" t="inlineStr"/>
      <c r="C2881" s="2" t="n">
        <v>7878</v>
      </c>
      <c r="D2881" s="3" t="inlineStr">
        <is>
          <t>Мираж</t>
        </is>
      </c>
      <c r="E2881" s="2" t="n">
        <v>1983</v>
      </c>
      <c r="F2881" s="2" t="inlineStr">
        <is>
          <t>телефильм</t>
        </is>
      </c>
      <c r="G2881" s="2" t="n"/>
      <c r="H2881" s="2" t="n">
        <v>300</v>
      </c>
      <c r="I2881" s="2" t="inlineStr"/>
      <c r="J2881" s="2" t="inlineStr"/>
      <c r="K2881" s="3" t="inlineStr">
        <is>
          <t>Телесериал по мотивам романа Дж.Х.Чейза "Весь мир в кармане". Оказавшись в жизненном тупике, герои фильма решаются на дерзкое ограбление: похищение бронированной машины с огромной суммой денег. Каждый из них верит, что большие деньги принесут ему свободу и счастье. Кажется, весь мир у них в кармане.</t>
        </is>
      </c>
      <c r="L2881" s="2" t="inlineStr">
        <is>
          <t>Кино_СССР сводный каталог.xlsx: список телефильмов</t>
        </is>
      </c>
      <c r="M2881" s="2">
        <f>HYPERLINK("https://ru.wikipedia.org/w/index.php?search=%D0%9C%D0%B8%D1%80%D0%B0%D0%B6%201983%20%D1%84%D0%B8%D0%BB%D1%8C%D0%BC","искать")</f>
        <v/>
      </c>
      <c r="N2881" s="3" t="n"/>
      <c r="O2881" s="2" t="n"/>
    </row>
    <row r="2882">
      <c r="A2882" s="2" t="n">
        <v>2881</v>
      </c>
      <c r="B2882" s="2" t="inlineStr"/>
      <c r="C2882" s="2" t="n">
        <v>8274</v>
      </c>
      <c r="D2882" s="3" t="inlineStr">
        <is>
          <t>Ритмы Апшерона</t>
        </is>
      </c>
      <c r="E2882" s="2" t="n">
        <v>1970</v>
      </c>
      <c r="F2882" s="2" t="inlineStr">
        <is>
          <t>телефильм</t>
        </is>
      </c>
      <c r="G2882" s="2" t="n"/>
      <c r="H2882" s="2" t="n">
        <v>300</v>
      </c>
      <c r="I2882" s="2" t="inlineStr"/>
      <c r="J2882" s="2" t="inlineStr"/>
      <c r="K2882" s="3" t="inlineStr">
        <is>
          <t>Телефильм. Музыкальное ревю. Произведения азербайджанских композиторов исполняют М.Магомаев, Р.Бейрутов, З.Ханларова, О.Агаев, Ф.Керимова, П.Бюль-Бюль-оглы, вокальный квартет "Гая" и инструментальный квартет п/у Р.Бабаева. В концерте также принимают участие Государственный ансамбль песни и танца Аз.</t>
        </is>
      </c>
      <c r="L2882" s="2" t="inlineStr">
        <is>
          <t>Кино_СССР сводный каталог.xlsx: список телефильмов</t>
        </is>
      </c>
      <c r="M2882" s="2">
        <f>HYPERLINK("https://ru.wikipedia.org/w/index.php?search=%D0%A0%D0%B8%D1%82%D0%BC%D1%8B%20%D0%90%D0%BF%D1%88%D0%B5%D1%80%D0%BE%D0%BD%D0%B0%201970%20%D1%84%D0%B8%D0%BB%D1%8C%D0%BC","искать")</f>
        <v/>
      </c>
      <c r="N2882" s="3" t="n"/>
      <c r="O2882" s="2" t="n"/>
    </row>
    <row r="2883">
      <c r="A2883" s="2" t="n">
        <v>2882</v>
      </c>
      <c r="B2883" s="2" t="inlineStr"/>
      <c r="C2883" s="2" t="n">
        <v>8294</v>
      </c>
      <c r="D2883" s="3" t="inlineStr">
        <is>
          <t>С вечера до полудня</t>
        </is>
      </c>
      <c r="E2883" s="2" t="n">
        <v>1981</v>
      </c>
      <c r="F2883" s="2" t="inlineStr">
        <is>
          <t>телефильм</t>
        </is>
      </c>
      <c r="G2883" s="2" t="n"/>
      <c r="H2883" s="2" t="n">
        <v>300</v>
      </c>
      <c r="I2883" s="2" t="inlineStr"/>
      <c r="J2883" s="2" t="inlineStr"/>
      <c r="K2883" s="3" t="inlineStr">
        <is>
          <t>Телефильм. Экранизация пьесы Виктора Розова. События двух дней многое изменили в жизни семьи писателя Жаркова. Все смешалось в доме Андрея Константиновича. Его сын Ким тоскует по ушедшей от него и уехавшей за границу жене, внук Альберт ждет встречи с матерью, параллельно решая проблемы первой любви.</t>
        </is>
      </c>
      <c r="L2883" s="2" t="inlineStr">
        <is>
          <t>Кино_СССР сводный каталог.xlsx: список телефильмов</t>
        </is>
      </c>
      <c r="M2883" s="2">
        <f>HYPERLINK("https://ru.wikipedia.org/w/index.php?search=%D0%A1%20%D0%B2%D0%B5%D1%87%D0%B5%D1%80%D0%B0%20%D0%B4%D0%BE%20%D0%BF%D0%BE%D0%BB%D1%83%D0%B4%D0%BD%D1%8F%201981%20%D1%84%D0%B8%D0%BB%D1%8C%D0%BC","искать")</f>
        <v/>
      </c>
      <c r="N2883" s="3" t="n"/>
      <c r="O2883" s="2" t="n"/>
    </row>
    <row r="2884">
      <c r="A2884" s="2" t="n">
        <v>2883</v>
      </c>
      <c r="B2884" s="2" t="inlineStr"/>
      <c r="C2884" s="2" t="n">
        <v>9234</v>
      </c>
      <c r="D2884" s="3" t="inlineStr">
        <is>
          <t>Берег спасения</t>
        </is>
      </c>
      <c r="E2884" s="2" t="n">
        <v>1990</v>
      </c>
      <c r="F2884" s="2" t="inlineStr">
        <is>
          <t>кинофильм</t>
        </is>
      </c>
      <c r="G2884" s="2" t="n"/>
      <c r="H2884" s="2" t="n">
        <v>300</v>
      </c>
      <c r="I2884" s="2" t="inlineStr"/>
      <c r="J2884" s="2" t="inlineStr"/>
      <c r="K2884" s="3" t="inlineStr">
        <is>
          <t>В основе фильма - реальный факт времен русско-японской войны. Русский крейсер "Светлана", атакованный в корейских водах, после того, как иссякло оружие, был затоплен своей командой. Пятерым членам экипажа удалось добраться до корейского берега - и теперь их ожидал опасный путь до российской границы.</t>
        </is>
      </c>
      <c r="L2884" s="2" t="inlineStr">
        <is>
          <t>Кино_СССР сводный каталог.xlsx: список фильмов (доп.)</t>
        </is>
      </c>
      <c r="M2884" s="2">
        <f>HYPERLINK("https://ru.wikipedia.org/w/index.php?search=%D0%91%D0%B5%D1%80%D0%B5%D0%B3%20%D1%81%D0%BF%D0%B0%D1%81%D0%B5%D0%BD%D0%B8%D1%8F%201990%20%D1%84%D0%B8%D0%BB%D1%8C%D0%BC","искать")</f>
        <v/>
      </c>
      <c r="N2884" s="3" t="n"/>
      <c r="O2884" s="2" t="n"/>
    </row>
    <row r="2885">
      <c r="A2885" s="2" t="n">
        <v>2884</v>
      </c>
      <c r="B2885" s="2" t="inlineStr"/>
      <c r="C2885" s="2" t="n">
        <v>9352</v>
      </c>
      <c r="D2885" s="3" t="inlineStr">
        <is>
          <t>Дышите глубже</t>
        </is>
      </c>
      <c r="E2885" s="2" t="n">
        <v>1967</v>
      </c>
      <c r="F2885" s="2" t="inlineStr">
        <is>
          <t>кинофильм</t>
        </is>
      </c>
      <c r="G2885" s="2" t="n"/>
      <c r="H2885" s="2" t="n">
        <v>300</v>
      </c>
      <c r="I2885" s="2" t="inlineStr"/>
      <c r="J2885" s="2" t="inlineStr"/>
      <c r="K2885" s="3" t="inlineStr">
        <is>
          <t>Рассказ о столкновении молодого автора песен Цезаря Калныньша с цензурой. Тексты песен молодого телефонного мастера Цезаря, музицирующего вместе с друзьями в самодеятельном ансамбле "Оптимисты", кажутся дерзкими и аморальными его соседке из более старшего поколения, работнице культуры Аните Сондоре.</t>
        </is>
      </c>
      <c r="L2885" s="2" t="inlineStr">
        <is>
          <t>Кино_СССР сводный каталог.xlsx: список фильмов (доп.)</t>
        </is>
      </c>
      <c r="M2885" s="2">
        <f>HYPERLINK("https://ru.wikipedia.org/w/index.php?search=%D0%94%D1%8B%D1%88%D0%B8%D1%82%D0%B5%20%D0%B3%D0%BB%D1%83%D0%B1%D0%B6%D0%B5%201967%20%D1%84%D0%B8%D0%BB%D1%8C%D0%BC","искать")</f>
        <v/>
      </c>
      <c r="N2885" s="3" t="n"/>
      <c r="O2885" s="2" t="n"/>
    </row>
    <row r="2886">
      <c r="A2886" s="2" t="n">
        <v>2885</v>
      </c>
      <c r="B2886" s="2" t="inlineStr"/>
      <c r="C2886" s="2" t="n">
        <v>9359</v>
      </c>
      <c r="D2886" s="3" t="inlineStr">
        <is>
          <t>Живая мишень</t>
        </is>
      </c>
      <c r="E2886" s="2" t="n">
        <v>1990</v>
      </c>
      <c r="F2886" s="2" t="inlineStr">
        <is>
          <t>кинофильм</t>
        </is>
      </c>
      <c r="G2886" s="2" t="n"/>
      <c r="H2886" s="2" t="n">
        <v>300</v>
      </c>
      <c r="I2886" s="2" t="inlineStr"/>
      <c r="J2886" s="2" t="inlineStr"/>
      <c r="K2886" s="3" t="inlineStr">
        <is>
          <t>По мотивам повести Г. Орешкина "Горький туман" В небольшой провинциальный городок, полностью прибранный к рукам коррумпированными властями и мафиозным кланом, заслан с секретной миссией сотрудник центрального аппарата МВД с заданием выявить каналы незаконного обращения валюты и торговли наркотиками.</t>
        </is>
      </c>
      <c r="L2886" s="2" t="inlineStr">
        <is>
          <t>Кино_СССР сводный каталог.xlsx: список фильмов (доп.)</t>
        </is>
      </c>
      <c r="M2886" s="2">
        <f>HYPERLINK("https://ru.wikipedia.org/w/index.php?search=%D0%96%D0%B8%D0%B2%D0%B0%D1%8F%20%D0%BC%D0%B8%D1%88%D0%B5%D0%BD%D1%8C%201990%20%D1%84%D0%B8%D0%BB%D1%8C%D0%BC","искать")</f>
        <v/>
      </c>
      <c r="N2886" s="3" t="n"/>
      <c r="O2886" s="2" t="n"/>
    </row>
    <row r="2887">
      <c r="A2887" s="2" t="n">
        <v>2886</v>
      </c>
      <c r="B2887" s="2" t="inlineStr"/>
      <c r="C2887" s="2" t="n">
        <v>7265</v>
      </c>
      <c r="D2887" s="3" t="inlineStr">
        <is>
          <t>Большое приключение</t>
        </is>
      </c>
      <c r="E2887" s="2" t="n">
        <v>1985</v>
      </c>
      <c r="F2887" s="2" t="inlineStr">
        <is>
          <t>телефильм</t>
        </is>
      </c>
      <c r="G2887" s="2" t="inlineStr">
        <is>
          <t>Беларусьфильм</t>
        </is>
      </c>
      <c r="H2887" s="2" t="n">
        <v>301</v>
      </c>
      <c r="I2887" s="2" t="inlineStr"/>
      <c r="J2887" s="2" t="inlineStr"/>
      <c r="K2887" s="3" t="inlineStr">
        <is>
          <t>Телефильм. Пионеры Вася, Олег, Игорь, Яна, Таня и самый младший из них Вовочка со своим питомцем, петухом Федей, отправляются в поход по родному краю. Много приключений выпадает на их долю. Приходится проявить смекалку, смелость, трудолюбие. Надолго останутся в памяти ребят встречи с разными людьми..</t>
        </is>
      </c>
      <c r="L2887" s="2" t="inlineStr">
        <is>
          <t>Кино_СССР сводный каталог.xlsx: список телефильмов</t>
        </is>
      </c>
      <c r="M2887" s="2">
        <f>HYPERLINK("https://ru.wikipedia.org/w/index.php?search=%D0%91%D0%BE%D0%BB%D1%8C%D1%88%D0%BE%D0%B5%20%D0%BF%D1%80%D0%B8%D0%BA%D0%BB%D1%8E%D1%87%D0%B5%D0%BD%D0%B8%D0%B5%201985%20%D1%84%D0%B8%D0%BB%D1%8C%D0%BC","искать")</f>
        <v/>
      </c>
      <c r="N2887" s="3" t="n"/>
      <c r="O2887" s="2" t="n"/>
    </row>
    <row r="2888">
      <c r="A2888" s="2" t="n">
        <v>2887</v>
      </c>
      <c r="B2888" s="2" t="inlineStr"/>
      <c r="C2888" s="2" t="n">
        <v>7323</v>
      </c>
      <c r="D2888" s="3" t="inlineStr">
        <is>
          <t>Весёлое сновидение, или Смех и слёзы</t>
        </is>
      </c>
      <c r="E2888" s="2" t="n">
        <v>1976</v>
      </c>
      <c r="F2888" s="2" t="inlineStr">
        <is>
          <t>телефильм</t>
        </is>
      </c>
      <c r="G2888" s="2" t="inlineStr">
        <is>
          <t>Ленфильм</t>
        </is>
      </c>
      <c r="H2888" s="2" t="n">
        <v>301</v>
      </c>
      <c r="I2888" s="2" t="inlineStr"/>
      <c r="J2888" s="2" t="inlineStr"/>
      <c r="K2888" s="3" t="inlineStr">
        <is>
          <t>Телефильм. Сатирический памфлет, фильм-сказка по мотивам пьесы Сергея Михалкова "Смех и слезы". Приключения 12-летнего школьника Андрюши в сказочном шахматном королевстве. В пионерский лагерь должен приехать чемпион мира по шахматам Анатолий Карпов. Андрюша Попов мечтает сыграть с ним, но заболевает.</t>
        </is>
      </c>
      <c r="L2888" s="2" t="inlineStr">
        <is>
          <t>Кино_СССР сводный каталог.xlsx: список телефильмов</t>
        </is>
      </c>
      <c r="M2888" s="2">
        <f>HYPERLINK("https://ru.wikipedia.org/w/index.php?search=%D0%92%D0%B5%D1%81%D1%91%D0%BB%D0%BE%D0%B5%20%D1%81%D0%BD%D0%BE%D0%B2%D0%B8%D0%B4%D0%B5%D0%BD%D0%B8%D0%B5%2C%20%D0%B8%D0%BB%D0%B8%20%D0%A1%D0%BC%D0%B5%D1%85%20%D0%B8%20%D1%81%D0%BB%D1%91%D0%B7%D1%8B%201976%20%D1%84%D0%B8%D0%BB%D1%8C%D0%BC","искать")</f>
        <v/>
      </c>
      <c r="N2888" s="3" t="n"/>
      <c r="O2888" s="2" t="n"/>
    </row>
    <row r="2889">
      <c r="A2889" s="2" t="n">
        <v>2888</v>
      </c>
      <c r="B2889" s="2" t="inlineStr"/>
      <c r="C2889" s="2" t="n">
        <v>7391</v>
      </c>
      <c r="D2889" s="3" t="inlineStr">
        <is>
          <t>Время зимних туманов</t>
        </is>
      </c>
      <c r="E2889" s="2" t="n">
        <v>1982</v>
      </c>
      <c r="F2889" s="2" t="inlineStr">
        <is>
          <t>телефильм</t>
        </is>
      </c>
      <c r="G2889" s="2" t="n"/>
      <c r="H2889" s="2" t="n">
        <v>301</v>
      </c>
      <c r="I2889" s="2" t="inlineStr"/>
      <c r="J2889" s="2" t="inlineStr"/>
      <c r="K2889" s="3" t="inlineStr">
        <is>
          <t>По мотивам повести Саттора Турсуна "Лук Рустама". Вернувшись домой после службы в армии, Нур Раджабов узнает, что его жена ушла от него к директору совхоза Наимову. Отношения Раджабова с Ниамовым и его родней еще больше осложнились после того, как Нур встретил и полюбил Амину - невесту брата Наимова.</t>
        </is>
      </c>
      <c r="L2889" s="2" t="inlineStr">
        <is>
          <t>Кино_СССР сводный каталог.xlsx: список телефильмов</t>
        </is>
      </c>
      <c r="M2889" s="2">
        <f>HYPERLINK("https://ru.wikipedia.org/w/index.php?search=%D0%92%D1%80%D0%B5%D0%BC%D1%8F%20%D0%B7%D0%B8%D0%BC%D0%BD%D0%B8%D1%85%20%D1%82%D1%83%D0%BC%D0%B0%D0%BD%D0%BE%D0%B2%201982%20%D1%84%D0%B8%D0%BB%D1%8C%D0%BC","искать")</f>
        <v/>
      </c>
      <c r="N2889" s="3" t="n"/>
      <c r="O2889" s="2" t="n"/>
    </row>
    <row r="2890">
      <c r="A2890" s="2" t="n">
        <v>2889</v>
      </c>
      <c r="B2890" s="2" t="inlineStr"/>
      <c r="C2890" s="2" t="n">
        <v>7568</v>
      </c>
      <c r="D2890" s="3" t="inlineStr">
        <is>
          <t>Дымка</t>
        </is>
      </c>
      <c r="E2890" s="2" t="n">
        <v>1985</v>
      </c>
      <c r="F2890" s="2" t="inlineStr">
        <is>
          <t>телефильм</t>
        </is>
      </c>
      <c r="G2890" s="2" t="n"/>
      <c r="H2890" s="2" t="n">
        <v>301</v>
      </c>
      <c r="I2890" s="2" t="inlineStr"/>
      <c r="J2890" s="2" t="inlineStr"/>
      <c r="K2890" s="3" t="inlineStr">
        <is>
          <t>По мотивам одноименной повести Виля Джемса. Дымку - прекрасного жеребца - заприметил в диком табуне молодой ковбой Джери. Но на Дымку есть виды и у хозяина ранчо, который хочет подарить жеребца своей возлюбленной. В борьбе с хозяином на стороне ковбоя верные друзья: циркачка, собака-бассет и пантера.</t>
        </is>
      </c>
      <c r="L2890" s="2" t="inlineStr">
        <is>
          <t>Кино_СССР сводный каталог.xlsx: список телефильмов</t>
        </is>
      </c>
      <c r="M2890" s="2">
        <f>HYPERLINK("https://ru.wikipedia.org/w/index.php?search=%D0%94%D1%8B%D0%BC%D0%BA%D0%B0%201985%20%D1%84%D0%B8%D0%BB%D1%8C%D0%BC","искать")</f>
        <v/>
      </c>
      <c r="N2890" s="3" t="n"/>
      <c r="O2890" s="2" t="n"/>
    </row>
    <row r="2891">
      <c r="A2891" s="2" t="n">
        <v>2890</v>
      </c>
      <c r="B2891" s="2" t="inlineStr"/>
      <c r="C2891" s="2" t="n">
        <v>7712</v>
      </c>
      <c r="D2891" s="3" t="inlineStr">
        <is>
          <t>Капитан Соври-голова</t>
        </is>
      </c>
      <c r="E2891" s="2" t="n">
        <v>1979</v>
      </c>
      <c r="F2891" s="2" t="inlineStr">
        <is>
          <t>телефильм</t>
        </is>
      </c>
      <c r="G2891" s="2" t="n"/>
      <c r="H2891" s="2" t="n">
        <v>301</v>
      </c>
      <c r="I2891" s="2" t="inlineStr"/>
      <c r="J2891" s="2" t="inlineStr"/>
      <c r="K2891" s="3" t="inlineStr">
        <is>
          <t>Телефильм поставлен по мотивам повестей В.Медведева "Капитан Соври-голова" и "Неплохие близнецы", он рассказывает о веселых приключениях братьев-близнецов во время летних каникул. Один из братьев - человек серьезный и собранный, а второй... В общем - не зря он получил прозвище "капитан соври-голова".</t>
        </is>
      </c>
      <c r="L2891" s="2" t="inlineStr">
        <is>
          <t>Кино_СССР сводный каталог.xlsx: список телефильмов</t>
        </is>
      </c>
      <c r="M2891" s="2">
        <f>HYPERLINK("https://ru.wikipedia.org/w/index.php?search=%D0%9A%D0%B0%D0%BF%D0%B8%D1%82%D0%B0%D0%BD%20%D0%A1%D0%BE%D0%B2%D1%80%D0%B8-%D0%B3%D0%BE%D0%BB%D0%BE%D0%B2%D0%B0%201979%20%D1%84%D0%B8%D0%BB%D1%8C%D0%BC","искать")</f>
        <v/>
      </c>
      <c r="N2891" s="3" t="n"/>
      <c r="O2891" s="2" t="n"/>
    </row>
    <row r="2892">
      <c r="A2892" s="2" t="n">
        <v>2891</v>
      </c>
      <c r="B2892" s="2" t="inlineStr"/>
      <c r="C2892" s="2" t="n">
        <v>7742</v>
      </c>
      <c r="D2892" s="3" t="inlineStr">
        <is>
          <t>Колье Шарлотты</t>
        </is>
      </c>
      <c r="E2892" s="2" t="n">
        <v>1984</v>
      </c>
      <c r="F2892" s="2" t="inlineStr">
        <is>
          <t>телефильм</t>
        </is>
      </c>
      <c r="G2892" s="2" t="inlineStr">
        <is>
          <t>Ленфильм</t>
        </is>
      </c>
      <c r="H2892" s="2" t="n">
        <v>301</v>
      </c>
      <c r="I2892" s="2" t="inlineStr"/>
      <c r="J2892" s="2" t="inlineStr"/>
      <c r="K2892" s="3" t="inlineStr">
        <is>
          <t>По мотивам повести А. Ромова "Таможенный досмотр". Расследование убийства Виктора Кораблёва выводит сотрудников КГБ на след преступной группы, переплавляющей за границу ценные произведения ювелирного искусства. Поединок с опытными и хитрыми преступниками оказывается для чекистов серьезным испытанием.</t>
        </is>
      </c>
      <c r="L2892" s="2" t="inlineStr">
        <is>
          <t>Кино_СССР сводный каталог.xlsx: список телефильмов</t>
        </is>
      </c>
      <c r="M2892" s="2">
        <f>HYPERLINK("https://ru.wikipedia.org/w/index.php?search=%D0%9A%D0%BE%D0%BB%D1%8C%D0%B5%20%D0%A8%D0%B0%D1%80%D0%BB%D0%BE%D1%82%D1%82%D1%8B%201984%20%D1%84%D0%B8%D0%BB%D1%8C%D0%BC","искать")</f>
        <v/>
      </c>
      <c r="N2892" s="3" t="n"/>
      <c r="O2892" s="2" t="n"/>
    </row>
    <row r="2893">
      <c r="A2893" s="2" t="n">
        <v>2892</v>
      </c>
      <c r="B2893" s="2" t="inlineStr"/>
      <c r="C2893" s="2" t="n">
        <v>7918</v>
      </c>
      <c r="D2893" s="3" t="inlineStr">
        <is>
          <t>Мы - хлопцы живучие</t>
        </is>
      </c>
      <c r="E2893" s="2" t="n">
        <v>1974</v>
      </c>
      <c r="F2893" s="2" t="inlineStr">
        <is>
          <t>телефильм</t>
        </is>
      </c>
      <c r="G2893" s="2" t="n"/>
      <c r="H2893" s="2" t="n">
        <v>301</v>
      </c>
      <c r="I2893" s="2" t="inlineStr"/>
      <c r="J2893" s="2" t="inlineStr"/>
      <c r="K2893" s="3" t="inlineStr">
        <is>
          <t>Телефильм по одноименной повести белорусского детского писателя Ивана Серкова. Заканчивается война. В освобожденном от немцев белорусском селе Поколюбичи остались одни женщины да старики, поэтому подросткам приходится работать наравне со взрослыми. Мальчишек Саньку и Ивана постоянно тянет на подвиги.</t>
        </is>
      </c>
      <c r="L2893" s="2" t="inlineStr">
        <is>
          <t>Кино_СССР сводный каталог.xlsx: список телефильмов</t>
        </is>
      </c>
      <c r="M2893" s="2">
        <f>HYPERLINK("https://ru.wikipedia.org/w/index.php?search=%D0%9C%D1%8B%20-%20%D1%85%D0%BB%D0%BE%D0%BF%D1%86%D1%8B%20%D0%B6%D0%B8%D0%B2%D1%83%D1%87%D0%B8%D0%B5%201974%20%D1%84%D0%B8%D0%BB%D1%8C%D0%BC","искать")</f>
        <v/>
      </c>
      <c r="N2893" s="3" t="n"/>
      <c r="O2893" s="2" t="n"/>
    </row>
    <row r="2894">
      <c r="A2894" s="2" t="n">
        <v>2893</v>
      </c>
      <c r="B2894" s="2" t="inlineStr"/>
      <c r="C2894" s="2" t="n">
        <v>8059</v>
      </c>
      <c r="D2894" s="3" t="inlineStr">
        <is>
          <t>Остров ржавого генерала</t>
        </is>
      </c>
      <c r="E2894" s="2" t="n">
        <v>1988</v>
      </c>
      <c r="F2894" s="2" t="inlineStr">
        <is>
          <t>телефильм</t>
        </is>
      </c>
      <c r="G2894" s="2" t="inlineStr">
        <is>
          <t>Творческое объединение «Экран»</t>
        </is>
      </c>
      <c r="H2894" s="2" t="n">
        <v>301</v>
      </c>
      <c r="I2894" s="2" t="inlineStr"/>
      <c r="J2894" s="2" t="inlineStr"/>
      <c r="K2894" s="3" t="inlineStr">
        <is>
          <t>По повести К.Булычева "Остров ржавого лейтенанта". Московская школьница Алиса Селезнева, снимающаяся в ХХI веке в фильме-сказке, становится героиней необыкновенных приключений. В Крыму, чтобы завоевать весь мир, высаживаются "железные солдаты"-роботы, принадлежавшие в ХХ веке сумасшедшему миллионеру.</t>
        </is>
      </c>
      <c r="L2894" s="2" t="inlineStr">
        <is>
          <t>Кино_СССР сводный каталог.xlsx: список телефильмов</t>
        </is>
      </c>
      <c r="M2894" s="2">
        <f>HYPERLINK("https://ru.wikipedia.org/w/index.php?search=%D0%9E%D1%81%D1%82%D1%80%D0%BE%D0%B2%20%D1%80%D0%B6%D0%B0%D0%B2%D0%BE%D0%B3%D0%BE%20%D0%B3%D0%B5%D0%BD%D0%B5%D1%80%D0%B0%D0%BB%D0%B0%201988%20%D1%84%D0%B8%D0%BB%D1%8C%D0%BC","искать")</f>
        <v/>
      </c>
      <c r="N2894" s="3" t="n"/>
      <c r="O2894" s="2" t="n"/>
    </row>
    <row r="2895">
      <c r="A2895" s="2" t="n">
        <v>2894</v>
      </c>
      <c r="B2895" s="2" t="inlineStr"/>
      <c r="C2895" s="2" t="n">
        <v>8098</v>
      </c>
      <c r="D2895" s="3" t="inlineStr">
        <is>
          <t>Передай дальше...</t>
        </is>
      </c>
      <c r="E2895" s="2" t="n">
        <v>1988</v>
      </c>
      <c r="F2895" s="2" t="inlineStr">
        <is>
          <t>телефильм</t>
        </is>
      </c>
      <c r="G2895" s="2" t="n"/>
      <c r="H2895" s="2" t="n">
        <v>301</v>
      </c>
      <c r="I2895" s="2" t="inlineStr"/>
      <c r="J2895" s="2" t="inlineStr"/>
      <c r="K2895" s="3" t="inlineStr">
        <is>
          <t>Телефильм по одноименной повести Бориса Рахманина. Действие происходит в первые послевоенные годы. Воспитаннику детского дома, 12-летнему Костику, сообщают, что в Одессе отыскалась его тетя Клавдия. Он едет в Одессу, чтобы повидаться с ней. Но произошла ошибка - Клавдия была лишь подругой его матери.</t>
        </is>
      </c>
      <c r="L2895" s="2" t="inlineStr">
        <is>
          <t>Кино_СССР сводный каталог.xlsx: список телефильмов</t>
        </is>
      </c>
      <c r="M2895" s="2">
        <f>HYPERLINK("https://ru.wikipedia.org/w/index.php?search=%D0%9F%D0%B5%D1%80%D0%B5%D0%B4%D0%B0%D0%B9%20%D0%B4%D0%B0%D0%BB%D1%8C%D1%88%D0%B5...%201988%20%D1%84%D0%B8%D0%BB%D1%8C%D0%BC","искать")</f>
        <v/>
      </c>
      <c r="N2895" s="3" t="n"/>
      <c r="O2895" s="2" t="n"/>
    </row>
    <row r="2896">
      <c r="A2896" s="2" t="n">
        <v>2895</v>
      </c>
      <c r="B2896" s="2" t="inlineStr"/>
      <c r="C2896" s="2" t="n">
        <v>8330</v>
      </c>
      <c r="D2896" s="3" t="inlineStr">
        <is>
          <t>Семь стариков и одна девушка</t>
        </is>
      </c>
      <c r="E2896" s="2" t="n">
        <v>1968</v>
      </c>
      <c r="F2896" s="2" t="inlineStr">
        <is>
          <t>телефильм</t>
        </is>
      </c>
      <c r="G2896" s="2" t="n"/>
      <c r="H2896" s="2" t="n">
        <v>301</v>
      </c>
      <c r="I2896" s="2" t="inlineStr"/>
      <c r="J2896" s="2" t="inlineStr"/>
      <c r="K2896" s="3" t="inlineStr">
        <is>
          <t>Молодой тренер Лена Величко, девушка симпатичная и честолюбивая, мечтает о блестящей карьере, о воспитанниках-чемпионах. Однако для начала ее определяют методистом в оздоровительную группу для пожилых мужчин. Досаде и разочарованию тренера нет предела. Впрочем, впереди ее ждут приятные неожиданности.</t>
        </is>
      </c>
      <c r="L2896" s="2" t="inlineStr">
        <is>
          <t>Кино_СССР сводный каталог.xlsx: список телефильмов</t>
        </is>
      </c>
      <c r="M2896" s="2">
        <f>HYPERLINK("https://ru.wikipedia.org/w/index.php?search=%D0%A1%D0%B5%D0%BC%D1%8C%20%D1%81%D1%82%D0%B0%D1%80%D0%B8%D0%BA%D0%BE%D0%B2%20%D0%B8%20%D0%BE%D0%B4%D0%BD%D0%B0%20%D0%B4%D0%B5%D0%B2%D1%83%D1%88%D0%BA%D0%B0%201968%20%D1%84%D0%B8%D0%BB%D1%8C%D0%BC","искать")</f>
        <v/>
      </c>
      <c r="N2896" s="3" t="n"/>
      <c r="O2896" s="2" t="n"/>
    </row>
    <row r="2897">
      <c r="A2897" s="2" t="n">
        <v>2896</v>
      </c>
      <c r="B2897" s="2" t="inlineStr"/>
      <c r="C2897" s="2" t="n">
        <v>8591</v>
      </c>
      <c r="D2897" s="3" t="inlineStr">
        <is>
          <t>Электронная бабушка</t>
        </is>
      </c>
      <c r="E2897" s="2" t="n">
        <v>1985</v>
      </c>
      <c r="F2897" s="2" t="inlineStr">
        <is>
          <t>телефильм</t>
        </is>
      </c>
      <c r="G2897" s="2" t="inlineStr">
        <is>
          <t>Литовская к/с</t>
        </is>
      </c>
      <c r="H2897" s="2" t="n">
        <v>301</v>
      </c>
      <c r="I2897" s="2" t="inlineStr"/>
      <c r="J2897" s="2" t="inlineStr"/>
      <c r="K2897" s="3" t="inlineStr">
        <is>
          <t>Телефильм. Вариации на темы произведений Р. Брэдбери. Ребята, выяснив причину болезни девочки Агаты - у всех детей есть бабушки, а у нее нет, - покупают ей Электронную бабушку, которая придумывает интересные игры и летает с детьми на Луну. Узнав, что у бабушки механическое сердце, Агата разлюбила ее.</t>
        </is>
      </c>
      <c r="L2897" s="2" t="inlineStr">
        <is>
          <t>Кино_СССР сводный каталог.xlsx: список телефильмов</t>
        </is>
      </c>
      <c r="M2897" s="2">
        <f>HYPERLINK("https://ru.wikipedia.org/w/index.php?search=%D0%AD%D0%BB%D0%B5%D0%BA%D1%82%D1%80%D0%BE%D0%BD%D0%BD%D0%B0%D1%8F%20%D0%B1%D0%B0%D0%B1%D1%83%D1%88%D0%BA%D0%B0%201985%20%D1%84%D0%B8%D0%BB%D1%8C%D0%BC","искать")</f>
        <v/>
      </c>
      <c r="N2897" s="3" t="n"/>
      <c r="O2897" s="2" t="n"/>
    </row>
    <row r="2898">
      <c r="A2898" s="2" t="n">
        <v>2897</v>
      </c>
      <c r="B2898" s="2" t="inlineStr"/>
      <c r="C2898" s="2" t="n">
        <v>8690</v>
      </c>
      <c r="D2898" s="3" t="inlineStr">
        <is>
          <t>Далёкое и близкое</t>
        </is>
      </c>
      <c r="E2898" s="2" t="n">
        <v>1957</v>
      </c>
      <c r="F2898" s="2" t="inlineStr">
        <is>
          <t>кинофильм</t>
        </is>
      </c>
      <c r="G2898" s="2" t="n"/>
      <c r="H2898" s="2" t="n">
        <v>301</v>
      </c>
      <c r="I2898" s="2" t="inlineStr"/>
      <c r="J2898" s="2" t="inlineStr"/>
      <c r="K2898" s="3" t="inlineStr">
        <is>
          <t>Рассказ о далеком и близком трёх друзей - Сани, Ивана, Олега - охватывает значительный промежуток времени: предвоенные, военные и послевоенные годы. Многое случилось в их жизни за это время. Здесь и борьба с непримиримыми врагами нового строя в деревне, тяжелые годы войны, сложная послевоенная жизнь.</t>
        </is>
      </c>
      <c r="L2898" s="2" t="inlineStr">
        <is>
          <t>Кино_СССР сводный каталог.xlsx: список фильмов (доп.)</t>
        </is>
      </c>
      <c r="M2898" s="2">
        <f>HYPERLINK("https://ru.wikipedia.org/w/index.php?search=%D0%94%D0%B0%D0%BB%D1%91%D0%BA%D0%BE%D0%B5%20%D0%B8%20%D0%B1%D0%BB%D0%B8%D0%B7%D0%BA%D0%BE%D0%B5%201957%20%D1%84%D0%B8%D0%BB%D1%8C%D0%BC","искать")</f>
        <v/>
      </c>
      <c r="N2898" s="3" t="n"/>
      <c r="O2898" s="2" t="n"/>
    </row>
    <row r="2899">
      <c r="A2899" s="2" t="n">
        <v>2898</v>
      </c>
      <c r="B2899" s="2" t="inlineStr"/>
      <c r="C2899" s="2" t="n">
        <v>8873</v>
      </c>
      <c r="D2899" s="3" t="inlineStr">
        <is>
          <t>Нелюдь</t>
        </is>
      </c>
      <c r="E2899" s="2" t="n">
        <v>1990</v>
      </c>
      <c r="F2899" s="2" t="inlineStr">
        <is>
          <t>кинофильм</t>
        </is>
      </c>
      <c r="G2899" s="2" t="n"/>
      <c r="H2899" s="2" t="n">
        <v>301</v>
      </c>
      <c r="I2899" s="2" t="inlineStr"/>
      <c r="J2899" s="2" t="inlineStr"/>
      <c r="K2899" s="3" t="inlineStr">
        <is>
          <t>Преступники похитили сына Зои Михайловны Шерстобитовой, председателя горисполкома областного центра. Недавнее обладание властью и благополучие сменяются беспомощностью и страхом. Не прекращается череда проверок, издевательских звонков, унизительных просьб о помощи к сослуживцам по "теневому бизнесу".</t>
        </is>
      </c>
      <c r="L2899" s="2" t="inlineStr">
        <is>
          <t>Кино_СССР сводный каталог.xlsx: список фильмов (доп.)</t>
        </is>
      </c>
      <c r="M2899" s="2">
        <f>HYPERLINK("https://ru.wikipedia.org/w/index.php?search=%D0%9D%D0%B5%D0%BB%D1%8E%D0%B4%D1%8C%201990%20%D1%84%D0%B8%D0%BB%D1%8C%D0%BC","искать")</f>
        <v/>
      </c>
      <c r="N2899" s="3" t="n"/>
      <c r="O2899" s="2" t="n"/>
    </row>
    <row r="2900">
      <c r="A2900" s="2" t="n">
        <v>2899</v>
      </c>
      <c r="B2900" s="2" t="inlineStr"/>
      <c r="C2900" s="2" t="n">
        <v>9771</v>
      </c>
      <c r="D2900" s="3" t="inlineStr">
        <is>
          <t>Штемп</t>
        </is>
      </c>
      <c r="E2900" s="2" t="n">
        <v>1991</v>
      </c>
      <c r="F2900" s="2" t="inlineStr">
        <is>
          <t>кинофильм</t>
        </is>
      </c>
      <c r="G2900" s="2" t="n"/>
      <c r="H2900" s="2" t="n">
        <v>301</v>
      </c>
      <c r="I2900" s="2" t="inlineStr"/>
      <c r="J2900" s="2" t="inlineStr"/>
      <c r="K2900" s="3" t="inlineStr">
        <is>
          <t>Боевик. Инспектор уголовного розыска Аркадий Ершов расследует дело, связанное с московской мафией. Стремясь разоблачить резидента мафии, действующего под кличкой Штемп, он втирается в уголовную среду и узнаёт, кто скрывается под личиной одного из его начальников. Почуяв недоброе, герой решает бежать.</t>
        </is>
      </c>
      <c r="L2900" s="2" t="inlineStr">
        <is>
          <t>Кино_СССР сводный каталог.xlsx: список фильмов (доп.)</t>
        </is>
      </c>
      <c r="M2900" s="2">
        <f>HYPERLINK("https://ru.wikipedia.org/w/index.php?search=%D0%A8%D1%82%D0%B5%D0%BC%D0%BF%201991%20%D1%84%D0%B8%D0%BB%D1%8C%D0%BC","искать")</f>
        <v/>
      </c>
      <c r="N2900" s="3" t="n"/>
      <c r="O2900" s="2" t="n"/>
    </row>
    <row r="2901">
      <c r="A2901" s="2" t="n">
        <v>2900</v>
      </c>
      <c r="B2901" s="2" t="inlineStr"/>
      <c r="C2901" s="2" t="n">
        <v>10872</v>
      </c>
      <c r="D2901" s="3" t="inlineStr">
        <is>
          <t>Я, ты и другие</t>
        </is>
      </c>
      <c r="E2901" s="2" t="n">
        <v>1980</v>
      </c>
      <c r="F2901" s="2" t="inlineStr">
        <is>
          <t>фильм-спектакль</t>
        </is>
      </c>
      <c r="G2901" s="2" t="inlineStr">
        <is>
          <t>Центральное телевидение</t>
        </is>
      </c>
      <c r="H2901" s="2" t="n">
        <v>301</v>
      </c>
      <c r="I2901" s="2" t="inlineStr"/>
      <c r="J2901" s="2" t="inlineStr"/>
      <c r="K2901" s="3" t="inlineStr">
        <is>
          <t>Телеспектакль по повести Игоря Минутко «Старая липа в московском дворе».
Паренёк из интеллигентной семьи, Костя Пчёлкин (Пчёлка) подвергается периодической травле дворовыми пацанами, в компании которых вдруг появляется Лена Макарова - девушка длинноволосого красавчика с гитарой Дмитрия Мухина (Муха).</t>
        </is>
      </c>
      <c r="L2901" s="2" t="inlineStr">
        <is>
          <t>https://www.kino-teatr.ru/teatr/movie/127751/annot/</t>
        </is>
      </c>
      <c r="M2901" s="2">
        <f>HYPERLINK("https://ru.wikipedia.org/w/index.php?search=%D0%AF%2C%20%D1%82%D1%8B%20%D0%B8%20%D0%B4%D1%80%D1%83%D0%B3%D0%B8%D0%B5%201980%20%D1%84%D0%B8%D0%BB%D1%8C%D0%BC","искать")</f>
        <v/>
      </c>
      <c r="N2901" s="3" t="n"/>
      <c r="O2901" s="2" t="n"/>
    </row>
    <row r="2902">
      <c r="A2902" s="2" t="n">
        <v>2901</v>
      </c>
      <c r="B2902" s="2" t="inlineStr"/>
      <c r="C2902" s="2" t="n">
        <v>11171</v>
      </c>
      <c r="D2902" s="3" t="inlineStr">
        <is>
          <t>Мораль Леонардо</t>
        </is>
      </c>
      <c r="E2902" s="2" t="n">
        <v>1987</v>
      </c>
      <c r="F2902" s="2" t="inlineStr">
        <is>
          <t>фильм-спектакль</t>
        </is>
      </c>
      <c r="G2902" s="2" t="inlineStr">
        <is>
          <t>Главная редакция литературно-драматических программ ЦТ</t>
        </is>
      </c>
      <c r="H2902" s="2" t="n">
        <v>301</v>
      </c>
      <c r="I2902" s="2" t="inlineStr"/>
      <c r="J2902" s="2" t="inlineStr"/>
      <c r="K2902" s="3" t="inlineStr">
        <is>
          <t>Из цикла "Политический театр".
В центре повествования - история взаимоотношений американского физика, "отца водородной бомбы", именуемого в спектакле Тэдди, и его дочери, которая обвиняет отца в антигуманной деятельности, в том, что он предал мораль великих ученых прошлого.
Ведущий - Федор Бурлацкий.</t>
        </is>
      </c>
      <c r="L2902" s="2" t="inlineStr">
        <is>
          <t>https://www.kino-teatr.ru/teatr/movie/81361/annot/</t>
        </is>
      </c>
      <c r="M2902" s="2">
        <f>HYPERLINK("https://ru.wikipedia.org/w/index.php?search=%D0%9C%D0%BE%D1%80%D0%B0%D0%BB%D1%8C%20%D0%9B%D0%B5%D0%BE%D0%BD%D0%B0%D1%80%D0%B4%D0%BE%201987%20%D1%84%D0%B8%D0%BB%D1%8C%D0%BC","искать")</f>
        <v/>
      </c>
      <c r="N2902" s="3" t="n"/>
      <c r="O2902" s="2" t="n"/>
    </row>
    <row r="2903">
      <c r="A2903" s="2" t="n">
        <v>2902</v>
      </c>
      <c r="B2903" s="2" t="inlineStr"/>
      <c r="C2903" s="2" t="n">
        <v>7545</v>
      </c>
      <c r="D2903" s="3" t="inlineStr">
        <is>
          <t>Домовой</t>
        </is>
      </c>
      <c r="E2903" s="2" t="n">
        <v>1981</v>
      </c>
      <c r="F2903" s="2" t="inlineStr">
        <is>
          <t>телефильм</t>
        </is>
      </c>
      <c r="G2903" s="2" t="n"/>
      <c r="H2903" s="2" t="n">
        <v>302</v>
      </c>
      <c r="I2903" s="2" t="inlineStr"/>
      <c r="J2903" s="2" t="inlineStr"/>
      <c r="K2903" s="3" t="inlineStr">
        <is>
          <t>По одноименной пьесе эстонского писателя и драматурга Эдуарда Вильде. Действие происходит в Таллине в 1913 году. Герой - писатель Тийт вынужден приписать авторство своего романа школьному другу Людвигу. Но затем в результате шантажа ему удается войти в богатую семью и жениться на родственнице Людвига.</t>
        </is>
      </c>
      <c r="L2903" s="2" t="inlineStr">
        <is>
          <t>Кино_СССР сводный каталог.xlsx: список телефильмов</t>
        </is>
      </c>
      <c r="M2903" s="2">
        <f>HYPERLINK("https://ru.wikipedia.org/w/index.php?search=%D0%94%D0%BE%D0%BC%D0%BE%D0%B2%D0%BE%D0%B9%201981%20%D1%84%D0%B8%D0%BB%D1%8C%D0%BC","искать")</f>
        <v/>
      </c>
      <c r="N2903" s="3" t="n"/>
      <c r="O2903" s="2" t="n"/>
    </row>
    <row r="2904">
      <c r="A2904" s="2" t="n">
        <v>2903</v>
      </c>
      <c r="B2904" s="2" t="inlineStr"/>
      <c r="C2904" s="2" t="n">
        <v>7681</v>
      </c>
      <c r="D2904" s="3" t="inlineStr">
        <is>
          <t>Илга-Иволга</t>
        </is>
      </c>
      <c r="E2904" s="2" t="n">
        <v>1972</v>
      </c>
      <c r="F2904" s="2" t="inlineStr">
        <is>
          <t>телефильм</t>
        </is>
      </c>
      <c r="G2904" s="2" t="n"/>
      <c r="H2904" s="2" t="n">
        <v>302</v>
      </c>
      <c r="I2904" s="2" t="inlineStr"/>
      <c r="J2904" s="2" t="inlineStr"/>
      <c r="K2904" s="3" t="inlineStr">
        <is>
          <t>Телефильм. Раненого русского солдата Фёдора, рискуя своей жизнью, приютили на латышском хуторе дед с внучкой. Илга полюбила его, но война разлучила их. Фёдор ушёл к партизанам, а Илгу убивают фашисты. Лишь спустя много лет Фёдор приехал вновь. Здесь он встречает молодую женщину, очень похожую на Илгу.</t>
        </is>
      </c>
      <c r="L2904" s="2" t="inlineStr">
        <is>
          <t>Кино_СССР сводный каталог.xlsx: список телефильмов</t>
        </is>
      </c>
      <c r="M2904" s="2">
        <f>HYPERLINK("https://ru.wikipedia.org/w/index.php?search=%D0%98%D0%BB%D0%B3%D0%B0-%D0%98%D0%B2%D0%BE%D0%BB%D0%B3%D0%B0%201972%20%D1%84%D0%B8%D0%BB%D1%8C%D0%BC","искать")</f>
        <v/>
      </c>
      <c r="N2904" s="3" t="n"/>
      <c r="O2904" s="2" t="n"/>
    </row>
    <row r="2905">
      <c r="A2905" s="2" t="n">
        <v>2904</v>
      </c>
      <c r="B2905" s="2" t="inlineStr"/>
      <c r="C2905" s="2" t="n">
        <v>7697</v>
      </c>
      <c r="D2905" s="3" t="inlineStr">
        <is>
          <t>Казначейша</t>
        </is>
      </c>
      <c r="E2905" s="2" t="n">
        <v>1980</v>
      </c>
      <c r="F2905" s="2" t="inlineStr">
        <is>
          <t>телефильм</t>
        </is>
      </c>
      <c r="G2905" s="2" t="n"/>
      <c r="H2905" s="2" t="n">
        <v>302</v>
      </c>
      <c r="I2905" s="2" t="inlineStr"/>
      <c r="J2905" s="2" t="inlineStr"/>
      <c r="K2905" s="3" t="inlineStr">
        <is>
          <t>Этот телефильм-опера создан по произведению Бориса Асафьева "Казначейша", который, в свою очередь, переложил на язык оперы поэму М.Ю.Лермонтова "Тамбовская казначейша". Действие происходит в начале XIX века в провинциальном Тамбове. Спокойную, размеренную жизнь городка нарушает приезд уланского полка.</t>
        </is>
      </c>
      <c r="L2905" s="2" t="inlineStr">
        <is>
          <t>Кино_СССР сводный каталог.xlsx: список телефильмов</t>
        </is>
      </c>
      <c r="M2905" s="2">
        <f>HYPERLINK("https://ru.wikipedia.org/w/index.php?search=%D0%9A%D0%B0%D0%B7%D0%BD%D0%B0%D1%87%D0%B5%D0%B9%D1%88%D0%B0%201980%20%D1%84%D0%B8%D0%BB%D1%8C%D0%BC","искать")</f>
        <v/>
      </c>
      <c r="N2905" s="3" t="n"/>
      <c r="O2905" s="2" t="n"/>
    </row>
    <row r="2906">
      <c r="A2906" s="2" t="n">
        <v>2905</v>
      </c>
      <c r="B2906" s="2" t="inlineStr"/>
      <c r="C2906" s="2" t="n">
        <v>7737</v>
      </c>
      <c r="D2906" s="3" t="inlineStr">
        <is>
          <t>Когда уходят киты</t>
        </is>
      </c>
      <c r="E2906" s="2" t="n">
        <v>1981</v>
      </c>
      <c r="F2906" s="2" t="inlineStr">
        <is>
          <t>телефильм</t>
        </is>
      </c>
      <c r="G2906" s="2" t="n"/>
      <c r="H2906" s="2" t="n">
        <v>302</v>
      </c>
      <c r="I2906" s="2" t="inlineStr"/>
      <c r="J2906" s="2" t="inlineStr"/>
      <c r="K2906" s="3" t="inlineStr">
        <is>
          <t>Поэтический рассказ на основе фольклора народов Севера о жизни одного из чукотских стойбищ, о верной любви красавицы Тинтин и охотника Гилгила. Когда уходят киты?.. Когда человека покидают его друзья, близкие, те, которым он доверял, на которых опирался, надеялся, те, кто помогал ему в трудные минуты.</t>
        </is>
      </c>
      <c r="L2906" s="2" t="inlineStr">
        <is>
          <t>Кино_СССР сводный каталог.xlsx: список телефильмов</t>
        </is>
      </c>
      <c r="M2906" s="2">
        <f>HYPERLINK("https://ru.wikipedia.org/w/index.php?search=%D0%9A%D0%BE%D0%B3%D0%B4%D0%B0%20%D1%83%D1%85%D0%BE%D0%B4%D1%8F%D1%82%20%D0%BA%D0%B8%D1%82%D1%8B%201981%20%D1%84%D0%B8%D0%BB%D1%8C%D0%BC","искать")</f>
        <v/>
      </c>
      <c r="N2906" s="3" t="n"/>
      <c r="O2906" s="2" t="n"/>
    </row>
    <row r="2907">
      <c r="A2907" s="2" t="n">
        <v>2906</v>
      </c>
      <c r="B2907" s="2" t="inlineStr"/>
      <c r="C2907" s="2" t="n">
        <v>7748</v>
      </c>
      <c r="D2907" s="3" t="inlineStr">
        <is>
          <t>Компаньоны</t>
        </is>
      </c>
      <c r="E2907" s="2" t="n">
        <v>1983</v>
      </c>
      <c r="F2907" s="2" t="inlineStr">
        <is>
          <t>телефильм</t>
        </is>
      </c>
      <c r="G2907" s="2" t="n"/>
      <c r="H2907" s="2" t="n">
        <v>302</v>
      </c>
      <c r="I2907" s="2" t="inlineStr"/>
      <c r="J2907" s="2" t="inlineStr"/>
      <c r="K2907" s="3" t="inlineStr">
        <is>
          <t>По одноименной новелле Ричарда Хардвика. Охотник за акулами Рэй покупает дом на берегу моря и приезжает туда вместе со своей невестой Кэтт. Рэй приглашает своего старого друга Ллойда, с которым вместе были на войне, стать его компаньоном. Но Ллойд не ценит заботу друга, ведь Кэтт - его бывшая супруга.</t>
        </is>
      </c>
      <c r="L2907" s="2" t="inlineStr">
        <is>
          <t>Кино_СССР сводный каталог.xlsx: список телефильмов</t>
        </is>
      </c>
      <c r="M2907" s="2">
        <f>HYPERLINK("https://ru.wikipedia.org/w/index.php?search=%D0%9A%D0%BE%D0%BC%D0%BF%D0%B0%D0%BD%D1%8C%D0%BE%D0%BD%D1%8B%201983%20%D1%84%D0%B8%D0%BB%D1%8C%D0%BC","искать")</f>
        <v/>
      </c>
      <c r="N2907" s="3" t="n"/>
      <c r="O2907" s="2" t="n"/>
    </row>
    <row r="2908">
      <c r="A2908" s="2" t="n">
        <v>2907</v>
      </c>
      <c r="B2908" s="2" t="inlineStr"/>
      <c r="C2908" s="2" t="n">
        <v>7966</v>
      </c>
      <c r="D2908" s="3" t="inlineStr">
        <is>
          <t>Не сошлись характерами</t>
        </is>
      </c>
      <c r="E2908" s="2" t="n">
        <v>1989</v>
      </c>
      <c r="F2908" s="2" t="inlineStr">
        <is>
          <t>телефильм</t>
        </is>
      </c>
      <c r="G2908" s="2" t="n"/>
      <c r="H2908" s="2" t="n">
        <v>302</v>
      </c>
      <c r="I2908" s="2" t="inlineStr"/>
      <c r="J2908" s="2" t="inlineStr"/>
      <c r="K2908" s="3" t="inlineStr">
        <is>
          <t>Психолог Наталья Юрьевна по роду своей служебной деятельности разбирается в запутанных семейно-бытовых драмах своих клиентов, находя нужные слова и аргументы. Сохранять чужие семьи - ее работа. Однако, волею случая именно на долю Натальи Юрьевны выпадает пережить предательство, ревность и одиночество.</t>
        </is>
      </c>
      <c r="L2908" s="2" t="inlineStr">
        <is>
          <t>Кино_СССР сводный каталог.xlsx: список телефильмов</t>
        </is>
      </c>
      <c r="M2908" s="2">
        <f>HYPERLINK("https://ru.wikipedia.org/w/index.php?search=%D0%9D%D0%B5%20%D1%81%D0%BE%D1%88%D0%BB%D0%B8%D1%81%D1%8C%20%D1%85%D0%B0%D1%80%D0%B0%D0%BA%D1%82%D0%B5%D1%80%D0%B0%D0%BC%D0%B8%201989%20%D1%84%D0%B8%D0%BB%D1%8C%D0%BC","искать")</f>
        <v/>
      </c>
      <c r="N2908" s="3" t="n"/>
      <c r="O2908" s="2" t="n"/>
    </row>
    <row r="2909">
      <c r="A2909" s="2" t="n">
        <v>2908</v>
      </c>
      <c r="B2909" s="2" t="inlineStr"/>
      <c r="C2909" s="2" t="n">
        <v>8313</v>
      </c>
      <c r="D2909" s="3" t="inlineStr">
        <is>
          <t>Свидетель</t>
        </is>
      </c>
      <c r="E2909" s="2" t="n">
        <v>1985</v>
      </c>
      <c r="F2909" s="2" t="inlineStr">
        <is>
          <t>телефильм</t>
        </is>
      </c>
      <c r="G2909" s="2" t="n"/>
      <c r="H2909" s="2" t="n">
        <v>302</v>
      </c>
      <c r="I2909" s="2" t="inlineStr"/>
      <c r="J2909" s="2" t="inlineStr"/>
      <c r="K2909" s="3" t="inlineStr">
        <is>
          <t>Телефильм по мотивам повести В. Козько "Судный день". Первые послевоенные годы. В детском доме живет Коля Летечка — жертва "киндерхайма" — концлагеря, где немцы проводили над детьми свои исследования. Страшные воспоминания дают о себе знать, когда Колька оказывается на суде над предателями-карателями.</t>
        </is>
      </c>
      <c r="L2909" s="2" t="inlineStr">
        <is>
          <t>Кино_СССР сводный каталог.xlsx: список телефильмов</t>
        </is>
      </c>
      <c r="M2909" s="2">
        <f>HYPERLINK("https://ru.wikipedia.org/w/index.php?search=%D0%A1%D0%B2%D0%B8%D0%B4%D0%B5%D1%82%D0%B5%D0%BB%D1%8C%201985%20%D1%84%D0%B8%D0%BB%D1%8C%D0%BC","искать")</f>
        <v/>
      </c>
      <c r="N2909" s="3" t="n"/>
      <c r="O2909" s="2" t="n"/>
    </row>
    <row r="2910">
      <c r="A2910" s="2" t="n">
        <v>2909</v>
      </c>
      <c r="B2910" s="2" t="inlineStr"/>
      <c r="C2910" s="2" t="n">
        <v>8761</v>
      </c>
      <c r="D2910" s="3" t="inlineStr">
        <is>
          <t>Каталажка</t>
        </is>
      </c>
      <c r="E2910" s="2" t="n">
        <v>1990</v>
      </c>
      <c r="F2910" s="2" t="inlineStr">
        <is>
          <t>кинофильм</t>
        </is>
      </c>
      <c r="G2910" s="2" t="n"/>
      <c r="H2910" s="2" t="n">
        <v>302</v>
      </c>
      <c r="I2910" s="2" t="inlineStr"/>
      <c r="J2910" s="2" t="inlineStr"/>
      <c r="K2910" s="3" t="inlineStr">
        <is>
          <t>В обычной городской тюрьме происходит невероятное: обрушилась стена дома. Руководство города и тюрьмы вынуждено срочно подыскивать новые квартиры своим подопечным, и оно с честью выходит из этой сложной ситуации весьма оригинальным способом - уголовниковподселяют к злостным неплательщикам за квартиру.</t>
        </is>
      </c>
      <c r="L2910" s="2" t="inlineStr">
        <is>
          <t>Кино_СССР сводный каталог.xlsx: список фильмов (доп.)</t>
        </is>
      </c>
      <c r="M2910" s="2">
        <f>HYPERLINK("https://ru.wikipedia.org/w/index.php?search=%D0%9A%D0%B0%D1%82%D0%B0%D0%BB%D0%B0%D0%B6%D0%BA%D0%B0%201990%20%D1%84%D0%B8%D0%BB%D1%8C%D0%BC","искать")</f>
        <v/>
      </c>
      <c r="N2910" s="3" t="n"/>
      <c r="O2910" s="2" t="n"/>
    </row>
    <row r="2911">
      <c r="A2911" s="2" t="n">
        <v>2910</v>
      </c>
      <c r="B2911" s="2" t="inlineStr"/>
      <c r="C2911" s="2" t="n">
        <v>8768</v>
      </c>
      <c r="D2911" s="3" t="inlineStr">
        <is>
          <t>Клятвы нашего детства</t>
        </is>
      </c>
      <c r="E2911" s="2" t="n">
        <v>1989</v>
      </c>
      <c r="F2911" s="2" t="inlineStr">
        <is>
          <t>кинофильм</t>
        </is>
      </c>
      <c r="G2911" s="2" t="n"/>
      <c r="H2911" s="2" t="n">
        <v>302</v>
      </c>
      <c r="I2911" s="2" t="inlineStr"/>
      <c r="J2911" s="2" t="inlineStr"/>
      <c r="K2911" s="3" t="inlineStr">
        <is>
          <t>Попав в детский дом, девятилетний Ораз в лице воспитателя Довлата обретает друга. В голодные послевоенные годы Довлат делает все, чтобы дети не страдали. Однажды, уличив повариху Изюмгуль в краже, он навлекает на себя беду: чтобы не попасть под суд, Изюмгуль распускает о педагоге клеветнические слухи.</t>
        </is>
      </c>
      <c r="L2911" s="2" t="inlineStr">
        <is>
          <t>Кино_СССР сводный каталог.xlsx: список фильмов (доп.)</t>
        </is>
      </c>
      <c r="M2911" s="2">
        <f>HYPERLINK("https://ru.wikipedia.org/w/index.php?search=%D0%9A%D0%BB%D1%8F%D1%82%D0%B2%D1%8B%20%D0%BD%D0%B0%D1%88%D0%B5%D0%B3%D0%BE%20%D0%B4%D0%B5%D1%82%D1%81%D1%82%D0%B2%D0%B0%201989%20%D1%84%D0%B8%D0%BB%D1%8C%D0%BC","искать")</f>
        <v/>
      </c>
      <c r="N2911" s="3" t="n"/>
      <c r="O2911" s="2" t="n"/>
    </row>
    <row r="2912">
      <c r="A2912" s="2" t="n">
        <v>2911</v>
      </c>
      <c r="B2912" s="2" t="inlineStr"/>
      <c r="C2912" s="2" t="n">
        <v>8771</v>
      </c>
      <c r="D2912" s="3" t="inlineStr">
        <is>
          <t>Конечная остановка</t>
        </is>
      </c>
      <c r="E2912" s="2" t="n">
        <v>1989</v>
      </c>
      <c r="F2912" s="2" t="inlineStr">
        <is>
          <t>кинофильм</t>
        </is>
      </c>
      <c r="G2912" s="2" t="n"/>
      <c r="H2912" s="2" t="n">
        <v>302</v>
      </c>
      <c r="I2912" s="2" t="inlineStr"/>
      <c r="J2912" s="2" t="inlineStr"/>
      <c r="K2912" s="3" t="inlineStr">
        <is>
          <t>Горький, откровенный эпизод из современной жизни казахского народа. Демобилизовавшись из армии, герой приехал в родной поселок Аксуат, а через несколько дней понял, что жизнь земляков, их дела и заботы — совершенно не то, к чему он мечтал вернуться — это то место, в котором жизнь остановилась, умерла.</t>
        </is>
      </c>
      <c r="L2912" s="2" t="inlineStr">
        <is>
          <t>Кино_СССР сводный каталог.xlsx: список фильмов (доп.)</t>
        </is>
      </c>
      <c r="M2912" s="2">
        <f>HYPERLINK("https://ru.wikipedia.org/w/index.php?search=%D0%9A%D0%BE%D0%BD%D0%B5%D1%87%D0%BD%D0%B0%D1%8F%20%D0%BE%D1%81%D1%82%D0%B0%D0%BD%D0%BE%D0%B2%D0%BA%D0%B0%201989%20%D1%84%D0%B8%D0%BB%D1%8C%D0%BC","искать")</f>
        <v/>
      </c>
      <c r="N2912" s="3" t="n"/>
      <c r="O2912" s="2" t="n"/>
    </row>
    <row r="2913">
      <c r="A2913" s="2" t="n">
        <v>2912</v>
      </c>
      <c r="B2913" s="2" t="inlineStr"/>
      <c r="C2913" s="2" t="n">
        <v>8949</v>
      </c>
      <c r="D2913" s="3" t="inlineStr">
        <is>
          <t>Пока гром не грянет</t>
        </is>
      </c>
      <c r="E2913" s="2" t="n">
        <v>1991</v>
      </c>
      <c r="F2913" s="2" t="inlineStr">
        <is>
          <t>кинофильм</t>
        </is>
      </c>
      <c r="G2913" s="2" t="n"/>
      <c r="H2913" s="2" t="n">
        <v>302</v>
      </c>
      <c r="I2913" s="2" t="inlineStr"/>
      <c r="J2913" s="2" t="inlineStr"/>
      <c r="K2913" s="3" t="inlineStr">
        <is>
          <t>По мотивам повести Леонида Фролова «Не в том дело». Канун падения великой империи. Село Калиновка в двух часах езды от Москвы. Вымирает село, и каждая молодая семья на вес золота. А тут... И конфликт-то пустяковый - принципиальный председатель удержал с Лехи Воронина компенсацию за поломанный комбайн.</t>
        </is>
      </c>
      <c r="L2913" s="2" t="inlineStr">
        <is>
          <t>Кино_СССР сводный каталог.xlsx: список фильмов (доп.)</t>
        </is>
      </c>
      <c r="M2913" s="2">
        <f>HYPERLINK("https://ru.wikipedia.org/w/index.php?search=%D0%9F%D0%BE%D0%BA%D0%B0%20%D0%B3%D1%80%D0%BE%D0%BC%20%D0%BD%D0%B5%20%D0%B3%D1%80%D1%8F%D0%BD%D0%B5%D1%82%201991%20%D1%84%D0%B8%D0%BB%D1%8C%D0%BC","искать")</f>
        <v/>
      </c>
      <c r="N2913" s="3" t="n"/>
      <c r="O2913" s="2" t="n"/>
    </row>
    <row r="2914">
      <c r="A2914" s="2" t="n">
        <v>2913</v>
      </c>
      <c r="B2914" s="2" t="inlineStr"/>
      <c r="C2914" s="2" t="n">
        <v>9094</v>
      </c>
      <c r="D2914" s="3" t="inlineStr">
        <is>
          <t>Тапёр</t>
        </is>
      </c>
      <c r="E2914" s="2" t="n">
        <v>1989</v>
      </c>
      <c r="F2914" s="2" t="inlineStr">
        <is>
          <t>кинофильм</t>
        </is>
      </c>
      <c r="G2914" s="2" t="n"/>
      <c r="H2914" s="2" t="n">
        <v>302</v>
      </c>
      <c r="I2914" s="2" t="inlineStr"/>
      <c r="J2914" s="2" t="inlineStr"/>
      <c r="K2914" s="3" t="inlineStr">
        <is>
          <t>Подающий надежды студент консерватории, увлекшись джазовой музыкой, решает не продолжать учебу — и устраивается играть в ресторан. Постепенно он начинает злоупотреблять спиртным и деградирует. Знакомство с женщиной спасает героя от дальнейшего падения, он влюбляется и расстается с рестораном и джазом.</t>
        </is>
      </c>
      <c r="L2914" s="2" t="inlineStr">
        <is>
          <t>Кино_СССР сводный каталог.xlsx: список фильмов (доп.)</t>
        </is>
      </c>
      <c r="M2914" s="2">
        <f>HYPERLINK("https://ru.wikipedia.org/w/index.php?search=%D0%A2%D0%B0%D0%BF%D1%91%D1%80%201989%20%D1%84%D0%B8%D0%BB%D1%8C%D0%BC","искать")</f>
        <v/>
      </c>
      <c r="N2914" s="3" t="n"/>
      <c r="O2914" s="2" t="n"/>
    </row>
    <row r="2915">
      <c r="A2915" s="2" t="n">
        <v>2914</v>
      </c>
      <c r="B2915" s="2" t="inlineStr"/>
      <c r="C2915" s="2" t="n">
        <v>9158</v>
      </c>
      <c r="D2915" s="3" t="inlineStr">
        <is>
          <t>Чёрный принц Аджуба</t>
        </is>
      </c>
      <c r="E2915" s="2" t="n">
        <v>1989</v>
      </c>
      <c r="F2915" s="2" t="inlineStr">
        <is>
          <t>кинофильм</t>
        </is>
      </c>
      <c r="G2915" s="2" t="inlineStr">
        <is>
          <t>к/с им. Горького</t>
        </is>
      </c>
      <c r="H2915" s="2" t="n">
        <v>302</v>
      </c>
      <c r="I2915" s="2" t="inlineStr"/>
      <c r="J2915" s="2" t="inlineStr"/>
      <c r="K2915" s="3" t="inlineStr">
        <is>
          <t>У правителя сказочной страны Бахаристан родился долгожданный наследник. Добрый волшебник Амир-Баба подарил новорожденному принцу меч, способный пронзить даже гранит. Меч воткнули в основание фонтана и Амир-Баба предсказал, что оружие сможет вытащить только сын султана, когда достигнет совершеннолетия.</t>
        </is>
      </c>
      <c r="L2915" s="2" t="inlineStr">
        <is>
          <t>Кино_СССР сводный каталог.xlsx: список фильмов (доп.)</t>
        </is>
      </c>
      <c r="M2915" s="2">
        <f>HYPERLINK("https://ru.wikipedia.org/w/index.php?search=%D0%A7%D1%91%D1%80%D0%BD%D1%8B%D0%B9%20%D0%BF%D1%80%D0%B8%D0%BD%D1%86%20%D0%90%D0%B4%D0%B6%D1%83%D0%B1%D0%B0%201989%20%D1%84%D0%B8%D0%BB%D1%8C%D0%BC","искать")</f>
        <v/>
      </c>
      <c r="N2915" s="3" t="n"/>
      <c r="O2915" s="2" t="n"/>
    </row>
    <row r="2916">
      <c r="A2916" s="2" t="n">
        <v>2915</v>
      </c>
      <c r="B2916" s="2" t="inlineStr"/>
      <c r="C2916" s="2" t="n">
        <v>9210</v>
      </c>
      <c r="D2916" s="3" t="inlineStr">
        <is>
          <t>Афганский излом</t>
        </is>
      </c>
      <c r="E2916" s="2" t="n">
        <v>1991</v>
      </c>
      <c r="F2916" s="2" t="inlineStr">
        <is>
          <t>кинофильм</t>
        </is>
      </c>
      <c r="G2916" s="2" t="n"/>
      <c r="H2916" s="2" t="n">
        <v>302</v>
      </c>
      <c r="I2916" s="2" t="inlineStr"/>
      <c r="J2916" s="2" t="inlineStr"/>
      <c r="K2916" s="3" t="inlineStr">
        <is>
          <t>События фильма разворачиваются накануне вывода советских войск из Афганистана с 13 по 16 мая 1988 года. И, казалось бы, можно уже не волноваться за судьбу наших ребят, но... война продолжается. В подразделение десантников, которым командует майор Бандура, направляется сын высокопоставленного военного.</t>
        </is>
      </c>
      <c r="L2916" s="2" t="inlineStr">
        <is>
          <t>Кино_СССР сводный каталог.xlsx: список фильмов (доп.)</t>
        </is>
      </c>
      <c r="M2916" s="2">
        <f>HYPERLINK("https://ru.wikipedia.org/w/index.php?search=%D0%90%D1%84%D0%B3%D0%B0%D0%BD%D1%81%D0%BA%D0%B8%D0%B9%20%D0%B8%D0%B7%D0%BB%D0%BE%D0%BC%201991%20%D1%84%D0%B8%D0%BB%D1%8C%D0%BC","искать")</f>
        <v/>
      </c>
      <c r="N2916" s="3" t="n"/>
      <c r="O2916" s="2" t="n"/>
    </row>
    <row r="2917">
      <c r="A2917" s="2" t="n">
        <v>2916</v>
      </c>
      <c r="B2917" s="2" t="inlineStr"/>
      <c r="C2917" s="2" t="n">
        <v>9227</v>
      </c>
      <c r="D2917" s="3" t="inlineStr">
        <is>
          <t>Бейбарс</t>
        </is>
      </c>
      <c r="E2917" s="2" t="n">
        <v>1989</v>
      </c>
      <c r="F2917" s="2" t="inlineStr">
        <is>
          <t>кинофильм</t>
        </is>
      </c>
      <c r="G2917" s="2" t="n"/>
      <c r="H2917" s="2" t="n">
        <v>302</v>
      </c>
      <c r="I2917" s="2" t="inlineStr"/>
      <c r="J2917" s="2" t="inlineStr"/>
      <c r="K2917" s="3" t="inlineStr">
        <is>
          <t>По мотивам повести Мориса Симашко "Емшан". XIII век. На фоне походов крестоносцев и татаро-монгольских орд в страны Востока, восстания мамлюков и захвата ими власти в Египте картина повествует о судьбе реально существовавшего египетского султана Бейбарса, его детстве, юности и пути к верховной власти.</t>
        </is>
      </c>
      <c r="L2917" s="2" t="inlineStr">
        <is>
          <t>Кино_СССР сводный каталог.xlsx: список фильмов (доп.)</t>
        </is>
      </c>
      <c r="M2917" s="2">
        <f>HYPERLINK("https://ru.wikipedia.org/w/index.php?search=%D0%91%D0%B5%D0%B9%D0%B1%D0%B0%D1%80%D1%81%201989%20%D1%84%D0%B8%D0%BB%D1%8C%D0%BC","искать")</f>
        <v/>
      </c>
      <c r="N2917" s="3" t="n"/>
      <c r="O2917" s="2" t="n"/>
    </row>
    <row r="2918">
      <c r="A2918" s="2" t="n">
        <v>2917</v>
      </c>
      <c r="B2918" s="2" t="inlineStr"/>
      <c r="C2918" s="2" t="n">
        <v>9258</v>
      </c>
      <c r="D2918" s="3" t="inlineStr">
        <is>
          <t>Бухта смерти</t>
        </is>
      </c>
      <c r="E2918" s="2" t="n">
        <v>1991</v>
      </c>
      <c r="F2918" s="2" t="inlineStr">
        <is>
          <t>кинофильм</t>
        </is>
      </c>
      <c r="G2918" s="2" t="n"/>
      <c r="H2918" s="2" t="n">
        <v>302</v>
      </c>
      <c r="I2918" s="2" t="inlineStr"/>
      <c r="J2918" s="2" t="inlineStr"/>
      <c r="K2918" s="3" t="inlineStr">
        <is>
          <t>По роману Джеймса Хедли Чейза "Каменные джунгли". Детектив Том Лепски превратился в капитана милиции Толю Ленского. С другими персонажами Чейза произошла та же метаморфоза - мы имеем дело уже с Юрой, Сашей, Наной (Ниной) и лысым господином по кличке Лысый, который и спрятал сокровища в 'бухте смерти'.</t>
        </is>
      </c>
      <c r="L2918" s="2" t="inlineStr">
        <is>
          <t>Кино_СССР сводный каталог.xlsx: список фильмов (доп.)</t>
        </is>
      </c>
      <c r="M2918" s="2">
        <f>HYPERLINK("https://ru.wikipedia.org/w/index.php?search=%D0%91%D1%83%D1%85%D1%82%D0%B0%20%D1%81%D0%BC%D0%B5%D1%80%D1%82%D0%B8%201991%20%D1%84%D0%B8%D0%BB%D1%8C%D0%BC","искать")</f>
        <v/>
      </c>
      <c r="N2918" s="3" t="n"/>
      <c r="O2918" s="2" t="n"/>
    </row>
    <row r="2919">
      <c r="A2919" s="2" t="n">
        <v>2918</v>
      </c>
      <c r="B2919" s="2" t="inlineStr"/>
      <c r="C2919" s="2" t="n">
        <v>9327</v>
      </c>
      <c r="D2919" s="3" t="inlineStr">
        <is>
          <t>Дежа вю</t>
        </is>
      </c>
      <c r="E2919" s="2" t="n">
        <v>1989</v>
      </c>
      <c r="F2919" s="2" t="inlineStr">
        <is>
          <t>кинофильм</t>
        </is>
      </c>
      <c r="G2919" s="2" t="n"/>
      <c r="H2919" s="2" t="n">
        <v>302</v>
      </c>
      <c r="I2919" s="2" t="inlineStr"/>
      <c r="J2919" s="2" t="inlineStr"/>
      <c r="K2919" s="3" t="inlineStr">
        <is>
          <t>1925 год. Мафия чикагских подпольных, в эпоху сухого закона, торговцев спиртным (бутлегеров) потерпела едва ли не крах из-за предательства Микка Нича. Теперь его должен уничтожить киллер Джонни Поллак, который добирается аж до Одессы, где Микита Ничипорук (бывший Нич) открыл "великий самогонный путь".</t>
        </is>
      </c>
      <c r="L2919" s="2" t="inlineStr">
        <is>
          <t>Кино_СССР сводный каталог.xlsx: список фильмов (доп.)</t>
        </is>
      </c>
      <c r="M2919" s="2">
        <f>HYPERLINK("https://ru.wikipedia.org/w/index.php?search=%D0%94%D0%B5%D0%B6%D0%B0%20%D0%B2%D1%8E%201989%20%D1%84%D0%B8%D0%BB%D1%8C%D0%BC","искать")</f>
        <v/>
      </c>
      <c r="N2919" s="3" t="n"/>
      <c r="O2919" s="2" t="n"/>
    </row>
    <row r="2920">
      <c r="A2920" s="2" t="n">
        <v>2919</v>
      </c>
      <c r="B2920" s="2" t="inlineStr"/>
      <c r="C2920" s="2" t="n">
        <v>9356</v>
      </c>
      <c r="D2920" s="3" t="inlineStr">
        <is>
          <t>Жена керосинщика</t>
        </is>
      </c>
      <c r="E2920" s="2" t="n">
        <v>1988</v>
      </c>
      <c r="F2920" s="2" t="inlineStr">
        <is>
          <t>кинофильм</t>
        </is>
      </c>
      <c r="G2920" s="2" t="n"/>
      <c r="H2920" s="2" t="n">
        <v>302</v>
      </c>
      <c r="I2920" s="2" t="inlineStr"/>
      <c r="J2920" s="2" t="inlineStr"/>
      <c r="K2920" s="3" t="inlineStr">
        <is>
          <t>Один из братьев оперировал мальчика. Другой ему ассистировал. Понадобилось переливание крови. Дорожа мгновением, хирург не проверил поданный ассистентом материал и влил больному кровь не той группы. Ребенок умер. Жизнь братьев резко изменилась. Один стал керосинщиком, другой - председателем горсовета.</t>
        </is>
      </c>
      <c r="L2920" s="2" t="inlineStr">
        <is>
          <t>Кино_СССР сводный каталог.xlsx: список фильмов (доп.)</t>
        </is>
      </c>
      <c r="M2920" s="2">
        <f>HYPERLINK("https://ru.wikipedia.org/w/index.php?search=%D0%96%D0%B5%D0%BD%D0%B0%20%D0%BA%D0%B5%D1%80%D0%BE%D1%81%D0%B8%D0%BD%D1%89%D0%B8%D0%BA%D0%B0%201988%20%D1%84%D0%B8%D0%BB%D1%8C%D0%BC","искать")</f>
        <v/>
      </c>
      <c r="N2920" s="3" t="n"/>
      <c r="O2920" s="2" t="n"/>
    </row>
    <row r="2921">
      <c r="A2921" s="2" t="n">
        <v>2920</v>
      </c>
      <c r="B2921" s="2" t="inlineStr"/>
      <c r="C2921" s="2" t="n">
        <v>9423</v>
      </c>
      <c r="D2921" s="3" t="inlineStr">
        <is>
          <t>Колоброд</t>
        </is>
      </c>
      <c r="E2921" s="2" t="n">
        <v>1989</v>
      </c>
      <c r="F2921" s="2" t="inlineStr">
        <is>
          <t>кинофильм</t>
        </is>
      </c>
      <c r="G2921" s="2" t="inlineStr">
        <is>
          <t>Мосфильм, Экспериментальное молодёжное творческое объединение</t>
        </is>
      </c>
      <c r="H2921" s="2" t="n">
        <v>302</v>
      </c>
      <c r="I2921" s="2" t="inlineStr"/>
      <c r="J2921" s="2" t="inlineStr"/>
      <c r="K2921" s="3" t="inlineStr">
        <is>
          <t>По мотивам рассказа В.Кононенко «Поймать рыбу». В деревне, куда Семен часто приезжает передохнуть от городской суеты, все только и говорят о большой рыбине-чудище, поймав которую, счастливчик обретает некий чудесный дар. Кто-то ее даже видел, но прошел мимо. А вот зачем она Семену — он и сам не знает.</t>
        </is>
      </c>
      <c r="L2921" s="2" t="inlineStr">
        <is>
          <t>Кино_СССР сводный каталог.xlsx: список фильмов (доп.)</t>
        </is>
      </c>
      <c r="M2921" s="2">
        <f>HYPERLINK("https://ru.wikipedia.org/w/index.php?search=%D0%9A%D0%BE%D0%BB%D0%BE%D0%B1%D1%80%D0%BE%D0%B4%201989%20%D1%84%D0%B8%D0%BB%D1%8C%D0%BC","искать")</f>
        <v/>
      </c>
      <c r="N2921" s="3" t="n"/>
      <c r="O2921" s="2" t="n"/>
    </row>
    <row r="2922">
      <c r="A2922" s="2" t="n">
        <v>2921</v>
      </c>
      <c r="B2922" s="2" t="inlineStr"/>
      <c r="C2922" s="2" t="n">
        <v>9600</v>
      </c>
      <c r="D2922" s="3" t="inlineStr">
        <is>
          <t>Прости нас, первая любовь</t>
        </is>
      </c>
      <c r="E2922" s="2" t="n">
        <v>1984</v>
      </c>
      <c r="F2922" s="2" t="inlineStr">
        <is>
          <t>кинофильм</t>
        </is>
      </c>
      <c r="G2922" s="2" t="n"/>
      <c r="H2922" s="2" t="n">
        <v>302</v>
      </c>
      <c r="I2922" s="2" t="inlineStr"/>
      <c r="J2922" s="2" t="inlineStr"/>
      <c r="K2922" s="3" t="inlineStr">
        <is>
          <t>Отслужив положенный срок в десантных войсках, Константин возвращется домой, где, как он уверен, его ждут друзья и любимая девушка. Но попав в первый же день своего приезда на пикник, герой знакомится с преуспевающим тридцатипятилетним Аликом - женихом Лены, которая обещала Косте ждать его возвращения.</t>
        </is>
      </c>
      <c r="L2922" s="2" t="inlineStr">
        <is>
          <t>Кино_СССР сводный каталог.xlsx: список фильмов (доп.)</t>
        </is>
      </c>
      <c r="M2922" s="2">
        <f>HYPERLINK("https://ru.wikipedia.org/w/index.php?search=%D0%9F%D1%80%D0%BE%D1%81%D1%82%D0%B8%20%D0%BD%D0%B0%D1%81%2C%20%D0%BF%D0%B5%D1%80%D0%B2%D0%B0%D1%8F%20%D0%BB%D1%8E%D0%B1%D0%BE%D0%B2%D1%8C%201984%20%D1%84%D0%B8%D0%BB%D1%8C%D0%BC","искать")</f>
        <v/>
      </c>
      <c r="N2922" s="3" t="n"/>
      <c r="O2922" s="2" t="n"/>
    </row>
    <row r="2923">
      <c r="A2923" s="2" t="n">
        <v>2922</v>
      </c>
      <c r="B2923" s="2" t="inlineStr"/>
      <c r="C2923" s="2" t="n">
        <v>9700</v>
      </c>
      <c r="D2923" s="3" t="inlineStr">
        <is>
          <t>Трудно быть богом</t>
        </is>
      </c>
      <c r="E2923" s="2" t="n">
        <v>1989</v>
      </c>
      <c r="F2923" s="2" t="inlineStr">
        <is>
          <t>кинофильм</t>
        </is>
      </c>
      <c r="G2923" s="2" t="n"/>
      <c r="H2923" s="2" t="n">
        <v>302</v>
      </c>
      <c r="I2923" s="2" t="inlineStr"/>
      <c r="J2923" s="2" t="inlineStr"/>
      <c r="K2923" s="3" t="inlineStr">
        <is>
          <t>По роману братьев Стругацких. Далекая планета Арканар переживает в своем развитии этап, соответствующий нашему средневековью и живет по его ужасным законам. Жизнь планеты уже много лет изучают земляне. Молодого ученого-историка с Земли под именем храброго рыцаря Румата Эсторский высаживают на Арканар.</t>
        </is>
      </c>
      <c r="L2923" s="2" t="inlineStr">
        <is>
          <t>Кино_СССР сводный каталог.xlsx: список фильмов (доп.)</t>
        </is>
      </c>
      <c r="M2923" s="2">
        <f>HYPERLINK("https://ru.wikipedia.org/w/index.php?search=%D0%A2%D1%80%D1%83%D0%B4%D0%BD%D0%BE%20%D0%B1%D1%8B%D1%82%D1%8C%20%D0%B1%D0%BE%D0%B3%D0%BE%D0%BC%201989%20%D1%84%D0%B8%D0%BB%D1%8C%D0%BC","искать")</f>
        <v/>
      </c>
      <c r="N2923" s="3" t="n"/>
      <c r="O2923" s="2" t="n"/>
    </row>
    <row r="2924">
      <c r="A2924" s="2" t="n">
        <v>2923</v>
      </c>
      <c r="B2924" s="2" t="inlineStr"/>
      <c r="C2924" s="2" t="n">
        <v>9961</v>
      </c>
      <c r="D2924" s="3" t="inlineStr">
        <is>
          <t>Всё гораздо проще</t>
        </is>
      </c>
      <c r="E2924" s="2" t="n">
        <v>1981</v>
      </c>
      <c r="F2924" s="2" t="inlineStr">
        <is>
          <t>кинофильм</t>
        </is>
      </c>
      <c r="G2924" s="2" t="inlineStr">
        <is>
          <t>Ленфильм</t>
        </is>
      </c>
      <c r="H2924" s="2" t="n">
        <v>302</v>
      </c>
      <c r="I2924" s="2" t="inlineStr"/>
      <c r="J2924" s="2" t="inlineStr"/>
      <c r="K2924" s="3" t="inlineStr">
        <is>
          <t>По заказу Правления Гострудсберкасс СССР.
Геолог возвращается домой из командировки и выясняет, что за неуплату у него отключили газ, свет, отопление и воду. Его не было год, он не мог оплатить коммунальные услуги. Оказывается, это можно было сделать по безналичному расчёту через сберегательную кассу.</t>
        </is>
      </c>
      <c r="L2924" s="2" t="inlineStr">
        <is>
          <t>https://www.kino-teatr.ru/short/movie/sov/195018/annot/</t>
        </is>
      </c>
      <c r="M2924" s="2">
        <f>HYPERLINK("https://ru.wikipedia.org/w/index.php?search=%D0%92%D1%81%D1%91%20%D0%B3%D0%BE%D1%80%D0%B0%D0%B7%D0%B4%D0%BE%20%D0%BF%D1%80%D0%BE%D1%89%D0%B5%201981%20%D1%84%D0%B8%D0%BB%D1%8C%D0%BC","искать")</f>
        <v/>
      </c>
      <c r="N2924" s="3" t="n"/>
      <c r="O2924" s="2" t="n"/>
    </row>
    <row r="2925">
      <c r="A2925" s="2" t="n">
        <v>2924</v>
      </c>
      <c r="B2925" s="2" t="inlineStr"/>
      <c r="C2925" s="2" t="n">
        <v>7506</v>
      </c>
      <c r="D2925" s="3" t="inlineStr">
        <is>
          <t>Деревянная пушка</t>
        </is>
      </c>
      <c r="E2925" s="2" t="n">
        <v>1987</v>
      </c>
      <c r="F2925" s="2" t="inlineStr">
        <is>
          <t>телефильм</t>
        </is>
      </c>
      <c r="G2925" s="2" t="n"/>
      <c r="H2925" s="2" t="n">
        <v>303</v>
      </c>
      <c r="I2925" s="2" t="inlineStr"/>
      <c r="J2925" s="2" t="inlineStr"/>
      <c r="K2925" s="3" t="inlineStr">
        <is>
          <t>Действие фильма происходит в Молдавии во время Великой Отечественной войны. Над хутором, где живут дед Давид и его невестка Мария, пролегла трасса немецкого почтового самолета. Мария соорудила деревянную "пушку", стрелявшую камнями, надеясь сбить самолет. Но при первом же испытании "пушка" развалилась.</t>
        </is>
      </c>
      <c r="L2925" s="2" t="inlineStr">
        <is>
          <t>Кино_СССР сводный каталог.xlsx: список телефильмов</t>
        </is>
      </c>
      <c r="M2925" s="2">
        <f>HYPERLINK("https://ru.wikipedia.org/w/index.php?search=%D0%94%D0%B5%D1%80%D0%B5%D0%B2%D1%8F%D0%BD%D0%BD%D0%B0%D1%8F%20%D0%BF%D1%83%D1%88%D0%BA%D0%B0%201987%20%D1%84%D0%B8%D0%BB%D1%8C%D0%BC","искать")</f>
        <v/>
      </c>
      <c r="N2925" s="3" t="n"/>
      <c r="O2925" s="2" t="n"/>
    </row>
    <row r="2926">
      <c r="A2926" s="2" t="n">
        <v>2925</v>
      </c>
      <c r="B2926" s="2" t="inlineStr"/>
      <c r="C2926" s="2" t="n">
        <v>7876</v>
      </c>
      <c r="D2926" s="3" t="inlineStr">
        <is>
          <t>Мир вашему дому</t>
        </is>
      </c>
      <c r="E2926" s="2" t="n">
        <v>1981</v>
      </c>
      <c r="F2926" s="2" t="inlineStr">
        <is>
          <t>телефильм</t>
        </is>
      </c>
      <c r="G2926" s="2" t="n"/>
      <c r="H2926" s="2" t="n">
        <v>303</v>
      </c>
      <c r="I2926" s="2" t="inlineStr"/>
      <c r="J2926" s="2" t="inlineStr"/>
      <c r="K2926" s="3" t="inlineStr">
        <is>
          <t>По мотивам документальной повести Якова Нальского "В горах восточной Бухары". Действие фильма происходит весной 1923 года. Начальник особого отдела одного из фронтов - старый революционер Вацлав Калиновский - решает забросить своего сотрудника в ставку самого опасного из главарей - басмача Рустам-бека.</t>
        </is>
      </c>
      <c r="L2926" s="2" t="inlineStr">
        <is>
          <t>Кино_СССР сводный каталог.xlsx: список телефильмов</t>
        </is>
      </c>
      <c r="M2926" s="2">
        <f>HYPERLINK("https://ru.wikipedia.org/w/index.php?search=%D0%9C%D0%B8%D1%80%20%D0%B2%D0%B0%D1%88%D0%B5%D0%BC%D1%83%20%D0%B4%D0%BE%D0%BC%D1%83%201981%20%D1%84%D0%B8%D0%BB%D1%8C%D0%BC","искать")</f>
        <v/>
      </c>
      <c r="N2926" s="3" t="n"/>
      <c r="O2926" s="2" t="n"/>
    </row>
    <row r="2927">
      <c r="A2927" s="2" t="n">
        <v>2926</v>
      </c>
      <c r="B2927" s="2" t="inlineStr"/>
      <c r="C2927" s="2" t="n">
        <v>7886</v>
      </c>
      <c r="D2927" s="3" t="inlineStr">
        <is>
          <t>Мнимый больной</t>
        </is>
      </c>
      <c r="E2927" s="2" t="n">
        <v>1979</v>
      </c>
      <c r="F2927" s="2" t="inlineStr">
        <is>
          <t>телефильм</t>
        </is>
      </c>
      <c r="G2927" s="2" t="n"/>
      <c r="H2927" s="2" t="n">
        <v>303</v>
      </c>
      <c r="I2927" s="2" t="inlineStr"/>
      <c r="J2927" s="2" t="inlineStr"/>
      <c r="K2927" s="3" t="inlineStr">
        <is>
          <t>По одноименной пьесе Ж.-Б.Мольера. Мнительный человек - беда для окружающих. Если он болен, то смертельно. Если на него косо посмотрели, значит сглазили. Если жена весела, значит - влюбилась в соседа. И вот один такой господин, глава большого семейства, решает проверить, как относятся к нему домочадцы.</t>
        </is>
      </c>
      <c r="L2927" s="2" t="inlineStr">
        <is>
          <t>Кино_СССР сводный каталог.xlsx: список телефильмов</t>
        </is>
      </c>
      <c r="M2927" s="2">
        <f>HYPERLINK("https://ru.wikipedia.org/w/index.php?search=%D0%9C%D0%BD%D0%B8%D0%BC%D1%8B%D0%B9%20%D0%B1%D0%BE%D0%BB%D1%8C%D0%BD%D0%BE%D0%B9%201979%20%D1%84%D0%B8%D0%BB%D1%8C%D0%BC","искать")</f>
        <v/>
      </c>
      <c r="N2927" s="3" t="n"/>
      <c r="O2927" s="2" t="n"/>
    </row>
    <row r="2928">
      <c r="A2928" s="2" t="n">
        <v>2927</v>
      </c>
      <c r="B2928" s="2" t="inlineStr"/>
      <c r="C2928" s="2" t="n">
        <v>7931</v>
      </c>
      <c r="D2928" s="3" t="inlineStr">
        <is>
          <t>На крутизне</t>
        </is>
      </c>
      <c r="E2928" s="2" t="n">
        <v>1976</v>
      </c>
      <c r="F2928" s="2" t="inlineStr">
        <is>
          <t>телефильм</t>
        </is>
      </c>
      <c r="G2928" s="2" t="n"/>
      <c r="H2928" s="2" t="n">
        <v>303</v>
      </c>
      <c r="I2928" s="2" t="inlineStr"/>
      <c r="J2928" s="2" t="inlineStr"/>
      <c r="K2928" s="3" t="inlineStr">
        <is>
          <t>О строительстве ЛЭП-500 в горах Таджикистана. Инженером Ольгой Богуславской вносится предложение, направленное на экономию строительных материалов и сокращения сроков строительства. Ее предложение поддерживается, но затем начальник участка Махкамов, боясь возможной ответственности, меняет свою позицию.</t>
        </is>
      </c>
      <c r="L2928" s="2" t="inlineStr">
        <is>
          <t>Кино_СССР сводный каталог.xlsx: список телефильмов</t>
        </is>
      </c>
      <c r="M2928" s="2">
        <f>HYPERLINK("https://ru.wikipedia.org/w/index.php?search=%D0%9D%D0%B0%20%D0%BA%D1%80%D1%83%D1%82%D0%B8%D0%B7%D0%BD%D0%B5%201976%20%D1%84%D0%B8%D0%BB%D1%8C%D0%BC","искать")</f>
        <v/>
      </c>
      <c r="N2928" s="3" t="n"/>
      <c r="O2928" s="2" t="n"/>
    </row>
    <row r="2929">
      <c r="A2929" s="2" t="n">
        <v>2928</v>
      </c>
      <c r="B2929" s="2" t="inlineStr"/>
      <c r="C2929" s="2" t="n">
        <v>8083</v>
      </c>
      <c r="D2929" s="3" t="inlineStr">
        <is>
          <t>Пастух из Тушетии</t>
        </is>
      </c>
      <c r="E2929" s="2" t="n">
        <v>1978</v>
      </c>
      <c r="F2929" s="2" t="inlineStr">
        <is>
          <t>телефильм</t>
        </is>
      </c>
      <c r="G2929" s="2" t="n"/>
      <c r="H2929" s="2" t="n">
        <v>303</v>
      </c>
      <c r="I2929" s="2" t="inlineStr"/>
      <c r="J2929" s="2" t="inlineStr"/>
      <c r="K2929" s="3" t="inlineStr">
        <is>
          <t>თუში მეცხვარე Действие фильма - практически документальное, персонажи, за исключением главного героя, — местные жители. На основе документального материала показана повседневная жизнь тушских пастухов. При этом фильм поэтично изображает и демонстрирует нравственную гармонию, чистоту и силу духа героев.</t>
        </is>
      </c>
      <c r="L2929" s="2" t="inlineStr">
        <is>
          <t>Кино_СССР сводный каталог.xlsx: список телефильмов</t>
        </is>
      </c>
      <c r="M2929" s="2">
        <f>HYPERLINK("https://ru.wikipedia.org/w/index.php?search=%D0%9F%D0%B0%D1%81%D1%82%D1%83%D1%85%20%D0%B8%D0%B7%20%D0%A2%D1%83%D1%88%D0%B5%D1%82%D0%B8%D0%B8%201978%20%D1%84%D0%B8%D0%BB%D1%8C%D0%BC","искать")</f>
        <v/>
      </c>
      <c r="N2929" s="3" t="n"/>
      <c r="O2929" s="2" t="n"/>
    </row>
    <row r="2930">
      <c r="A2930" s="2" t="n">
        <v>2929</v>
      </c>
      <c r="B2930" s="2" t="inlineStr"/>
      <c r="C2930" s="2" t="n">
        <v>8214</v>
      </c>
      <c r="D2930" s="3" t="inlineStr">
        <is>
          <t>Приморский бульвар</t>
        </is>
      </c>
      <c r="E2930" s="2" t="n">
        <v>1988</v>
      </c>
      <c r="F2930" s="2" t="inlineStr">
        <is>
          <t>телефильм</t>
        </is>
      </c>
      <c r="G2930" s="2" t="n"/>
      <c r="H2930" s="2" t="n">
        <v>303</v>
      </c>
      <c r="I2930" s="2" t="inlineStr"/>
      <c r="J2930" s="2" t="inlineStr"/>
      <c r="K2930" s="3" t="inlineStr">
        <is>
          <t>Догоняя незнакомую девушку, Александр становится виновником дорожного происшествия. Пострадавший в аварии сценарист Огоньков, выслушав причину случившегося, соглашается не брать с него денег на ремонт машины при условии, что Саша поможет ему написать увлекательный сюжет для рекламного ролика Госстраха.</t>
        </is>
      </c>
      <c r="L2930" s="2" t="inlineStr">
        <is>
          <t>Кино_СССР сводный каталог.xlsx: список телефильмов</t>
        </is>
      </c>
      <c r="M2930" s="2">
        <f>HYPERLINK("https://ru.wikipedia.org/w/index.php?search=%D0%9F%D1%80%D0%B8%D0%BC%D0%BE%D1%80%D1%81%D0%BA%D0%B8%D0%B9%20%D0%B1%D1%83%D0%BB%D1%8C%D0%B2%D0%B0%D1%80%201988%20%D1%84%D0%B8%D0%BB%D1%8C%D0%BC","искать")</f>
        <v/>
      </c>
      <c r="N2930" s="3" t="n"/>
      <c r="O2930" s="2" t="n"/>
    </row>
    <row r="2931">
      <c r="A2931" s="2" t="n">
        <v>2930</v>
      </c>
      <c r="B2931" s="2" t="inlineStr"/>
      <c r="C2931" s="2" t="n">
        <v>8401</v>
      </c>
      <c r="D2931" s="3" t="inlineStr">
        <is>
          <t>Старые письма</t>
        </is>
      </c>
      <c r="E2931" s="2" t="n">
        <v>1981</v>
      </c>
      <c r="F2931" s="2" t="inlineStr">
        <is>
          <t>телефильм</t>
        </is>
      </c>
      <c r="G2931" s="2" t="n"/>
      <c r="H2931" s="2" t="n">
        <v>303</v>
      </c>
      <c r="I2931" s="2" t="inlineStr"/>
      <c r="J2931" s="2" t="inlineStr"/>
      <c r="K2931" s="3" t="inlineStr">
        <is>
          <t>Телефильм. Вернувшись с фронта, Иван Лукич узнал, что жена изменила ему. Он ушел от нее и дочери. Позже Иван пытался разыскать их, но не получилось. Прошли годы. У него - другая семья, взрослые дети и внук. И совершено случайно он встречает Лизу, свою дочь, которая уверена, что ее отец погиб на фронте.</t>
        </is>
      </c>
      <c r="L2931" s="2" t="inlineStr">
        <is>
          <t>Кино_СССР сводный каталог.xlsx: список телефильмов</t>
        </is>
      </c>
      <c r="M2931" s="2">
        <f>HYPERLINK("https://ru.wikipedia.org/w/index.php?search=%D0%A1%D1%82%D0%B0%D1%80%D1%8B%D0%B5%20%D0%BF%D0%B8%D1%81%D1%8C%D0%BC%D0%B0%201981%20%D1%84%D0%B8%D0%BB%D1%8C%D0%BC","искать")</f>
        <v/>
      </c>
      <c r="N2931" s="3" t="n"/>
      <c r="O2931" s="2" t="n"/>
    </row>
    <row r="2932">
      <c r="A2932" s="2" t="n">
        <v>2931</v>
      </c>
      <c r="B2932" s="2" t="inlineStr"/>
      <c r="C2932" s="2" t="n">
        <v>8423</v>
      </c>
      <c r="D2932" s="3" t="inlineStr">
        <is>
          <t>Сюжет для двух рассказов</t>
        </is>
      </c>
      <c r="E2932" s="2" t="n">
        <v>1991</v>
      </c>
      <c r="F2932" s="2" t="inlineStr">
        <is>
          <t>телефильм</t>
        </is>
      </c>
      <c r="G2932" s="2" t="n"/>
      <c r="H2932" s="2" t="n">
        <v>303</v>
      </c>
      <c r="I2932" s="2" t="inlineStr"/>
      <c r="J2932" s="2" t="inlineStr"/>
      <c r="K2932" s="3" t="inlineStr">
        <is>
          <t>Телефильм. По рассказам А. П. Чехова «После театра» и «Володя». Фильм состоит из двух отдельных сюжетов, посвящённых первому становлению в человеке любовных переживаний. Первый сюжет "После театра" - о юной девушке Наденьке, которую одолевают сложные чувства, вызванные в ней любовью двух молодых людей.</t>
        </is>
      </c>
      <c r="L2932" s="2" t="inlineStr">
        <is>
          <t>Кино_СССР сводный каталог.xlsx: список телефильмов</t>
        </is>
      </c>
      <c r="M2932" s="2">
        <f>HYPERLINK("https://ru.wikipedia.org/w/index.php?search=%D0%A1%D1%8E%D0%B6%D0%B5%D1%82%20%D0%B4%D0%BB%D1%8F%20%D0%B4%D0%B2%D1%83%D1%85%20%D1%80%D0%B0%D1%81%D1%81%D0%BA%D0%B0%D0%B7%D0%BE%D0%B2%201991%20%D1%84%D0%B8%D0%BB%D1%8C%D0%BC","искать")</f>
        <v/>
      </c>
      <c r="N2932" s="3" t="n"/>
      <c r="O2932" s="2" t="n"/>
    </row>
    <row r="2933">
      <c r="A2933" s="2" t="n">
        <v>2932</v>
      </c>
      <c r="B2933" s="2" t="inlineStr"/>
      <c r="C2933" s="2" t="n">
        <v>8535</v>
      </c>
      <c r="D2933" s="3" t="inlineStr">
        <is>
          <t>Цирк зажигает огни</t>
        </is>
      </c>
      <c r="E2933" s="2" t="n">
        <v>1972</v>
      </c>
      <c r="F2933" s="2" t="inlineStr">
        <is>
          <t>телефильм</t>
        </is>
      </c>
      <c r="G2933" s="2" t="n"/>
      <c r="H2933" s="2" t="n">
        <v>303</v>
      </c>
      <c r="I2933" s="2" t="inlineStr"/>
      <c r="J2933" s="2" t="inlineStr"/>
      <c r="K2933" s="3" t="inlineStr">
        <is>
          <t>Телефильм. Музыкальная комедия по одноименной оперетте Юрия Милютина. В приморском городе гастролируют два цирка: советский и итальянский. Итальянская акробатка влюбляется в советского артиста, но спонсор итальянского цирка, давний поклонник акробатки, не может ей простить измену и строит всякие козни.</t>
        </is>
      </c>
      <c r="L2933" s="2" t="inlineStr">
        <is>
          <t>Кино_СССР сводный каталог.xlsx: список телефильмов</t>
        </is>
      </c>
      <c r="M2933" s="2">
        <f>HYPERLINK("https://ru.wikipedia.org/w/index.php?search=%D0%A6%D0%B8%D1%80%D0%BA%20%D0%B7%D0%B0%D0%B6%D0%B8%D0%B3%D0%B0%D0%B5%D1%82%20%D0%BE%D0%B3%D0%BD%D0%B8%201972%20%D1%84%D0%B8%D0%BB%D1%8C%D0%BC","искать")</f>
        <v/>
      </c>
      <c r="N2933" s="3" t="n"/>
      <c r="O2933" s="2" t="n"/>
    </row>
    <row r="2934">
      <c r="A2934" s="2" t="n">
        <v>2933</v>
      </c>
      <c r="B2934" s="2" t="inlineStr"/>
      <c r="C2934" s="2" t="n">
        <v>8793</v>
      </c>
      <c r="D2934" s="3" t="inlineStr">
        <is>
          <t>Лебединое озеро. Зона</t>
        </is>
      </c>
      <c r="E2934" s="2" t="n">
        <v>1989</v>
      </c>
      <c r="F2934" s="2" t="inlineStr">
        <is>
          <t>кинофильм</t>
        </is>
      </c>
      <c r="G2934" s="2" t="n"/>
      <c r="H2934" s="2" t="n">
        <v>303</v>
      </c>
      <c r="I2934" s="2" t="inlineStr"/>
      <c r="J2934" s="2" t="inlineStr"/>
      <c r="K2934" s="3" t="inlineStr">
        <is>
          <t>Последняя кинематографическая картина, к которой имеет отношение Сергей Параджанов. Шесть лет он провел в заключении под Коммунарском (Алчевск) Ворошиловградской области (ныне Луганской). Надзиратели не мешали режиссеру делать куклы из мешковины, аппликации, и даже выдали набор итальянских фламастеров.</t>
        </is>
      </c>
      <c r="L2934" s="2" t="inlineStr">
        <is>
          <t>Кино_СССР сводный каталог.xlsx: список фильмов (доп.)</t>
        </is>
      </c>
      <c r="M2934" s="2">
        <f>HYPERLINK("https://ru.wikipedia.org/w/index.php?search=%D0%9B%D0%B5%D0%B1%D0%B5%D0%B4%D0%B8%D0%BD%D0%BE%D0%B5%20%D0%BE%D0%B7%D0%B5%D1%80%D0%BE.%20%D0%97%D0%BE%D0%BD%D0%B0%201989%20%D1%84%D0%B8%D0%BB%D1%8C%D0%BC","искать")</f>
        <v/>
      </c>
      <c r="N2934" s="3" t="n"/>
      <c r="O2934" s="2" t="n"/>
    </row>
    <row r="2935">
      <c r="A2935" s="2" t="n">
        <v>2934</v>
      </c>
      <c r="B2935" s="2" t="inlineStr"/>
      <c r="C2935" s="2" t="n">
        <v>8980</v>
      </c>
      <c r="D2935" s="3" t="inlineStr">
        <is>
          <t>Причуды зелёного лета</t>
        </is>
      </c>
      <c r="E2935" s="2" t="n">
        <v>1989</v>
      </c>
      <c r="F2935" s="2" t="inlineStr">
        <is>
          <t>кинофильм</t>
        </is>
      </c>
      <c r="G2935" s="2" t="n"/>
      <c r="H2935" s="2" t="n">
        <v>303</v>
      </c>
      <c r="I2935" s="2" t="inlineStr"/>
      <c r="J2935" s="2" t="inlineStr"/>
      <c r="K2935" s="3" t="inlineStr">
        <is>
          <t>По мотивам произведений В. Шевчука. Украина. Обычная деревушка близ Одессы. Жаркая летняя пора. Деревня живет своей обычной жизнью. Кто-то обрабатывает приусадебные участки, кто-то флиртует, кое-кто из женщин не может справиться с пьяным супругом, стараясь никоим образом не показывать этого окружающим.</t>
        </is>
      </c>
      <c r="L2935" s="2" t="inlineStr">
        <is>
          <t>Кино_СССР сводный каталог.xlsx: список фильмов (доп.)</t>
        </is>
      </c>
      <c r="M2935" s="2">
        <f>HYPERLINK("https://ru.wikipedia.org/w/index.php?search=%D0%9F%D1%80%D0%B8%D1%87%D1%83%D0%B4%D1%8B%20%D0%B7%D0%B5%D0%BB%D1%91%D0%BD%D0%BE%D0%B3%D0%BE%20%D0%BB%D0%B5%D1%82%D0%B0%201989%20%D1%84%D0%B8%D0%BB%D1%8C%D0%BC","искать")</f>
        <v/>
      </c>
      <c r="N2935" s="3" t="n"/>
      <c r="O2935" s="2" t="n"/>
    </row>
    <row r="2936">
      <c r="A2936" s="2" t="n">
        <v>2935</v>
      </c>
      <c r="B2936" s="2" t="inlineStr"/>
      <c r="C2936" s="2" t="n">
        <v>9018</v>
      </c>
      <c r="D2936" s="3" t="inlineStr">
        <is>
          <t>Родные берега</t>
        </is>
      </c>
      <c r="E2936" s="2" t="n">
        <v>1988</v>
      </c>
      <c r="F2936" s="2" t="inlineStr">
        <is>
          <t>кинофильм</t>
        </is>
      </c>
      <c r="G2936" s="2" t="n"/>
      <c r="H2936" s="2" t="n">
        <v>303</v>
      </c>
      <c r="I2936" s="2" t="inlineStr"/>
      <c r="J2936" s="2" t="inlineStr"/>
      <c r="K2936" s="3" t="inlineStr">
        <is>
          <t>На южной границе СССР совместно с соседней страной ведется строительство крупного гидроузла. И по ту и по другую сторону живут азербайджанцы - разделение произошло еще в начале XIX века. Действие картины разворачивается на фоне этой национальной проблемы: границу переходят хорошо подготовленные агенты.</t>
        </is>
      </c>
      <c r="L2936" s="2" t="inlineStr">
        <is>
          <t>Кино_СССР сводный каталог.xlsx: список фильмов (доп.)</t>
        </is>
      </c>
      <c r="M2936" s="2">
        <f>HYPERLINK("https://ru.wikipedia.org/w/index.php?search=%D0%A0%D0%BE%D0%B4%D0%BD%D1%8B%D0%B5%20%D0%B1%D0%B5%D1%80%D0%B5%D0%B3%D0%B0%201988%20%D1%84%D0%B8%D0%BB%D1%8C%D0%BC","искать")</f>
        <v/>
      </c>
      <c r="N2936" s="3" t="n"/>
      <c r="O2936" s="2" t="n"/>
    </row>
    <row r="2937">
      <c r="A2937" s="2" t="n">
        <v>2936</v>
      </c>
      <c r="B2937" s="2" t="inlineStr"/>
      <c r="C2937" s="2" t="n">
        <v>9061</v>
      </c>
      <c r="D2937" s="3" t="inlineStr">
        <is>
          <t>Сороковой день</t>
        </is>
      </c>
      <c r="E2937" s="2" t="n">
        <v>1988</v>
      </c>
      <c r="F2937" s="2" t="inlineStr">
        <is>
          <t>кинофильм</t>
        </is>
      </c>
      <c r="G2937" s="2" t="n"/>
      <c r="H2937" s="2" t="n">
        <v>303</v>
      </c>
      <c r="I2937" s="2" t="inlineStr"/>
      <c r="J2937" s="2" t="inlineStr"/>
      <c r="K2937" s="3" t="inlineStr">
        <is>
          <t>По мотивам произведений Сергея Есина. Погиб человек. Прямо возле своего дома – попал под машину. На сороковой день собираются родные и близкие почтить его память. Знакомая ситуация – дележ наследства. Каждому дано право проявить свои лучшие и худшие качества. Не все выходят с честью из этого положения.</t>
        </is>
      </c>
      <c r="L2937" s="2" t="inlineStr">
        <is>
          <t>Кино_СССР сводный каталог.xlsx: список фильмов (доп.)</t>
        </is>
      </c>
      <c r="M2937" s="2">
        <f>HYPERLINK("https://ru.wikipedia.org/w/index.php?search=%D0%A1%D0%BE%D1%80%D0%BE%D0%BA%D0%BE%D0%B2%D0%BE%D0%B9%20%D0%B4%D0%B5%D0%BD%D1%8C%201988%20%D1%84%D0%B8%D0%BB%D1%8C%D0%BC","искать")</f>
        <v/>
      </c>
      <c r="N2937" s="3" t="n"/>
      <c r="O2937" s="2" t="n"/>
    </row>
    <row r="2938">
      <c r="A2938" s="2" t="n">
        <v>2937</v>
      </c>
      <c r="B2938" s="2" t="inlineStr"/>
      <c r="C2938" s="2" t="n">
        <v>9083</v>
      </c>
      <c r="D2938" s="3" t="inlineStr">
        <is>
          <t>Сыщик петербургской полиции</t>
        </is>
      </c>
      <c r="E2938" s="2" t="n">
        <v>1991</v>
      </c>
      <c r="F2938" s="2" t="inlineStr">
        <is>
          <t>кинофильм</t>
        </is>
      </c>
      <c r="G2938" s="2" t="inlineStr">
        <is>
          <t>Свердловская к/с</t>
        </is>
      </c>
      <c r="H2938" s="2" t="n">
        <v>303</v>
      </c>
      <c r="I2938" s="2" t="inlineStr"/>
      <c r="J2938" s="2" t="inlineStr"/>
      <c r="K2938" s="3" t="inlineStr">
        <is>
          <t>Иронический детектив по повести Л. Юзефовича "Ситуация на Балканах", написанной по материалам об агенте петербургской полиции И.Д. Путилине - герое комиксов и веселых рассказов конца XIX - начала ХХ веков. Знаменитый сыщик расследует убийство графа фон Аренсберга, австрийского посла в Санкт-Петербурге.</t>
        </is>
      </c>
      <c r="L2938" s="2" t="inlineStr">
        <is>
          <t>Кино_СССР сводный каталог.xlsx: список фильмов (доп.)</t>
        </is>
      </c>
      <c r="M2938" s="2">
        <f>HYPERLINK("https://ru.wikipedia.org/w/index.php?search=%D0%A1%D1%8B%D1%89%D0%B8%D0%BA%20%D0%BF%D0%B5%D1%82%D0%B5%D1%80%D0%B1%D1%83%D1%80%D0%B3%D1%81%D0%BA%D0%BE%D0%B9%20%D0%BF%D0%BE%D0%BB%D0%B8%D1%86%D0%B8%D0%B8%201991%20%D1%84%D0%B8%D0%BB%D1%8C%D0%BC","искать")</f>
        <v/>
      </c>
      <c r="N2938" s="3" t="n"/>
      <c r="O2938" s="2" t="n"/>
    </row>
    <row r="2939">
      <c r="A2939" s="2" t="n">
        <v>2938</v>
      </c>
      <c r="B2939" s="2" t="inlineStr"/>
      <c r="C2939" s="2" t="n">
        <v>9564</v>
      </c>
      <c r="D2939" s="3" t="inlineStr">
        <is>
          <t>Подсолнухи</t>
        </is>
      </c>
      <c r="E2939" s="2" t="n">
        <v>1970</v>
      </c>
      <c r="F2939" s="2" t="inlineStr">
        <is>
          <t>кинофильм</t>
        </is>
      </c>
      <c r="G2939" s="2" t="n"/>
      <c r="H2939" s="2" t="n">
        <v>303</v>
      </c>
      <c r="I2939" s="2" t="inlineStr"/>
      <c r="J2939" s="2" t="inlineStr"/>
      <c r="K2939" s="3" t="inlineStr">
        <is>
          <t>Через две недели после женитьбы итальянца Антонио (Марчелло Мастроянни) отправляют на Русский фронт. Эти дни прошли для Антонио и Джованны (Софи Лорен) как в угаре. Потом он уехал и как в воду канул. Все были убеждены, что Антонио погиб в снегах России. И только жена продолжает верить в то, что он жив.</t>
        </is>
      </c>
      <c r="L2939" s="2" t="inlineStr">
        <is>
          <t>Кино_СССР сводный каталог.xlsx: список фильмов (доп.)</t>
        </is>
      </c>
      <c r="M2939" s="2">
        <f>HYPERLINK("https://ru.wikipedia.org/w/index.php?search=%D0%9F%D0%BE%D0%B4%D1%81%D0%BE%D0%BB%D0%BD%D1%83%D1%85%D0%B8%201970%20%D1%84%D0%B8%D0%BB%D1%8C%D0%BC","искать")</f>
        <v/>
      </c>
      <c r="N2939" s="3" t="n"/>
      <c r="O2939" s="2" t="n"/>
    </row>
    <row r="2940">
      <c r="A2940" s="2" t="n">
        <v>2939</v>
      </c>
      <c r="B2940" s="2" t="inlineStr"/>
      <c r="C2940" s="2" t="n">
        <v>9575</v>
      </c>
      <c r="D2940" s="3" t="inlineStr">
        <is>
          <t>Последняя ночь</t>
        </is>
      </c>
      <c r="E2940" s="2" t="n">
        <v>1933</v>
      </c>
      <c r="F2940" s="2" t="inlineStr">
        <is>
          <t>кинофильм</t>
        </is>
      </c>
      <c r="G2940" s="2" t="n"/>
      <c r="H2940" s="2" t="n">
        <v>303</v>
      </c>
      <c r="I2940" s="2" t="inlineStr"/>
      <c r="J2940" s="2" t="inlineStr"/>
      <c r="K2940" s="3" t="inlineStr">
        <is>
          <t>Историко-революционный фильм о борьбе большевистского подполья с интервентами в годы гражданской войны в Одессе, об участии детей в подпольной работе. Последний режиссерский опыт в игровом кино видного организатора кинопроизводства, директора фильма «Броненосец «Потемкин» М.Капчинского. Фильм запрещен.</t>
        </is>
      </c>
      <c r="L2940" s="2" t="inlineStr">
        <is>
          <t>Кино_СССР сводный каталог.xlsx: список фильмов (доп.)</t>
        </is>
      </c>
      <c r="M2940" s="2">
        <f>HYPERLINK("https://ru.wikipedia.org/w/index.php?search=%D0%9F%D0%BE%D1%81%D0%BB%D0%B5%D0%B4%D0%BD%D1%8F%D1%8F%20%D0%BD%D0%BE%D1%87%D1%8C%201933%20%D1%84%D0%B8%D0%BB%D1%8C%D0%BC","искать")</f>
        <v/>
      </c>
      <c r="N2940" s="3" t="n"/>
      <c r="O2940" s="2" t="n"/>
    </row>
    <row r="2941">
      <c r="A2941" s="2" t="n">
        <v>2940</v>
      </c>
      <c r="B2941" s="2" t="inlineStr"/>
      <c r="C2941" s="2" t="n">
        <v>9724</v>
      </c>
      <c r="D2941" s="3" t="inlineStr">
        <is>
          <t>Фонтан</t>
        </is>
      </c>
      <c r="E2941" s="2" t="n">
        <v>1988</v>
      </c>
      <c r="F2941" s="2" t="inlineStr">
        <is>
          <t>кинофильм</t>
        </is>
      </c>
      <c r="G2941" s="2" t="n"/>
      <c r="H2941" s="2" t="n">
        <v>303</v>
      </c>
      <c r="I2941" s="2" t="inlineStr"/>
      <c r="J2941" s="2" t="inlineStr"/>
      <c r="K2941" s="3" t="inlineStr">
        <is>
          <t>Действие происходит в обычном доме, давно нуждающемся в ремонте. Из Казахстана к жене главного инженера ЖЭКа приезжает дедушка-чабан, не знающий по-русски ни слова. Какие-то люди, проезжавшие на КАМАЗе мимо источника, взорвали этот самый источник, так как им показалось, что вода течет слишком медленно.</t>
        </is>
      </c>
      <c r="L2941" s="2" t="inlineStr">
        <is>
          <t>Кино_СССР сводный каталог.xlsx: список фильмов (доп.)</t>
        </is>
      </c>
      <c r="M2941" s="2">
        <f>HYPERLINK("https://ru.wikipedia.org/w/index.php?search=%D0%A4%D0%BE%D0%BD%D1%82%D0%B0%D0%BD%201988%20%D1%84%D0%B8%D0%BB%D1%8C%D0%BC","искать")</f>
        <v/>
      </c>
      <c r="N2941" s="3" t="n"/>
      <c r="O2941" s="2" t="n"/>
    </row>
    <row r="2942">
      <c r="A2942" s="2" t="n">
        <v>2941</v>
      </c>
      <c r="B2942" s="2" t="inlineStr"/>
      <c r="C2942" s="2" t="n">
        <v>9778</v>
      </c>
      <c r="D2942" s="3" t="inlineStr">
        <is>
          <t>Эсперанса</t>
        </is>
      </c>
      <c r="E2942" s="2" t="n">
        <v>1988</v>
      </c>
      <c r="F2942" s="2" t="inlineStr">
        <is>
          <t>кинофильм</t>
        </is>
      </c>
      <c r="G2942" s="2" t="n"/>
      <c r="H2942" s="2" t="n">
        <v>303</v>
      </c>
      <c r="I2942" s="2" t="inlineStr"/>
      <c r="J2942" s="2" t="inlineStr"/>
      <c r="K2942" s="3" t="inlineStr">
        <is>
          <t>Гражданская война 1917 года вносит разлад в семью дворян Ольховских. Глава семьи - врач Алексей Ольховский - сочувствует большевикам, его дочь Тамара - комиссар Красной Армии, брат Анатолий - эсер, младший сын Владимир с первой волной эмиграции покидает Россию и волею судеб остается в Мексике навсегда.</t>
        </is>
      </c>
      <c r="L2942" s="2" t="inlineStr">
        <is>
          <t>Кино_СССР сводный каталог.xlsx: список фильмов (доп.)</t>
        </is>
      </c>
      <c r="M2942" s="2">
        <f>HYPERLINK("https://ru.wikipedia.org/w/index.php?search=%D0%AD%D1%81%D0%BF%D0%B5%D1%80%D0%B0%D0%BD%D1%81%D0%B0%201988%20%D1%84%D0%B8%D0%BB%D1%8C%D0%BC","искать")</f>
        <v/>
      </c>
      <c r="N2942" s="3" t="n"/>
      <c r="O2942" s="2" t="n"/>
    </row>
    <row r="2943">
      <c r="A2943" s="2" t="n">
        <v>2942</v>
      </c>
      <c r="B2943" s="2" t="inlineStr"/>
      <c r="C2943" s="2" t="n">
        <v>8188</v>
      </c>
      <c r="D2943" s="3" t="inlineStr">
        <is>
          <t>Прекрасная Елена</t>
        </is>
      </c>
      <c r="E2943" s="2" t="n">
        <v>1986</v>
      </c>
      <c r="F2943" s="2" t="inlineStr">
        <is>
          <t>фильм-опера/балет</t>
        </is>
      </c>
      <c r="G2943" s="2" t="n"/>
      <c r="H2943" s="2" t="n">
        <v>304</v>
      </c>
      <c r="I2943" s="2" t="inlineStr"/>
      <c r="J2943" s="2" t="inlineStr"/>
      <c r="K2943" s="3" t="inlineStr">
        <is>
          <t>Музыкальный фильм по оперетте Жака Оффенбаха, в основе либретто которой лежит древнегреческий миф о жене царя Менелая Елене Прекрасной. В обмен на золотое яблоко, отданное Парисом богине Афродите, она пообещала ему любовь самой красивой женщины… В храме Зевса готовятся отметить годовщину смерти Адониса.</t>
        </is>
      </c>
      <c r="L2943" s="2" t="inlineStr">
        <is>
          <t>Кино_СССР сводный каталог.xlsx: список телефильмов</t>
        </is>
      </c>
      <c r="M2943" s="2">
        <f>HYPERLINK("https://ru.wikipedia.org/w/index.php?search=%D0%9F%D1%80%D0%B5%D0%BA%D1%80%D0%B0%D1%81%D0%BD%D0%B0%D1%8F%20%D0%95%D0%BB%D0%B5%D0%BD%D0%B0%201986%20%D1%84%D0%B8%D0%BB%D1%8C%D0%BC","искать")</f>
        <v/>
      </c>
      <c r="N2943" s="3" t="n"/>
      <c r="O2943" s="2" t="n"/>
    </row>
    <row r="2944">
      <c r="A2944" s="2" t="n">
        <v>2943</v>
      </c>
      <c r="B2944" s="2" t="inlineStr"/>
      <c r="C2944" s="2" t="n">
        <v>8272</v>
      </c>
      <c r="D2944" s="3" t="inlineStr">
        <is>
          <t>Решающая схватка</t>
        </is>
      </c>
      <c r="E2944" s="2" t="n">
        <v>1979</v>
      </c>
      <c r="F2944" s="2" t="inlineStr">
        <is>
          <t>телефильм</t>
        </is>
      </c>
      <c r="G2944" s="2" t="n"/>
      <c r="H2944" s="2" t="n">
        <v>304</v>
      </c>
      <c r="I2944" s="2" t="inlineStr"/>
      <c r="J2944" s="2" t="inlineStr"/>
      <c r="K2944" s="3" t="inlineStr">
        <is>
          <t>Психологическая драма по мотивам повести А.Кулешова "Победил Александр Луговой". Легко и просто все удается главному герою Альжану Тулегенову - студенту факультета журналистики, мастеру спорта по борьбе дзю-до. С серьезными трудностями ему впервые пришлось столкнуться лишь во время прохождения практики.</t>
        </is>
      </c>
      <c r="L2944" s="2" t="inlineStr">
        <is>
          <t>Кино_СССР сводный каталог.xlsx: список телефильмов</t>
        </is>
      </c>
      <c r="M2944" s="2">
        <f>HYPERLINK("https://ru.wikipedia.org/w/index.php?search=%D0%A0%D0%B5%D1%88%D0%B0%D1%8E%D1%89%D0%B0%D1%8F%20%D1%81%D1%85%D0%B2%D0%B0%D1%82%D0%BA%D0%B0%201979%20%D1%84%D0%B8%D0%BB%D1%8C%D0%BC","искать")</f>
        <v/>
      </c>
      <c r="N2944" s="3" t="n"/>
      <c r="O2944" s="2" t="n"/>
    </row>
    <row r="2945">
      <c r="A2945" s="2" t="n">
        <v>2944</v>
      </c>
      <c r="B2945" s="2" t="inlineStr"/>
      <c r="C2945" s="2" t="n">
        <v>8418</v>
      </c>
      <c r="D2945" s="3" t="inlineStr">
        <is>
          <t>Судьба барабанщика</t>
        </is>
      </c>
      <c r="E2945" s="2" t="n">
        <v>1976</v>
      </c>
      <c r="F2945" s="2" t="inlineStr">
        <is>
          <t>телефильм</t>
        </is>
      </c>
      <c r="G2945" s="2" t="n"/>
      <c r="H2945" s="2" t="n">
        <v>304</v>
      </c>
      <c r="I2945" s="2" t="inlineStr"/>
      <c r="J2945" s="2" t="inlineStr"/>
      <c r="K2945" s="3" t="inlineStr">
        <is>
          <t>Приключенческий телесериал для детей. По мотивам одноименной повести Аркадия Гайдара. Барабанщик пионерского отряда Сережа Щербачёв попадает в беду. Легкомыслие мачехи приводит отца Сережи на скамью подсудимых. Мальчика пытаются использовать в своих целях уголовные элементы и агент иностранной разведки.</t>
        </is>
      </c>
      <c r="L2945" s="2" t="inlineStr">
        <is>
          <t>Кино_СССР сводный каталог.xlsx: список телефильмов</t>
        </is>
      </c>
      <c r="M2945" s="2">
        <f>HYPERLINK("https://ru.wikipedia.org/w/index.php?search=%D0%A1%D1%83%D0%B4%D1%8C%D0%B1%D0%B0%20%D0%B1%D0%B0%D1%80%D0%B0%D0%B1%D0%B0%D0%BD%D1%89%D0%B8%D0%BA%D0%B0%201976%20%D1%84%D0%B8%D0%BB%D1%8C%D0%BC","искать")</f>
        <v/>
      </c>
      <c r="N2945" s="3" t="n"/>
      <c r="O2945" s="2" t="n"/>
    </row>
    <row r="2946">
      <c r="A2946" s="2" t="n">
        <v>2945</v>
      </c>
      <c r="B2946" s="2" t="inlineStr"/>
      <c r="C2946" s="2" t="n">
        <v>8501</v>
      </c>
      <c r="D2946" s="3" t="inlineStr">
        <is>
          <t>Умные вещи</t>
        </is>
      </c>
      <c r="E2946" s="2" t="n">
        <v>1973</v>
      </c>
      <c r="F2946" s="2" t="inlineStr">
        <is>
          <t>телефильм</t>
        </is>
      </c>
      <c r="G2946" s="2" t="n"/>
      <c r="H2946" s="2" t="n">
        <v>304</v>
      </c>
      <c r="I2946" s="2" t="inlineStr"/>
      <c r="J2946" s="2" t="inlineStr"/>
      <c r="K2946" s="3" t="inlineStr">
        <is>
          <t>Телефильм. Есть на шумном базаре неприметная лавка с вывеской "Умные вещи". И товар в ней сплошь чудесный: и дудка-самогудка, и скатерть- самобранка, и сапоги-скороходы - ни одной обыденной вещи не сыщешь. Каждый, кто в лавку зайдет, может те умные вещи приобрести, и платы высокой продавец не потребует.</t>
        </is>
      </c>
      <c r="L2946" s="2" t="inlineStr">
        <is>
          <t>Кино_СССР сводный каталог.xlsx: список телефильмов</t>
        </is>
      </c>
      <c r="M2946" s="2">
        <f>HYPERLINK("https://ru.wikipedia.org/w/index.php?search=%D0%A3%D0%BC%D0%BD%D1%8B%D0%B5%20%D0%B2%D0%B5%D1%89%D0%B8%201973%20%D1%84%D0%B8%D0%BB%D1%8C%D0%BC","искать")</f>
        <v/>
      </c>
      <c r="N2946" s="3" t="n"/>
      <c r="O2946" s="2" t="n"/>
    </row>
    <row r="2947">
      <c r="A2947" s="2" t="n">
        <v>2946</v>
      </c>
      <c r="B2947" s="2" t="inlineStr"/>
      <c r="C2947" s="2" t="n">
        <v>9109</v>
      </c>
      <c r="D2947" s="3" t="inlineStr">
        <is>
          <t>Тревога</t>
        </is>
      </c>
      <c r="E2947" s="2" t="n">
        <v>1980</v>
      </c>
      <c r="F2947" s="2" t="inlineStr">
        <is>
          <t>кинофильм</t>
        </is>
      </c>
      <c r="G2947" s="2" t="n"/>
      <c r="H2947" s="2" t="n">
        <v>304</v>
      </c>
      <c r="I2947" s="2" t="inlineStr"/>
      <c r="J2947" s="2" t="inlineStr"/>
      <c r="K2947" s="3" t="inlineStr">
        <is>
          <t>По мотивам повести Е.Воеводина “Татьянин день”. От причала по каналу Грибоедова отправляется экскурсионный катер. Экскурсию ведет молодая женщина. Какой-то военный, по его словам, шесть раз прослушавший лекцию, говорит ей, что все это скучно и не ее это дело. Он зовет ее уехать с ним. Они разговорились.</t>
        </is>
      </c>
      <c r="L2947" s="2" t="inlineStr">
        <is>
          <t>Кино_СССР сводный каталог.xlsx: список фильмов (доп.)</t>
        </is>
      </c>
      <c r="M2947" s="2">
        <f>HYPERLINK("https://ru.wikipedia.org/w/index.php?search=%D0%A2%D1%80%D0%B5%D0%B2%D0%BE%D0%B3%D0%B0%201980%20%D1%84%D0%B8%D0%BB%D1%8C%D0%BC","искать")</f>
        <v/>
      </c>
      <c r="N2947" s="3" t="n"/>
      <c r="O2947" s="2" t="n"/>
    </row>
    <row r="2948">
      <c r="A2948" s="2" t="n">
        <v>2947</v>
      </c>
      <c r="B2948" s="2" t="inlineStr"/>
      <c r="C2948" s="2" t="n">
        <v>9384</v>
      </c>
      <c r="D2948" s="3" t="inlineStr">
        <is>
          <t>И вся любовь</t>
        </is>
      </c>
      <c r="E2948" s="2" t="n">
        <v>1989</v>
      </c>
      <c r="F2948" s="2" t="inlineStr">
        <is>
          <t>кинофильм</t>
        </is>
      </c>
      <c r="G2948" s="2" t="inlineStr">
        <is>
          <t>Мосфильм</t>
        </is>
      </c>
      <c r="H2948" s="2" t="n">
        <v>304</v>
      </c>
      <c r="I2948" s="2" t="inlineStr"/>
      <c r="J2948" s="2" t="inlineStr"/>
      <c r="K2948" s="3" t="inlineStr">
        <is>
          <t>Выпускница сельхозтехникума Валя Диденко, став передовиком производства, а затем и народным депутатом, полюбила своего покровителя - председателя колхоза. Однако счастью не суждено было состояться. Сознательно нарушавший давно устаревшие инструкции, председатель был обвинен в махинациях и отдан под суд.</t>
        </is>
      </c>
      <c r="L2948" s="2" t="inlineStr">
        <is>
          <t>Кино_СССР сводный каталог.xlsx: список фильмов (доп.)</t>
        </is>
      </c>
      <c r="M2948" s="2">
        <f>HYPERLINK("https://ru.wikipedia.org/w/index.php?search=%D0%98%20%D0%B2%D1%81%D1%8F%20%D0%BB%D1%8E%D0%B1%D0%BE%D0%B2%D1%8C%201989%20%D1%84%D0%B8%D0%BB%D1%8C%D0%BC","искать")</f>
        <v/>
      </c>
      <c r="N2948" s="3" t="n"/>
      <c r="O2948" s="2" t="n"/>
    </row>
    <row r="2949">
      <c r="A2949" s="2" t="n">
        <v>2948</v>
      </c>
      <c r="B2949" s="2" t="inlineStr"/>
      <c r="C2949" s="2" t="n">
        <v>9494</v>
      </c>
      <c r="D2949" s="3" t="inlineStr">
        <is>
          <t>Не будите спящую собаку</t>
        </is>
      </c>
      <c r="E2949" s="2" t="n">
        <v>1991</v>
      </c>
      <c r="F2949" s="2" t="inlineStr">
        <is>
          <t>кинофильм</t>
        </is>
      </c>
      <c r="G2949" s="2" t="n"/>
      <c r="H2949" s="2" t="n">
        <v>304</v>
      </c>
      <c r="I2949" s="2" t="inlineStr"/>
      <c r="J2949" s="2" t="inlineStr"/>
      <c r="K2949" s="3" t="inlineStr">
        <is>
          <t>Один из лучших отечественных фильмов об аферистах. Очутившись на свободе, рецидивист Чибис не долго ходит без "дела". Жертвой хорошо продуманной аферы становится бывший расхититель социалистической госсобственности (Павлов), нахапавший в свое время миллион и теперь наслаждающийся прелестями перестройки.</t>
        </is>
      </c>
      <c r="L2949" s="2" t="inlineStr">
        <is>
          <t>Кино_СССР сводный каталог.xlsx: список фильмов (доп.)</t>
        </is>
      </c>
      <c r="M2949" s="2">
        <f>HYPERLINK("https://ru.wikipedia.org/w/index.php?search=%D0%9D%D0%B5%20%D0%B1%D1%83%D0%B4%D0%B8%D1%82%D0%B5%20%D1%81%D0%BF%D1%8F%D1%89%D1%83%D1%8E%20%D1%81%D0%BE%D0%B1%D0%B0%D0%BA%D1%83%201991%20%D1%84%D0%B8%D0%BB%D1%8C%D0%BC","искать")</f>
        <v/>
      </c>
      <c r="N2949" s="3" t="n"/>
      <c r="O2949" s="2" t="n"/>
    </row>
    <row r="2950">
      <c r="A2950" s="2" t="n">
        <v>2949</v>
      </c>
      <c r="B2950" s="2" t="inlineStr"/>
      <c r="C2950" s="2" t="n">
        <v>9499</v>
      </c>
      <c r="D2950" s="3" t="inlineStr">
        <is>
          <t>Нежданно-негаданно</t>
        </is>
      </c>
      <c r="E2950" s="2" t="n">
        <v>1983</v>
      </c>
      <c r="F2950" s="2" t="inlineStr">
        <is>
          <t>кинофильм</t>
        </is>
      </c>
      <c r="G2950" s="2" t="n"/>
      <c r="H2950" s="2" t="n">
        <v>304</v>
      </c>
      <c r="I2950" s="2" t="inlineStr"/>
      <c r="J2950" s="2" t="inlineStr"/>
      <c r="K2950" s="3" t="inlineStr">
        <is>
          <t>Скромная сотрудница сберкассы получает в наследство ценнейшую коллекцию произведений искусства. Нежданно свалившееся богатство так меняет течение жизни героини, что она уже не знает, радоваться ей или огорчаться. И только лишившись всего, молодая женщина понимает, что ей на самом деле нужно для счастья.</t>
        </is>
      </c>
      <c r="L2950" s="2" t="inlineStr">
        <is>
          <t>Кино_СССР сводный каталог.xlsx: список фильмов (доп.)</t>
        </is>
      </c>
      <c r="M2950" s="2">
        <f>HYPERLINK("https://ru.wikipedia.org/w/index.php?search=%D0%9D%D0%B5%D0%B6%D0%B4%D0%B0%D0%BD%D0%BD%D0%BE-%D0%BD%D0%B5%D0%B3%D0%B0%D0%B4%D0%B0%D0%BD%D0%BD%D0%BE%201983%20%D1%84%D0%B8%D0%BB%D1%8C%D0%BC","искать")</f>
        <v/>
      </c>
      <c r="N2950" s="3" t="n"/>
      <c r="O2950" s="2" t="n"/>
    </row>
    <row r="2951">
      <c r="A2951" s="2" t="n">
        <v>2950</v>
      </c>
      <c r="B2951" s="2" t="inlineStr"/>
      <c r="C2951" s="2" t="n">
        <v>10445</v>
      </c>
      <c r="D2951" s="3" t="inlineStr">
        <is>
          <t>К бабушке, к дедушке</t>
        </is>
      </c>
      <c r="E2951" s="2" t="n">
        <v>1972</v>
      </c>
      <c r="F2951" s="2" t="inlineStr">
        <is>
          <t>фильм-спектакль</t>
        </is>
      </c>
      <c r="G2951" s="2" t="inlineStr">
        <is>
          <t>ЦТ</t>
        </is>
      </c>
      <c r="H2951" s="2" t="n">
        <v>304</v>
      </c>
      <c r="I2951" s="2" t="inlineStr"/>
      <c r="J2951" s="2" t="inlineStr"/>
      <c r="K2951" s="3" t="inlineStr">
        <is>
          <t>По одноименной пьесе Галины Карпенко.
Вы отправитесь вместе с Шурой и Макаром к бабушке и дедушке. Это их первое самостоятельное путешествие. А какое путешествие без приключений? Придётся вам за них поволноваться, пока они доберутся до деревни Крутые Горки и постучат в дверь: "Дедушка, бабушка, это мы".</t>
        </is>
      </c>
      <c r="L2951" s="2" t="inlineStr">
        <is>
          <t>https://www.kino-teatr.ru/teatr/movie/124689/annot/</t>
        </is>
      </c>
      <c r="M2951" s="2">
        <f>HYPERLINK("https://ru.wikipedia.org/w/index.php?search=%D0%9A%20%D0%B1%D0%B0%D0%B1%D1%83%D1%88%D0%BA%D0%B5%2C%20%D0%BA%20%D0%B4%D0%B5%D0%B4%D1%83%D1%88%D0%BA%D0%B5%201972%20%D1%84%D0%B8%D0%BB%D1%8C%D0%BC","искать")</f>
        <v/>
      </c>
      <c r="N2951" s="3" t="n"/>
      <c r="O2951" s="2" t="n"/>
    </row>
    <row r="2952">
      <c r="A2952" s="2" t="n">
        <v>2951</v>
      </c>
      <c r="B2952" s="2" t="inlineStr"/>
      <c r="C2952" s="2" t="n">
        <v>7188</v>
      </c>
      <c r="D2952" s="3" t="inlineStr">
        <is>
          <t>Авария</t>
        </is>
      </c>
      <c r="E2952" s="2" t="n">
        <v>1974</v>
      </c>
      <c r="F2952" s="2" t="inlineStr">
        <is>
          <t>телефильм</t>
        </is>
      </c>
      <c r="G2952" s="2" t="inlineStr">
        <is>
          <t>Мосфильм</t>
        </is>
      </c>
      <c r="H2952" s="2" t="n">
        <v>305</v>
      </c>
      <c r="I2952" s="2" t="inlineStr"/>
      <c r="J2952" s="2" t="inlineStr"/>
      <c r="K2952" s="3" t="inlineStr">
        <is>
          <t>Телефильм по мотивам одноименной повести Фридриха Дюрренматта. У каждого человека есть тайна, которую он хочет скрыть, надо только докопаться... Альфред Трапс, генеральный представитель некоей фирмы по продаже парашютов для армии и предметов туалета для дам, молод, женат, четверо детей, из рабочей семьи.</t>
        </is>
      </c>
      <c r="L2952" s="2" t="inlineStr">
        <is>
          <t>Кино_СССР сводный каталог.xlsx: список телефильмов</t>
        </is>
      </c>
      <c r="M2952" s="2">
        <f>HYPERLINK("https://ru.wikipedia.org/w/index.php?search=%D0%90%D0%B2%D0%B0%D1%80%D0%B8%D1%8F%201974%20%D1%84%D0%B8%D0%BB%D1%8C%D0%BC","искать")</f>
        <v/>
      </c>
      <c r="N2952" s="3" t="n"/>
      <c r="O2952" s="2" t="n"/>
    </row>
    <row r="2953">
      <c r="A2953" s="2" t="n">
        <v>2952</v>
      </c>
      <c r="B2953" s="2" t="inlineStr"/>
      <c r="C2953" s="2" t="n">
        <v>7209</v>
      </c>
      <c r="D2953" s="3" t="inlineStr">
        <is>
          <t>Андрей и злой чародей</t>
        </is>
      </c>
      <c r="E2953" s="2" t="n">
        <v>1981</v>
      </c>
      <c r="F2953" s="2" t="inlineStr">
        <is>
          <t>телефильм</t>
        </is>
      </c>
      <c r="G2953" s="2" t="n"/>
      <c r="H2953" s="2" t="n">
        <v>305</v>
      </c>
      <c r="I2953" s="2" t="inlineStr"/>
      <c r="J2953" s="2" t="inlineStr"/>
      <c r="K2953" s="3" t="inlineStr">
        <is>
          <t>Давным-давно объявился у одного селения злой чародей Цмок. Люди отгородились от него высокой стеной. Андрей-Всех-Добрей в первый раз несет караул на дозорной вышке. Цмок велит Водяному и Лешему растянуть в лесу сети, чтобы поймать красавицу Путеводную Звезду. Он посылает Домового усыпить жителей селения.</t>
        </is>
      </c>
      <c r="L2953" s="2" t="inlineStr">
        <is>
          <t>Кино_СССР сводный каталог.xlsx: список телефильмов</t>
        </is>
      </c>
      <c r="M2953" s="2">
        <f>HYPERLINK("https://ru.wikipedia.org/w/index.php?search=%D0%90%D0%BD%D0%B4%D1%80%D0%B5%D0%B9%20%D0%B8%20%D0%B7%D0%BB%D0%BE%D0%B9%20%D1%87%D0%B0%D1%80%D0%BE%D0%B4%D0%B5%D0%B9%201981%20%D1%84%D0%B8%D0%BB%D1%8C%D0%BC","искать")</f>
        <v/>
      </c>
      <c r="N2953" s="3" t="n"/>
      <c r="O2953" s="2" t="n"/>
    </row>
    <row r="2954">
      <c r="A2954" s="2" t="n">
        <v>2953</v>
      </c>
      <c r="B2954" s="2" t="inlineStr"/>
      <c r="C2954" s="2" t="n">
        <v>7223</v>
      </c>
      <c r="D2954" s="3" t="inlineStr">
        <is>
          <t>Асиф, Васиф, Агасиф</t>
        </is>
      </c>
      <c r="E2954" s="2" t="n">
        <v>1983</v>
      </c>
      <c r="F2954" s="2" t="inlineStr">
        <is>
          <t>телефильм</t>
        </is>
      </c>
      <c r="G2954" s="2" t="n"/>
      <c r="H2954" s="2" t="n">
        <v>305</v>
      </c>
      <c r="I2954" s="2" t="inlineStr"/>
      <c r="J2954" s="2" t="inlineStr"/>
      <c r="K2954" s="3" t="inlineStr">
        <is>
          <t>Телефильм. В семье трое маленьких детей: Асиф, Васиф и Агасиф. Мама против того, чтобы они ходили в детский сад. Ведь они загружены: у них и плавание, и английский язык, и акробатика, и музыка. Однажды, во время прогулки папы с детьми, один из братьев - Асиф присоединился к играющим детям в детском саду.</t>
        </is>
      </c>
      <c r="L2954" s="2" t="inlineStr">
        <is>
          <t>Кино_СССР сводный каталог.xlsx: список телефильмов</t>
        </is>
      </c>
      <c r="M2954" s="2">
        <f>HYPERLINK("https://ru.wikipedia.org/w/index.php?search=%D0%90%D1%81%D0%B8%D1%84%2C%20%D0%92%D0%B0%D1%81%D0%B8%D1%84%2C%20%D0%90%D0%B3%D0%B0%D1%81%D0%B8%D1%84%201983%20%D1%84%D0%B8%D0%BB%D1%8C%D0%BC","искать")</f>
        <v/>
      </c>
      <c r="N2954" s="3" t="n"/>
      <c r="O2954" s="2" t="n"/>
    </row>
    <row r="2955">
      <c r="A2955" s="2" t="n">
        <v>2954</v>
      </c>
      <c r="B2955" s="2" t="inlineStr"/>
      <c r="C2955" s="2" t="n">
        <v>7264</v>
      </c>
      <c r="D2955" s="3" t="inlineStr">
        <is>
          <t>Большие перегоны</t>
        </is>
      </c>
      <c r="E2955" s="2" t="n">
        <v>1971</v>
      </c>
      <c r="F2955" s="2" t="inlineStr">
        <is>
          <t>телефильм</t>
        </is>
      </c>
      <c r="G2955" s="2" t="inlineStr">
        <is>
          <t>«Беларусьфильм», Творческое объединение «Телефильм»</t>
        </is>
      </c>
      <c r="H2955" s="2" t="n">
        <v>305</v>
      </c>
      <c r="I2955" s="2" t="inlineStr"/>
      <c r="J2955" s="2" t="inlineStr"/>
      <c r="K2955" s="3" t="inlineStr">
        <is>
          <t>Игорь Шилов, помощник машиниста электропоезда, вспоминает о своем пути в профессию… Не поступив в столичный институт, Игорь решает остаться в Минске, чтобы помогать матери. Герой устраивается кочегаром в поездную бригаду старого машиниста Касьяна Кузьмича, настоящего человека и чуткого старшего товарища.</t>
        </is>
      </c>
      <c r="L2955" s="2" t="inlineStr">
        <is>
          <t>Кино_СССР сводный каталог.xlsx: список телефильмов</t>
        </is>
      </c>
      <c r="M2955" s="2">
        <f>HYPERLINK("https://ru.wikipedia.org/w/index.php?search=%D0%91%D0%BE%D0%BB%D1%8C%D1%88%D0%B8%D0%B5%20%D0%BF%D0%B5%D1%80%D0%B5%D0%B3%D0%BE%D0%BD%D1%8B%201971%20%D1%84%D0%B8%D0%BB%D1%8C%D0%BC","искать")</f>
        <v/>
      </c>
      <c r="N2955" s="3" t="n"/>
      <c r="O2955" s="2" t="n"/>
    </row>
    <row r="2956">
      <c r="A2956" s="2" t="n">
        <v>2955</v>
      </c>
      <c r="B2956" s="2" t="inlineStr"/>
      <c r="C2956" s="2" t="n">
        <v>7436</v>
      </c>
      <c r="D2956" s="3" t="inlineStr">
        <is>
          <t>Генеральная репетиция</t>
        </is>
      </c>
      <c r="E2956" s="2" t="n">
        <v>1988</v>
      </c>
      <c r="F2956" s="2" t="inlineStr">
        <is>
          <t>телефильм</t>
        </is>
      </c>
      <c r="G2956" s="2" t="n"/>
      <c r="H2956" s="2" t="n">
        <v>305</v>
      </c>
      <c r="I2956" s="2" t="inlineStr"/>
      <c r="J2956" s="2" t="inlineStr"/>
      <c r="K2956" s="3" t="inlineStr">
        <is>
          <t>По мотивам повести Василия Авенариуса "Гоголь-гимназист". Николай Васильевич Гоголь, уже состоявшийся как писатель, вспоминает о лицейских проказах юного Никоши Гоголя с друзьями в Нежинском лицее и его педагогах; о домашнем любительском театре отца писателя Василия Гоголя в имении Васильевка на Украине.</t>
        </is>
      </c>
      <c r="L2956" s="2" t="inlineStr">
        <is>
          <t>Кино_СССР сводный каталог.xlsx: список телефильмов</t>
        </is>
      </c>
      <c r="M2956" s="2">
        <f>HYPERLINK("https://ru.wikipedia.org/w/index.php?search=%D0%93%D0%B5%D0%BD%D0%B5%D1%80%D0%B0%D0%BB%D1%8C%D0%BD%D0%B0%D1%8F%20%D1%80%D0%B5%D0%BF%D0%B5%D1%82%D0%B8%D1%86%D0%B8%D1%8F%201988%20%D1%84%D0%B8%D0%BB%D1%8C%D0%BC","искать")</f>
        <v/>
      </c>
      <c r="N2956" s="3" t="n"/>
      <c r="O2956" s="2" t="n"/>
    </row>
    <row r="2957">
      <c r="A2957" s="2" t="n">
        <v>2956</v>
      </c>
      <c r="B2957" s="2" t="inlineStr"/>
      <c r="C2957" s="2" t="n">
        <v>7505</v>
      </c>
      <c r="D2957" s="3" t="inlineStr">
        <is>
          <t>День рождения</t>
        </is>
      </c>
      <c r="E2957" s="2" t="n">
        <v>1977</v>
      </c>
      <c r="F2957" s="2" t="inlineStr">
        <is>
          <t>телефильм</t>
        </is>
      </c>
      <c r="G2957" s="2" t="n"/>
      <c r="H2957" s="2" t="n">
        <v>305</v>
      </c>
      <c r="I2957" s="2" t="inlineStr"/>
      <c r="J2957" s="2" t="inlineStr"/>
      <c r="K2957" s="3" t="inlineStr">
        <is>
          <t>Телефильм. Казалось бы, ничем не связаны две сюжетные линии фильма: учитель Мустафа Эфендиев приезжает в Баку из отдаленного района республики, а маляр Али маниев празднует день рождения своего сына. Но после случайной встречи двух героев фильма, Али приглашает к себе домой незнакомого прохожего Мустафу.</t>
        </is>
      </c>
      <c r="L2957" s="2" t="inlineStr">
        <is>
          <t>Кино_СССР сводный каталог.xlsx: список телефильмов</t>
        </is>
      </c>
      <c r="M2957" s="2">
        <f>HYPERLINK("https://ru.wikipedia.org/w/index.php?search=%D0%94%D0%B5%D0%BD%D1%8C%20%D1%80%D0%BE%D0%B6%D0%B4%D0%B5%D0%BD%D0%B8%D1%8F%201977%20%D1%84%D0%B8%D0%BB%D1%8C%D0%BC","искать")</f>
        <v/>
      </c>
      <c r="N2957" s="3" t="n"/>
      <c r="O2957" s="2" t="n"/>
    </row>
    <row r="2958">
      <c r="A2958" s="2" t="n">
        <v>2957</v>
      </c>
      <c r="B2958" s="2" t="inlineStr"/>
      <c r="C2958" s="2" t="n">
        <v>7636</v>
      </c>
      <c r="D2958" s="3" t="inlineStr">
        <is>
          <t>Здесь проходит граница</t>
        </is>
      </c>
      <c r="E2958" s="2" t="n">
        <v>1974</v>
      </c>
      <c r="F2958" s="2" t="inlineStr">
        <is>
          <t>телефильм</t>
        </is>
      </c>
      <c r="G2958" s="2" t="n"/>
      <c r="H2958" s="2" t="n">
        <v>305</v>
      </c>
      <c r="I2958" s="2" t="inlineStr"/>
      <c r="J2958" s="2" t="inlineStr"/>
      <c r="K2958" s="3" t="inlineStr">
        <is>
          <t>Пограничник с огромным стажем - Яков Корешников - руководит операцией по задержанию группы иностранных агентов. Еще в 20-е годы он участвовал в ликвидации банды басмачей. Тогда он впервые встретился с изменником Абзалом. В годы Великой Отечественной войны Корешникову вновь пришлось столкнуться с Абзалом.</t>
        </is>
      </c>
      <c r="L2958" s="2" t="inlineStr">
        <is>
          <t>Кино_СССР сводный каталог.xlsx: список телефильмов</t>
        </is>
      </c>
      <c r="M2958" s="2">
        <f>HYPERLINK("https://ru.wikipedia.org/w/index.php?search=%D0%97%D0%B4%D0%B5%D1%81%D1%8C%20%D0%BF%D1%80%D0%BE%D1%85%D0%BE%D0%B4%D0%B8%D1%82%20%D0%B3%D1%80%D0%B0%D0%BD%D0%B8%D1%86%D0%B0%201974%20%D1%84%D0%B8%D0%BB%D1%8C%D0%BC","искать")</f>
        <v/>
      </c>
      <c r="N2958" s="3" t="n"/>
      <c r="O2958" s="2" t="n"/>
    </row>
    <row r="2959">
      <c r="A2959" s="2" t="n">
        <v>2958</v>
      </c>
      <c r="B2959" s="2" t="inlineStr"/>
      <c r="C2959" s="2" t="n">
        <v>8580</v>
      </c>
      <c r="D2959" s="3" t="inlineStr">
        <is>
          <t>Шесть снежных дней</t>
        </is>
      </c>
      <c r="E2959" s="2" t="n">
        <v>1986</v>
      </c>
      <c r="F2959" s="2" t="inlineStr">
        <is>
          <t>телефильм</t>
        </is>
      </c>
      <c r="G2959" s="2" t="n"/>
      <c r="H2959" s="2" t="n">
        <v>305</v>
      </c>
      <c r="I2959" s="2" t="inlineStr"/>
      <c r="J2959" s="2" t="inlineStr"/>
      <c r="K2959" s="3" t="inlineStr">
        <is>
          <t>Зимние каникулы Нико проводил в горах у бабушки. Однажды от отправился в гости к родственнику, живущему на отдаленной ферме. Внезапно начавшийся снегопад отрезал мальчика от остальных людей. Шесть дней, которые Нико пережил в экстремальных условиях на ферме, многому научили его, закалили волю и характер.</t>
        </is>
      </c>
      <c r="L2959" s="2" t="inlineStr">
        <is>
          <t>Кино_СССР сводный каталог.xlsx: список телефильмов</t>
        </is>
      </c>
      <c r="M2959" s="2">
        <f>HYPERLINK("https://ru.wikipedia.org/w/index.php?search=%D0%A8%D0%B5%D1%81%D1%82%D1%8C%20%D1%81%D0%BD%D0%B5%D0%B6%D0%BD%D1%8B%D1%85%20%D0%B4%D0%BD%D0%B5%D0%B9%201986%20%D1%84%D0%B8%D0%BB%D1%8C%D0%BC","искать")</f>
        <v/>
      </c>
      <c r="N2959" s="3" t="n"/>
      <c r="O2959" s="2" t="n"/>
    </row>
    <row r="2960">
      <c r="A2960" s="2" t="n">
        <v>2959</v>
      </c>
      <c r="B2960" s="2" t="inlineStr"/>
      <c r="C2960" s="2" t="n">
        <v>8598</v>
      </c>
      <c r="D2960" s="3" t="inlineStr">
        <is>
          <t>Это было прошлым летом</t>
        </is>
      </c>
      <c r="E2960" s="2" t="n">
        <v>1988</v>
      </c>
      <c r="F2960" s="2" t="inlineStr">
        <is>
          <t>телефильм</t>
        </is>
      </c>
      <c r="G2960" s="2" t="n"/>
      <c r="H2960" s="2" t="n">
        <v>305</v>
      </c>
      <c r="I2960" s="2" t="inlineStr"/>
      <c r="J2960" s="2" t="inlineStr"/>
      <c r="K2960" s="3" t="inlineStr">
        <is>
          <t>Драма о молодых биологах, вступивших в борьбу с чиновничьим беспределом. После окончания института биологи Чернов и Бочкин едут в тундру, чтобы организовать там государственный заказник. Их благое начинание сталкивается с сопротивлением со стороны местных чиновников, которые препятствуют работе биологов.</t>
        </is>
      </c>
      <c r="L2960" s="2" t="inlineStr">
        <is>
          <t>Кино_СССР сводный каталог.xlsx: список телефильмов</t>
        </is>
      </c>
      <c r="M2960" s="2">
        <f>HYPERLINK("https://ru.wikipedia.org/w/index.php?search=%D0%AD%D1%82%D0%BE%20%D0%B1%D1%8B%D0%BB%D0%BE%20%D0%BF%D1%80%D0%BE%D1%88%D0%BB%D1%8B%D0%BC%20%D0%BB%D0%B5%D1%82%D0%BE%D0%BC%201988%20%D1%84%D0%B8%D0%BB%D1%8C%D0%BC","искать")</f>
        <v/>
      </c>
      <c r="N2960" s="3" t="n"/>
      <c r="O2960" s="2" t="n"/>
    </row>
    <row r="2961">
      <c r="A2961" s="2" t="n">
        <v>2960</v>
      </c>
      <c r="B2961" s="2" t="inlineStr"/>
      <c r="C2961" s="2" t="n">
        <v>8871</v>
      </c>
      <c r="D2961" s="3" t="inlineStr">
        <is>
          <t>Недолгий танец любви</t>
        </is>
      </c>
      <c r="E2961" s="2" t="n">
        <v>1988</v>
      </c>
      <c r="F2961" s="2" t="inlineStr">
        <is>
          <t>кинофильм</t>
        </is>
      </c>
      <c r="G2961" s="2" t="n"/>
      <c r="H2961" s="2" t="n">
        <v>305</v>
      </c>
      <c r="I2961" s="2" t="inlineStr"/>
      <c r="J2961" s="2" t="inlineStr"/>
      <c r="K2961" s="3" t="inlineStr">
        <is>
          <t>Бывший моряк Ион Форцу, великолепно исполнив на смотре художественной самодеятельности народный танец «чокырлия», вывел из устойчивого состояния удовлетворенности танцоров фольклорного ансамбля «Плай» и самого Стефана Дуку, их руководителя. И теперь Дука решает сделать этот номер гвоздем своей программы.</t>
        </is>
      </c>
      <c r="L2961" s="2" t="inlineStr">
        <is>
          <t>Кино_СССР сводный каталог.xlsx: список фильмов (доп.)</t>
        </is>
      </c>
      <c r="M2961" s="2">
        <f>HYPERLINK("https://ru.wikipedia.org/w/index.php?search=%D0%9D%D0%B5%D0%B4%D0%BE%D0%BB%D0%B3%D0%B8%D0%B9%20%D1%82%D0%B0%D0%BD%D0%B5%D1%86%20%D0%BB%D1%8E%D0%B1%D0%B2%D0%B8%201988%20%D1%84%D0%B8%D0%BB%D1%8C%D0%BC","искать")</f>
        <v/>
      </c>
      <c r="N2961" s="3" t="n"/>
      <c r="O2961" s="2" t="n"/>
    </row>
    <row r="2962">
      <c r="A2962" s="2" t="n">
        <v>2961</v>
      </c>
      <c r="B2962" s="2" t="inlineStr"/>
      <c r="C2962" s="2" t="n">
        <v>10496</v>
      </c>
      <c r="D2962" s="3" t="inlineStr">
        <is>
          <t>Дон Паскуале</t>
        </is>
      </c>
      <c r="E2962" s="2" t="n">
        <v>1973</v>
      </c>
      <c r="F2962" s="2" t="inlineStr">
        <is>
          <t>фильм-спектакль</t>
        </is>
      </c>
      <c r="G2962" s="2" t="inlineStr">
        <is>
          <t>Центральное телевидение</t>
        </is>
      </c>
      <c r="H2962" s="2" t="n">
        <v>305</v>
      </c>
      <c r="I2962" s="2" t="inlineStr"/>
      <c r="J2962" s="2" t="inlineStr"/>
      <c r="K2962" s="3" t="inlineStr">
        <is>
          <t>"Дон Паскуале" - одна из последних опер Гаэтано Доницетти.
Традиционные персонажи-маски: старик, задумавший жениться на молодой красавице; энергичная девушка, способная постоять за свое счастье; менее расторопный, но бесконечно влюбленный юноша; изобретательный помощник молодых влюбленных (он же доктор).</t>
        </is>
      </c>
      <c r="L2962" s="2" t="inlineStr">
        <is>
          <t>https://www.kino-teatr.ru/teatr/movie/82213/annot/</t>
        </is>
      </c>
      <c r="M2962" s="2">
        <f>HYPERLINK("https://ru.wikipedia.org/w/index.php?search=%D0%94%D0%BE%D0%BD%20%D0%9F%D0%B0%D1%81%D0%BA%D1%83%D0%B0%D0%BB%D0%B5%201973%20%D1%84%D0%B8%D0%BB%D1%8C%D0%BC","искать")</f>
        <v/>
      </c>
      <c r="N2962" s="3" t="n"/>
      <c r="O2962" s="2" t="n"/>
    </row>
    <row r="2963">
      <c r="A2963" s="2" t="n">
        <v>2962</v>
      </c>
      <c r="B2963" s="2" t="inlineStr"/>
      <c r="C2963" s="2" t="n">
        <v>10972</v>
      </c>
      <c r="D2963" s="3" t="inlineStr">
        <is>
          <t>Старым казачьим способом</t>
        </is>
      </c>
      <c r="E2963" s="2" t="n">
        <v>1982</v>
      </c>
      <c r="F2963" s="2" t="inlineStr">
        <is>
          <t>фильм-спектакль</t>
        </is>
      </c>
      <c r="G2963" s="2" t="inlineStr">
        <is>
          <t>Главная редакция литературно-драматических программ ЦТ</t>
        </is>
      </c>
      <c r="H2963" s="2" t="n">
        <v>305</v>
      </c>
      <c r="I2963" s="2" t="inlineStr"/>
      <c r="J2963" s="2" t="inlineStr"/>
      <c r="K2963" s="3" t="inlineStr">
        <is>
          <t>Комедия А. Софронова в постановке Московского драматического театра имени Н.В. Гоголя.
Действие спектакля происходит в винодельческом совхозе.
"Старый казачий способ" - это, с одной стороны, технология приготовления донского вина, а с другой стороны - секрет того, как добиться взаимности любимой девушки.</t>
        </is>
      </c>
      <c r="L2963" s="2" t="inlineStr">
        <is>
          <t>https://www.kino-teatr.ru/teatr/movie/92364/annot/</t>
        </is>
      </c>
      <c r="M2963" s="2">
        <f>HYPERLINK("https://ru.wikipedia.org/w/index.php?search=%D0%A1%D1%82%D0%B0%D1%80%D1%8B%D0%BC%20%D0%BA%D0%B0%D0%B7%D0%B0%D1%87%D1%8C%D0%B8%D0%BC%20%D1%81%D0%BF%D0%BE%D1%81%D0%BE%D0%B1%D0%BE%D0%BC%201982%20%D1%84%D0%B8%D0%BB%D1%8C%D0%BC","искать")</f>
        <v/>
      </c>
      <c r="N2963" s="3" t="n"/>
      <c r="O2963" s="2" t="n"/>
    </row>
    <row r="2964">
      <c r="A2964" s="2" t="n">
        <v>2963</v>
      </c>
      <c r="B2964" s="2" t="inlineStr"/>
      <c r="C2964" s="2" t="n">
        <v>11148</v>
      </c>
      <c r="D2964" s="3" t="inlineStr">
        <is>
          <t>Дай сердцу волю, заведёт в неволю</t>
        </is>
      </c>
      <c r="E2964" s="2" t="n">
        <v>1987</v>
      </c>
      <c r="F2964" s="2" t="inlineStr">
        <is>
          <t>фильм-спектакль</t>
        </is>
      </c>
      <c r="G2964" s="2" t="n"/>
      <c r="H2964" s="2" t="n">
        <v>305</v>
      </c>
      <c r="I2964" s="2" t="inlineStr"/>
      <c r="J2964" s="2" t="inlineStr"/>
      <c r="K2964" s="3" t="inlineStr">
        <is>
          <t>Спектакль Харьковского драматического театра им. Т. Шевченко.
По одноименной пьесе украинского драматурга М.Кропивницкого.
События происходят в украинской деревне в конце XVIII века. В центре сюжета - любовный треугольник: так в крестьянскую девушку Одарку влюбляются сын старшины Микита и работник Семен.</t>
        </is>
      </c>
      <c r="L2964" s="2" t="inlineStr">
        <is>
          <t>https://www.kino-teatr.ru/teatr/movie/179846/annot/</t>
        </is>
      </c>
      <c r="M2964" s="2">
        <f>HYPERLINK("https://ru.wikipedia.org/w/index.php?search=%D0%94%D0%B0%D0%B9%20%D1%81%D0%B5%D1%80%D0%B4%D1%86%D1%83%20%D0%B2%D0%BE%D0%BB%D1%8E%2C%20%D0%B7%D0%B0%D0%B2%D0%B5%D0%B4%D1%91%D1%82%20%D0%B2%20%D0%BD%D0%B5%D0%B2%D0%BE%D0%BB%D1%8E%201987%20%D1%84%D0%B8%D0%BB%D1%8C%D0%BC","искать")</f>
        <v/>
      </c>
      <c r="N2964" s="3" t="n"/>
      <c r="O2964" s="2" t="n"/>
    </row>
    <row r="2965">
      <c r="A2965" s="2" t="n">
        <v>2964</v>
      </c>
      <c r="B2965" s="2" t="inlineStr"/>
      <c r="C2965" s="2" t="n">
        <v>7335</v>
      </c>
      <c r="D2965" s="3" t="inlineStr">
        <is>
          <t>Вечный муж</t>
        </is>
      </c>
      <c r="E2965" s="2" t="n">
        <v>1990</v>
      </c>
      <c r="F2965" s="2" t="inlineStr">
        <is>
          <t>телефильм</t>
        </is>
      </c>
      <c r="G2965" s="2" t="inlineStr">
        <is>
          <t>Киностудия «Беларусьфильм»; Студия «Диалог»</t>
        </is>
      </c>
      <c r="H2965" s="2" t="n">
        <v>306</v>
      </c>
      <c r="I2965" s="2" t="inlineStr"/>
      <c r="J2965" s="2" t="inlineStr"/>
      <c r="K2965" s="3" t="inlineStr">
        <is>
          <t>По одноименной повести Ф.М.Достоевского, главы «Вельчининов», «Лиза», «На кладбище», «Павелъ Павловичъ женится», «Высшiя причины». К Вельчанинову неожиданно приходит Трусоцкий, с которым они девять лет назад общались. Выясняется, что совсем недавно у Трусоцкого умерла жена, оставив его с 9-летней дочерью.</t>
        </is>
      </c>
      <c r="L2965" s="2" t="inlineStr">
        <is>
          <t>Кино_СССР сводный каталог.xlsx: список телефильмов</t>
        </is>
      </c>
      <c r="M2965" s="2">
        <f>HYPERLINK("https://ru.wikipedia.org/w/index.php?search=%D0%92%D0%B5%D1%87%D0%BD%D1%8B%D0%B9%20%D0%BC%D1%83%D0%B6%201990%20%D1%84%D0%B8%D0%BB%D1%8C%D0%BC","искать")</f>
        <v/>
      </c>
      <c r="N2965" s="3" t="n"/>
      <c r="O2965" s="2" t="n"/>
    </row>
    <row r="2966">
      <c r="A2966" s="2" t="n">
        <v>2965</v>
      </c>
      <c r="B2966" s="2" t="inlineStr"/>
      <c r="C2966" s="2" t="n">
        <v>7430</v>
      </c>
      <c r="D2966" s="3" t="inlineStr">
        <is>
          <t>Ганна Главари</t>
        </is>
      </c>
      <c r="E2966" s="2" t="n">
        <v>1979</v>
      </c>
      <c r="F2966" s="2" t="inlineStr">
        <is>
          <t>телефильм</t>
        </is>
      </c>
      <c r="G2966" s="2" t="inlineStr">
        <is>
          <t>«Лентелефильм»</t>
        </is>
      </c>
      <c r="H2966" s="2" t="n">
        <v>306</v>
      </c>
      <c r="I2966" s="2" t="inlineStr"/>
      <c r="J2966" s="2" t="inlineStr"/>
      <c r="K2966" s="3" t="inlineStr">
        <is>
          <t>Телефильм-оперетта по мотивам оперетты Ф. Легара "Веселая вдова". В посольстве государства Монтевердо в Париже среди дипломатов царит большое волнение. Получена секретная телеграмма, что все национальное богатство страны нужно спасать. Это - 20 миллионов, и они сосредоточены в руках вдовы банкира Главари.</t>
        </is>
      </c>
      <c r="L2966" s="2" t="inlineStr">
        <is>
          <t>Кино_СССР сводный каталог.xlsx: список телефильмов</t>
        </is>
      </c>
      <c r="M2966" s="2">
        <f>HYPERLINK("https://ru.wikipedia.org/w/index.php?search=%D0%93%D0%B0%D0%BD%D0%BD%D0%B0%20%D0%93%D0%BB%D0%B0%D0%B2%D0%B0%D1%80%D0%B8%201979%20%D1%84%D0%B8%D0%BB%D1%8C%D0%BC","искать")</f>
        <v/>
      </c>
      <c r="N2966" s="3" t="n"/>
      <c r="O2966" s="2" t="n"/>
    </row>
    <row r="2967">
      <c r="A2967" s="2" t="n">
        <v>2966</v>
      </c>
      <c r="B2967" s="2" t="inlineStr"/>
      <c r="C2967" s="2" t="n">
        <v>7612</v>
      </c>
      <c r="D2967" s="3" t="inlineStr">
        <is>
          <t>За горами, за лесами</t>
        </is>
      </c>
      <c r="E2967" s="2" t="n">
        <v>1973</v>
      </c>
      <c r="F2967" s="2" t="inlineStr">
        <is>
          <t>телефильм</t>
        </is>
      </c>
      <c r="G2967" s="2" t="n"/>
      <c r="H2967" s="2" t="n">
        <v>306</v>
      </c>
      <c r="I2967" s="2" t="inlineStr"/>
      <c r="J2967" s="2" t="inlineStr"/>
      <c r="K2967" s="3" t="inlineStr">
        <is>
          <t>О двух художниках-антиподах. Один художник - Вавила де Мазила - имеет собственную мастерскую, учеников и малюет "картины" на потребу толпе. Другой художник, Ерёма, отправляется в Тридесятое Царство искать Чудо-Камень, чтобы запечатлеть на нём прекрасный образ. В дороге с ним происходят разные приключения.</t>
        </is>
      </c>
      <c r="L2967" s="2" t="inlineStr">
        <is>
          <t>Кино_СССР сводный каталог.xlsx: список телефильмов</t>
        </is>
      </c>
      <c r="M2967" s="2">
        <f>HYPERLINK("https://ru.wikipedia.org/w/index.php?search=%D0%97%D0%B0%20%D0%B3%D0%BE%D1%80%D0%B0%D0%BC%D0%B8%2C%20%D0%B7%D0%B0%20%D0%BB%D0%B5%D1%81%D0%B0%D0%BC%D0%B8%201973%20%D1%84%D0%B8%D0%BB%D1%8C%D0%BC","искать")</f>
        <v/>
      </c>
      <c r="N2967" s="3" t="n"/>
      <c r="O2967" s="2" t="n"/>
    </row>
    <row r="2968">
      <c r="A2968" s="2" t="n">
        <v>2967</v>
      </c>
      <c r="B2968" s="2" t="inlineStr"/>
      <c r="C2968" s="2" t="n">
        <v>7771</v>
      </c>
      <c r="D2968" s="3" t="inlineStr">
        <is>
          <t>Красный петух плимутрок</t>
        </is>
      </c>
      <c r="E2968" s="2" t="n">
        <v>1975</v>
      </c>
      <c r="F2968" s="2" t="inlineStr">
        <is>
          <t>телефильм</t>
        </is>
      </c>
      <c r="G2968" s="2" t="n"/>
      <c r="H2968" s="2" t="n">
        <v>306</v>
      </c>
      <c r="I2968" s="2" t="inlineStr"/>
      <c r="J2968" s="2" t="inlineStr"/>
      <c r="K2968" s="3" t="inlineStr">
        <is>
          <t>Телефильм по мотивам одноименного рассказа Г.Немченко. Валя очень озабочен раздорами между отцом, матерью и бабушкой. Что он только не придумывал, чтобы в его семье было всем хорошо и весело. А теперь он решил приобрести петуха и научить его танцевать так, как танцевал петух его односельчанина Никодимыча.</t>
        </is>
      </c>
      <c r="L2968" s="2" t="inlineStr">
        <is>
          <t>Кино_СССР сводный каталог.xlsx: список телефильмов</t>
        </is>
      </c>
      <c r="M2968" s="2">
        <f>HYPERLINK("https://ru.wikipedia.org/w/index.php?search=%D0%9A%D1%80%D0%B0%D1%81%D0%BD%D1%8B%D0%B9%20%D0%BF%D0%B5%D1%82%D1%83%D1%85%20%D0%BF%D0%BB%D0%B8%D0%BC%D1%83%D1%82%D1%80%D0%BE%D0%BA%201975%20%D1%84%D0%B8%D0%BB%D1%8C%D0%BC","искать")</f>
        <v/>
      </c>
      <c r="N2968" s="3" t="n"/>
      <c r="O2968" s="2" t="n"/>
    </row>
    <row r="2969">
      <c r="A2969" s="2" t="n">
        <v>2968</v>
      </c>
      <c r="B2969" s="2" t="inlineStr"/>
      <c r="C2969" s="2" t="n">
        <v>7898</v>
      </c>
      <c r="D2969" s="3" t="inlineStr">
        <is>
          <t>Морской Волк</t>
        </is>
      </c>
      <c r="E2969" s="2" t="n">
        <v>1990</v>
      </c>
      <c r="F2969" s="2" t="inlineStr">
        <is>
          <t>телефильм</t>
        </is>
      </c>
      <c r="G2969" s="2" t="n"/>
      <c r="H2969" s="2" t="n">
        <v>306</v>
      </c>
      <c r="I2969" s="2" t="inlineStr"/>
      <c r="J2969" s="2" t="inlineStr"/>
      <c r="K2969" s="3" t="inlineStr">
        <is>
          <t>Сериал по мотивам одноимённого романа Джека Лондона. Молодой литератор Хэмфри Ван-Вейден решил навестить друга. На пароме "Мартинес" он отплавает из Сан-Франциско на другую сторону залива. В тумане паром сталкиваются с большим судном и за считанные минуты тонет. Оказавшись в воде, Хэмфри быстро обессилел.</t>
        </is>
      </c>
      <c r="L2969" s="2" t="inlineStr">
        <is>
          <t>Кино_СССР сводный каталог.xlsx: список телефильмов</t>
        </is>
      </c>
      <c r="M2969" s="2">
        <f>HYPERLINK("https://ru.wikipedia.org/w/index.php?search=%D0%9C%D0%BE%D1%80%D1%81%D0%BA%D0%BE%D0%B9%20%D0%92%D0%BE%D0%BB%D0%BA%201990%20%D1%84%D0%B8%D0%BB%D1%8C%D0%BC","искать")</f>
        <v/>
      </c>
      <c r="N2969" s="3" t="n"/>
      <c r="O2969" s="2" t="n"/>
    </row>
    <row r="2970">
      <c r="A2970" s="2" t="n">
        <v>2969</v>
      </c>
      <c r="B2970" s="2" t="inlineStr"/>
      <c r="C2970" s="2" t="n">
        <v>7940</v>
      </c>
      <c r="D2970" s="3" t="inlineStr">
        <is>
          <t>Назначаешься внучкой</t>
        </is>
      </c>
      <c r="E2970" s="2" t="n">
        <v>1975</v>
      </c>
      <c r="F2970" s="2" t="inlineStr">
        <is>
          <t>телефильм</t>
        </is>
      </c>
      <c r="G2970" s="2" t="n"/>
      <c r="H2970" s="2" t="n">
        <v>306</v>
      </c>
      <c r="I2970" s="2" t="inlineStr"/>
      <c r="J2970" s="2" t="inlineStr"/>
      <c r="K2970" s="3" t="inlineStr">
        <is>
          <t>Телефильм по мотивам повести Е.А.Мухиной "Восемь сантиметров" (Воспоминания радистки-разведчицы Великой Отечественной войны -на столько она выросла за войну, в которой ей пришлось повоевать). Великая Отечественная война. Осень 1942 года, фашистские войска рвутся к Волге, идут тяжёлые бои под Сталинградом.</t>
        </is>
      </c>
      <c r="L2970" s="2" t="inlineStr">
        <is>
          <t>Кино_СССР сводный каталог.xlsx: список телефильмов</t>
        </is>
      </c>
      <c r="M2970" s="2">
        <f>HYPERLINK("https://ru.wikipedia.org/w/index.php?search=%D0%9D%D0%B0%D0%B7%D0%BD%D0%B0%D1%87%D0%B0%D0%B5%D1%88%D1%8C%D1%81%D1%8F%20%D0%B2%D0%BD%D1%83%D1%87%D0%BA%D0%BE%D0%B9%201975%20%D1%84%D0%B8%D0%BB%D1%8C%D0%BC","искать")</f>
        <v/>
      </c>
      <c r="N2970" s="3" t="n"/>
      <c r="O2970" s="2" t="n"/>
    </row>
    <row r="2971">
      <c r="A2971" s="2" t="n">
        <v>2970</v>
      </c>
      <c r="B2971" s="2" t="inlineStr"/>
      <c r="C2971" s="2" t="n">
        <v>7975</v>
      </c>
      <c r="D2971" s="3" t="inlineStr">
        <is>
          <t>Незаконченный ужин</t>
        </is>
      </c>
      <c r="E2971" s="2" t="n">
        <v>1979</v>
      </c>
      <c r="F2971" s="2" t="inlineStr">
        <is>
          <t>телефильм</t>
        </is>
      </c>
      <c r="G2971" s="2" t="inlineStr">
        <is>
          <t>Рижская к/с</t>
        </is>
      </c>
      <c r="H2971" s="2" t="n">
        <v>306</v>
      </c>
      <c r="I2971" s="2" t="inlineStr"/>
      <c r="J2971" s="2" t="inlineStr"/>
      <c r="K2971" s="3" t="inlineStr">
        <is>
          <t>Телефильм снят по мотивам романа шведских писателей П.Валё и М.Шёвалль "Полиция, полиция, картофельное пюре". В одной западной стране в шикарном ресторане за ужином убивают миллионера. Для ускорения следствия из столицы направлен известный комиссар, ибо затягивание дела грозит скандалом в "высших сферах".</t>
        </is>
      </c>
      <c r="L2971" s="2" t="inlineStr">
        <is>
          <t>Кино_СССР сводный каталог.xlsx: список телефильмов</t>
        </is>
      </c>
      <c r="M2971" s="2">
        <f>HYPERLINK("https://ru.wikipedia.org/w/index.php?search=%D0%9D%D0%B5%D0%B7%D0%B0%D0%BA%D0%BE%D0%BD%D1%87%D0%B5%D0%BD%D0%BD%D1%8B%D0%B9%20%D1%83%D0%B6%D0%B8%D0%BD%201979%20%D1%84%D0%B8%D0%BB%D1%8C%D0%BC","искать")</f>
        <v/>
      </c>
      <c r="N2971" s="3" t="n"/>
      <c r="O2971" s="2" t="n"/>
    </row>
    <row r="2972">
      <c r="A2972" s="2" t="n">
        <v>2971</v>
      </c>
      <c r="B2972" s="2" t="inlineStr"/>
      <c r="C2972" s="2" t="n">
        <v>8163</v>
      </c>
      <c r="D2972" s="3" t="inlineStr">
        <is>
          <t>Поражение</t>
        </is>
      </c>
      <c r="E2972" s="2" t="n">
        <v>1987</v>
      </c>
      <c r="F2972" s="2" t="inlineStr">
        <is>
          <t>телефильм</t>
        </is>
      </c>
      <c r="G2972" s="2" t="n"/>
      <c r="H2972" s="2" t="n">
        <v>306</v>
      </c>
      <c r="I2972" s="2" t="inlineStr"/>
      <c r="J2972" s="2" t="inlineStr"/>
      <c r="K2972" s="3" t="inlineStr">
        <is>
          <t>Телесериал по мотивам романа Даниила Гранина «Иду на грозу». В центре сюжета - судьба двух молодых физиков, занимающихся проблемами атмосферного электричества, изучением явлений грозы. Оба они - ученики профессора Данкевича, человека талантливого, прямого, неподкупного, не отступающего от своих принципов.</t>
        </is>
      </c>
      <c r="L2972" s="2" t="inlineStr">
        <is>
          <t>Кино_СССР сводный каталог.xlsx: список телефильмов</t>
        </is>
      </c>
      <c r="M2972" s="2">
        <f>HYPERLINK("https://ru.wikipedia.org/w/index.php?search=%D0%9F%D0%BE%D1%80%D0%B0%D0%B6%D0%B5%D0%BD%D0%B8%D0%B5%201987%20%D1%84%D0%B8%D0%BB%D1%8C%D0%BC","искать")</f>
        <v/>
      </c>
      <c r="N2972" s="3" t="n"/>
      <c r="O2972" s="2" t="n"/>
    </row>
    <row r="2973">
      <c r="A2973" s="2" t="n">
        <v>2972</v>
      </c>
      <c r="B2973" s="2" t="inlineStr"/>
      <c r="C2973" s="2" t="n">
        <v>8210</v>
      </c>
      <c r="D2973" s="3" t="inlineStr">
        <is>
          <t>Приключения Тома Сойера и Гекльберри Финна</t>
        </is>
      </c>
      <c r="E2973" s="2" t="n">
        <v>1981</v>
      </c>
      <c r="F2973" s="2" t="inlineStr">
        <is>
          <t>телефильм</t>
        </is>
      </c>
      <c r="G2973" s="2" t="n"/>
      <c r="H2973" s="2" t="n">
        <v>306</v>
      </c>
      <c r="I2973" s="2" t="inlineStr"/>
      <c r="J2973" s="2" t="inlineStr"/>
      <c r="K2973" s="3" t="inlineStr">
        <is>
          <t>Телесериал для детей о приключениях героев знаменитой повести Марка Твена "Приключения Тома Сойера". Маленькие, но отважные герои разыскивают клад, становятся "пиратами", вступают в опасную схватку с индейцем Джо. Но самое главное в этой истории - то, что они учатся быть верными друзьями и добрыми людьми.</t>
        </is>
      </c>
      <c r="L2973" s="2" t="inlineStr">
        <is>
          <t>Кино_СССР сводный каталог.xlsx: список телефильмов</t>
        </is>
      </c>
      <c r="M2973" s="2">
        <f>HYPERLINK("https://ru.wikipedia.org/w/index.php?search=%D0%9F%D1%80%D0%B8%D0%BA%D0%BB%D1%8E%D1%87%D0%B5%D0%BD%D0%B8%D1%8F%20%D0%A2%D0%BE%D0%BC%D0%B0%20%D0%A1%D0%BE%D0%B9%D0%B5%D1%80%D0%B0%20%D0%B8%20%D0%93%D0%B5%D0%BA%D0%BB%D1%8C%D0%B1%D0%B5%D1%80%D1%80%D0%B8%20%D0%A4%D0%B8%D0%BD%D0%BD%D0%B0%201981%20%D1%84%D0%B8%D0%BB%D1%8C%D0%BC","искать")</f>
        <v/>
      </c>
      <c r="N2973" s="3" t="n"/>
      <c r="O2973" s="2" t="n"/>
    </row>
    <row r="2974">
      <c r="A2974" s="2" t="n">
        <v>2973</v>
      </c>
      <c r="B2974" s="2" t="inlineStr"/>
      <c r="C2974" s="2" t="n">
        <v>8486</v>
      </c>
      <c r="D2974" s="3" t="inlineStr">
        <is>
          <t>Тростинка на ветру</t>
        </is>
      </c>
      <c r="E2974" s="2" t="n">
        <v>1980</v>
      </c>
      <c r="F2974" s="2" t="inlineStr">
        <is>
          <t>телефильм</t>
        </is>
      </c>
      <c r="G2974" s="2" t="inlineStr">
        <is>
          <t>Ленфильм</t>
        </is>
      </c>
      <c r="H2974" s="2" t="n">
        <v>306</v>
      </c>
      <c r="I2974" s="2" t="inlineStr"/>
      <c r="J2974" s="2" t="inlineStr"/>
      <c r="K2974" s="3" t="inlineStr">
        <is>
          <t>По повести Георгия Маркова Варя только что окончила школу. Родители разводятся, любимая бабка донимает приставаниями о смысле жизни. Мишка - хороший парень - очень любит Варьку, но многого не понимает. Не получив документов, она уезжает в город к сестре. Здесь-то и начнется настоящая жизнь, думается Варе.</t>
        </is>
      </c>
      <c r="L2974" s="2" t="inlineStr">
        <is>
          <t>Кино_СССР сводный каталог.xlsx: список телефильмов</t>
        </is>
      </c>
      <c r="M2974" s="2">
        <f>HYPERLINK("https://ru.wikipedia.org/w/index.php?search=%D0%A2%D1%80%D0%BE%D1%81%D1%82%D0%B8%D0%BD%D0%BA%D0%B0%20%D0%BD%D0%B0%20%D0%B2%D0%B5%D1%82%D1%80%D1%83%201980%20%D1%84%D0%B8%D0%BB%D1%8C%D0%BC","искать")</f>
        <v/>
      </c>
      <c r="N2974" s="3" t="n"/>
      <c r="O2974" s="2" t="n"/>
    </row>
    <row r="2975">
      <c r="A2975" s="2" t="n">
        <v>2974</v>
      </c>
      <c r="B2975" s="2" t="inlineStr"/>
      <c r="C2975" s="2" t="n">
        <v>8810</v>
      </c>
      <c r="D2975" s="3" t="inlineStr">
        <is>
          <t>Люми</t>
        </is>
      </c>
      <c r="E2975" s="2" t="n">
        <v>1991</v>
      </c>
      <c r="F2975" s="2" t="inlineStr">
        <is>
          <t>кинофильм</t>
        </is>
      </c>
      <c r="G2975" s="2" t="n"/>
      <c r="H2975" s="2" t="n">
        <v>306</v>
      </c>
      <c r="I2975" s="2" t="inlineStr"/>
      <c r="J2975" s="2" t="inlineStr"/>
      <c r="K2975" s="3" t="inlineStr">
        <is>
          <t>Полуволк - получеловек более двух метров роста,страшное чудовище по имени Люми - он появляется один раз в сто лет. Движимый голосом предков, оборотень идет к намеченной цели, не зная пощады, сметая всех на своем пути. В лесу близ прибалтийского поселка появилось чудовище. Возможно, это был обычный маньяк.</t>
        </is>
      </c>
      <c r="L2975" s="2" t="inlineStr">
        <is>
          <t>Кино_СССР сводный каталог.xlsx: список фильмов (доп.)</t>
        </is>
      </c>
      <c r="M2975" s="2">
        <f>HYPERLINK("https://ru.wikipedia.org/w/index.php?search=%D0%9B%D1%8E%D0%BC%D0%B8%201991%20%D1%84%D0%B8%D0%BB%D1%8C%D0%BC","искать")</f>
        <v/>
      </c>
      <c r="N2975" s="3" t="n"/>
      <c r="O2975" s="2" t="n"/>
    </row>
    <row r="2976">
      <c r="A2976" s="2" t="n">
        <v>2975</v>
      </c>
      <c r="B2976" s="2" t="inlineStr"/>
      <c r="C2976" s="2" t="n">
        <v>8826</v>
      </c>
      <c r="D2976" s="3" t="inlineStr">
        <is>
          <t>Маэстро с ниточкой</t>
        </is>
      </c>
      <c r="E2976" s="2" t="n">
        <v>1991</v>
      </c>
      <c r="F2976" s="2" t="inlineStr">
        <is>
          <t>кинофильм</t>
        </is>
      </c>
      <c r="G2976" s="2" t="n"/>
      <c r="H2976" s="2" t="n">
        <v>306</v>
      </c>
      <c r="I2976" s="2" t="inlineStr"/>
      <c r="J2976" s="2" t="inlineStr"/>
      <c r="K2976" s="3" t="inlineStr">
        <is>
          <t>Живет в деревне одинокий старик - Иван Макаров, злой и колючий. Все его богатство - дом и гармонь. Да есть еще мечта - поехать в Москву и выступить по телевидению: вдруг сын, который давно забыл про него увидит и отзовется? Но в Москве вместо сына, он находит бездомного подростка Сергея по кличке "Обруч".</t>
        </is>
      </c>
      <c r="L2976" s="2" t="inlineStr">
        <is>
          <t>Кино_СССР сводный каталог.xlsx: список фильмов (доп.)</t>
        </is>
      </c>
      <c r="M2976" s="2">
        <f>HYPERLINK("https://ru.wikipedia.org/w/index.php?search=%D0%9C%D0%B0%D1%8D%D1%81%D1%82%D1%80%D0%BE%20%D1%81%20%D0%BD%D0%B8%D1%82%D0%BE%D1%87%D0%BA%D0%BE%D0%B9%201991%20%D1%84%D0%B8%D0%BB%D1%8C%D0%BC","искать")</f>
        <v/>
      </c>
      <c r="N2976" s="3" t="n"/>
      <c r="O2976" s="2" t="n"/>
    </row>
    <row r="2977">
      <c r="A2977" s="2" t="n">
        <v>2976</v>
      </c>
      <c r="B2977" s="2" t="inlineStr"/>
      <c r="C2977" s="2" t="n">
        <v>8932</v>
      </c>
      <c r="D2977" s="3" t="inlineStr">
        <is>
          <t>Пленник земли</t>
        </is>
      </c>
      <c r="E2977" s="2" t="n">
        <v>1990</v>
      </c>
      <c r="F2977" s="2" t="inlineStr">
        <is>
          <t>кинофильм</t>
        </is>
      </c>
      <c r="G2977" s="2" t="n"/>
      <c r="H2977" s="2" t="n">
        <v>306</v>
      </c>
      <c r="I2977" s="2" t="inlineStr"/>
      <c r="J2977" s="2" t="inlineStr"/>
      <c r="K2977" s="3" t="inlineStr">
        <is>
          <t>Экранизация романа Джеймса Олдриджа. Британские летчики возвращались домой над безжизненной снежно-ледяной пустыней. Неожиданно внизу, на земле, показался полузасыпанный снегом фюзеляж какого-то потерпевшего аварию самолета. Один из летчиков прыгнул с парашютом, чтобы оказать помощь, если она потребуется.</t>
        </is>
      </c>
      <c r="L2977" s="2" t="inlineStr">
        <is>
          <t>Кино_СССР сводный каталог.xlsx: список фильмов (доп.)</t>
        </is>
      </c>
      <c r="M2977" s="2">
        <f>HYPERLINK("https://ru.wikipedia.org/w/index.php?search=%D0%9F%D0%BB%D0%B5%D0%BD%D0%BD%D0%B8%D0%BA%20%D0%B7%D0%B5%D0%BC%D0%BB%D0%B8%201990%20%D1%84%D0%B8%D0%BB%D1%8C%D0%BC","искать")</f>
        <v/>
      </c>
      <c r="N2977" s="3" t="n"/>
      <c r="O2977" s="2" t="n"/>
    </row>
    <row r="2978">
      <c r="A2978" s="2" t="n">
        <v>2977</v>
      </c>
      <c r="B2978" s="2" t="inlineStr"/>
      <c r="C2978" s="2" t="n">
        <v>10138</v>
      </c>
      <c r="D2978" s="3" t="inlineStr">
        <is>
          <t>Вашингтонская история</t>
        </is>
      </c>
      <c r="E2978" s="2" t="n">
        <v>1965</v>
      </c>
      <c r="F2978" s="2" t="inlineStr">
        <is>
          <t>фильм-спектакль</t>
        </is>
      </c>
      <c r="G2978" s="2" t="inlineStr">
        <is>
          <t>Главная редакция литературно-драматических программ ЦТ, Гостелерадио СССР</t>
        </is>
      </c>
      <c r="H2978" s="2" t="n">
        <v>306</v>
      </c>
      <c r="I2978" s="2" t="inlineStr"/>
      <c r="J2978" s="2" t="inlineStr"/>
      <c r="K2978" s="3" t="inlineStr">
        <is>
          <t>Спектакль по мотивам романа Джея Дайса "Вашингтонская история".
Служащая одного из отделов Госдепартамента США Фэйс Вэнс получает вызов в комиссию по расследованию антиамериканской деятельности. И вполне благополучная, спокойная жизнь начинает рушиться.
Но Фэйс не опускает руки, она борется за свои права.</t>
        </is>
      </c>
      <c r="L2978" s="2" t="inlineStr">
        <is>
          <t>https://www.kino-teatr.ru/teatr/movie/13897/annot/</t>
        </is>
      </c>
      <c r="M2978" s="2">
        <f>HYPERLINK("https://ru.wikipedia.org/w/index.php?search=%D0%92%D0%B0%D1%88%D0%B8%D0%BD%D0%B3%D1%82%D0%BE%D0%BD%D1%81%D0%BA%D0%B0%D1%8F%20%D0%B8%D1%81%D1%82%D0%BE%D1%80%D0%B8%D1%8F%201965%20%D1%84%D0%B8%D0%BB%D1%8C%D0%BC","искать")</f>
        <v/>
      </c>
      <c r="N2978" s="3" t="n"/>
      <c r="O2978" s="2" t="n"/>
    </row>
    <row r="2979">
      <c r="A2979" s="2" t="n">
        <v>2978</v>
      </c>
      <c r="B2979" s="2" t="inlineStr"/>
      <c r="C2979" s="2" t="n">
        <v>10447</v>
      </c>
      <c r="D2979" s="3" t="inlineStr">
        <is>
          <t>Легкий заработок</t>
        </is>
      </c>
      <c r="E2979" s="2" t="n">
        <v>1972</v>
      </c>
      <c r="F2979" s="2" t="inlineStr">
        <is>
          <t>фильм-спектакль</t>
        </is>
      </c>
      <c r="G2979" s="2" t="inlineStr">
        <is>
          <t>Главная редакция программ для молодёжи ЦТ</t>
        </is>
      </c>
      <c r="H2979" s="2" t="n">
        <v>306</v>
      </c>
      <c r="I2979" s="2" t="inlineStr"/>
      <c r="J2979" s="2" t="inlineStr"/>
      <c r="K2979" s="3" t="inlineStr">
        <is>
          <t>По одноименному рассказу Ивэна Хантера.
Молодой коммивояжер Джер Толбот поступает работать в издательство «Домашняя Библия». Издатель Мэтьюз придумывает бесчестные приемы продажи Библии с целью максимальной наживы. Толбот, понимая, что его хозяин наживается на горе простых людей, порывает с издательством.</t>
        </is>
      </c>
      <c r="L2979" s="2" t="inlineStr">
        <is>
          <t>https://www.kino-teatr.ru/teatr/movie/89102/annot/</t>
        </is>
      </c>
      <c r="M2979" s="2">
        <f>HYPERLINK("https://ru.wikipedia.org/w/index.php?search=%D0%9B%D0%B5%D0%B3%D0%BA%D0%B8%D0%B9%20%D0%B7%D0%B0%D1%80%D0%B0%D0%B1%D0%BE%D1%82%D0%BE%D0%BA%201972%20%D1%84%D0%B8%D0%BB%D1%8C%D0%BC","искать")</f>
        <v/>
      </c>
      <c r="N2979" s="3" t="n"/>
      <c r="O2979" s="2" t="n"/>
    </row>
    <row r="2980">
      <c r="A2980" s="2" t="n">
        <v>2979</v>
      </c>
      <c r="B2980" s="2" t="inlineStr"/>
      <c r="C2980" s="2" t="n">
        <v>10942</v>
      </c>
      <c r="D2980" s="3" t="inlineStr">
        <is>
          <t>Кафедра</t>
        </is>
      </c>
      <c r="E2980" s="2" t="n">
        <v>1982</v>
      </c>
      <c r="F2980" s="2" t="inlineStr">
        <is>
          <t>фильм-спектакль</t>
        </is>
      </c>
      <c r="G2980" s="2" t="inlineStr">
        <is>
          <t>Гл. ред. лит-драм программ  ЦТ</t>
        </is>
      </c>
      <c r="H2980" s="2" t="n">
        <v>306</v>
      </c>
      <c r="I2980" s="2" t="inlineStr"/>
      <c r="J2980" s="2" t="inlineStr"/>
      <c r="K2980" s="3" t="inlineStr">
        <is>
          <t>По одноименной пьесе В.Врублевской.
Заведующий кафедрой института Брызгалов злоупотребляет своим служебным положением. Многие сотрудники мирятся с этим: одни из них боятся Брызгалова, другие рассчитывают на его покровительство взамен на свою беспринципность. Только Барвинская смело разоблачает Брызгалова.</t>
        </is>
      </c>
      <c r="L2980" s="2" t="inlineStr">
        <is>
          <t>https://www.kino-teatr.ru/teatr/movie/81343/annot/</t>
        </is>
      </c>
      <c r="M2980" s="2">
        <f>HYPERLINK("https://ru.wikipedia.org/w/index.php?search=%D0%9A%D0%B0%D1%84%D0%B5%D0%B4%D1%80%D0%B0%201982%20%D1%84%D0%B8%D0%BB%D1%8C%D0%BC","искать")</f>
        <v/>
      </c>
      <c r="N2980" s="3" t="n"/>
      <c r="O2980" s="2" t="n"/>
    </row>
    <row r="2981">
      <c r="A2981" s="2" t="n">
        <v>2980</v>
      </c>
      <c r="B2981" s="2" t="inlineStr"/>
      <c r="C2981" s="2" t="n">
        <v>11072</v>
      </c>
      <c r="D2981" s="3" t="inlineStr">
        <is>
          <t>Последнее свидание</t>
        </is>
      </c>
      <c r="E2981" s="2" t="n">
        <v>1985</v>
      </c>
      <c r="F2981" s="2" t="inlineStr">
        <is>
          <t>фильм-спектакль</t>
        </is>
      </c>
      <c r="G2981" s="2" t="inlineStr">
        <is>
          <t>Главная редакция литературно-драматических программ ЦТ</t>
        </is>
      </c>
      <c r="H2981" s="2" t="n">
        <v>306</v>
      </c>
      <c r="I2981" s="2" t="inlineStr"/>
      <c r="J2981" s="2" t="inlineStr"/>
      <c r="K2981" s="3" t="inlineStr">
        <is>
          <t>По одноименной пьесе А. Галина в постановке Центрального академического театра Советской Армии.
Константину Ивановичу Ермолаеву, много лет водившему локомотивы, в связи с пенсионным возрастом предложили работу диспетчера. Он не хочет смириться с этим и едет к своему фронтовому другу Панкратову за советом.</t>
        </is>
      </c>
      <c r="L2981" s="2" t="inlineStr">
        <is>
          <t>https://www.kino-teatr.ru/teatr/movie/104345/annot/</t>
        </is>
      </c>
      <c r="M2981" s="2">
        <f>HYPERLINK("https://ru.wikipedia.org/w/index.php?search=%D0%9F%D0%BE%D1%81%D0%BB%D0%B5%D0%B4%D0%BD%D0%B5%D0%B5%20%D1%81%D0%B2%D0%B8%D0%B4%D0%B0%D0%BD%D0%B8%D0%B5%201985%20%D1%84%D0%B8%D0%BB%D1%8C%D0%BC","искать")</f>
        <v/>
      </c>
      <c r="N2981" s="3" t="n"/>
      <c r="O2981" s="2" t="n"/>
    </row>
    <row r="2982">
      <c r="A2982" s="2" t="n">
        <v>2981</v>
      </c>
      <c r="B2982" s="2" t="inlineStr"/>
      <c r="C2982" s="2" t="n">
        <v>7253</v>
      </c>
      <c r="D2982" s="3" t="inlineStr">
        <is>
          <t>Бес в ребро</t>
        </is>
      </c>
      <c r="E2982" s="2" t="n">
        <v>1990</v>
      </c>
      <c r="F2982" s="2" t="inlineStr">
        <is>
          <t>телефильм</t>
        </is>
      </c>
      <c r="G2982" s="2" t="n"/>
      <c r="H2982" s="2" t="n">
        <v>307</v>
      </c>
      <c r="I2982" s="2" t="inlineStr"/>
      <c r="J2982" s="2" t="inlineStr"/>
      <c r="K2982" s="3" t="inlineStr">
        <is>
          <t>Однажды в квартире, где живет разведенная Ирина, появляется посыльный от дальних родственников, передав посылку, он остается. Но через несколько дней, ввязавшись в уличную драку, попадает в милицию, выйти откуда ему почему-то не удается. К делу об егоосвобождении подключается Ирина и ее друг - следователь.</t>
        </is>
      </c>
      <c r="L2982" s="2" t="inlineStr">
        <is>
          <t>Кино_СССР сводный каталог.xlsx: список телефильмов</t>
        </is>
      </c>
      <c r="M2982" s="2">
        <f>HYPERLINK("https://ru.wikipedia.org/w/index.php?search=%D0%91%D0%B5%D1%81%20%D0%B2%20%D1%80%D0%B5%D0%B1%D1%80%D0%BE%201990%20%D1%84%D0%B8%D0%BB%D1%8C%D0%BC","искать")</f>
        <v/>
      </c>
      <c r="N2982" s="3" t="n"/>
      <c r="O2982" s="2" t="n"/>
    </row>
    <row r="2983">
      <c r="A2983" s="2" t="n">
        <v>2982</v>
      </c>
      <c r="B2983" s="2" t="inlineStr"/>
      <c r="C2983" s="2" t="n">
        <v>7274</v>
      </c>
      <c r="D2983" s="3" t="inlineStr">
        <is>
          <t>Бросок, или Всё началось в субботу</t>
        </is>
      </c>
      <c r="E2983" s="2" t="n">
        <v>1976</v>
      </c>
      <c r="F2983" s="2" t="inlineStr">
        <is>
          <t>телефильм</t>
        </is>
      </c>
      <c r="G2983" s="2" t="inlineStr">
        <is>
          <t>Казахфильм</t>
        </is>
      </c>
      <c r="H2983" s="2" t="n">
        <v>307</v>
      </c>
      <c r="I2983" s="2" t="inlineStr"/>
      <c r="J2983" s="2" t="inlineStr"/>
      <c r="K2983" s="3" t="inlineStr">
        <is>
          <t>Телефильм. По мотивам фантастической повести Кира Булычева "Умение кидать мяч" о реализации человеческих способностей. Герой фильма - обыкновенный "середнячок", никогда не блиставший способностями к спорту, вдруг обретает способность с абсолютной точностью кидать предметы. Он пытается стать баскетболистом.</t>
        </is>
      </c>
      <c r="L2983" s="2" t="inlineStr">
        <is>
          <t>Кино_СССР сводный каталог.xlsx: список телефильмов</t>
        </is>
      </c>
      <c r="M2983" s="2">
        <f>HYPERLINK("https://ru.wikipedia.org/w/index.php?search=%D0%91%D1%80%D0%BE%D1%81%D0%BE%D0%BA%2C%20%D0%B8%D0%BB%D0%B8%20%D0%92%D1%81%D1%91%20%D0%BD%D0%B0%D1%87%D0%B0%D0%BB%D0%BE%D1%81%D1%8C%20%D0%B2%20%D1%81%D1%83%D0%B1%D0%B1%D0%BE%D1%82%D1%83%201976%20%D1%84%D0%B8%D0%BB%D1%8C%D0%BC","искать")</f>
        <v/>
      </c>
      <c r="N2983" s="3" t="n"/>
      <c r="O2983" s="2" t="n"/>
    </row>
    <row r="2984">
      <c r="A2984" s="2" t="n">
        <v>2983</v>
      </c>
      <c r="B2984" s="2" t="inlineStr"/>
      <c r="C2984" s="2" t="n">
        <v>7307</v>
      </c>
      <c r="D2984" s="3" t="inlineStr">
        <is>
          <t>Вам телеграмма...</t>
        </is>
      </c>
      <c r="E2984" s="2" t="n">
        <v>1983</v>
      </c>
      <c r="F2984" s="2" t="inlineStr">
        <is>
          <t>телефильм</t>
        </is>
      </c>
      <c r="G2984" s="2" t="inlineStr">
        <is>
          <t>Молдова-фильм</t>
        </is>
      </c>
      <c r="H2984" s="2" t="n">
        <v>307</v>
      </c>
      <c r="I2984" s="2" t="inlineStr"/>
      <c r="J2984" s="2" t="inlineStr"/>
      <c r="K2984" s="3" t="inlineStr">
        <is>
          <t>Телефильм. Анна работает разносчицей телеграмм. У нее не складывается личная жизнь с мужем Сергеем. Единственное, что их связывает - подрастающий сын Антошка. Как в сказке Анна получает телеграмму от любящего ее одноклассника Алехина с предложением переехать жить к нему в только что полученную им квартиру.</t>
        </is>
      </c>
      <c r="L2984" s="2" t="inlineStr">
        <is>
          <t>Кино_СССР сводный каталог.xlsx: список телефильмов</t>
        </is>
      </c>
      <c r="M2984" s="2">
        <f>HYPERLINK("https://ru.wikipedia.org/w/index.php?search=%D0%92%D0%B0%D0%BC%20%D1%82%D0%B5%D0%BB%D0%B5%D0%B3%D1%80%D0%B0%D0%BC%D0%BC%D0%B0...%201983%20%D1%84%D0%B8%D0%BB%D1%8C%D0%BC","искать")</f>
        <v/>
      </c>
      <c r="N2984" s="3" t="n"/>
      <c r="O2984" s="2" t="n"/>
    </row>
    <row r="2985">
      <c r="A2985" s="2" t="n">
        <v>2984</v>
      </c>
      <c r="B2985" s="2" t="inlineStr"/>
      <c r="C2985" s="2" t="n">
        <v>7776</v>
      </c>
      <c r="D2985" s="3" t="inlineStr">
        <is>
          <t>Крутой поворот</t>
        </is>
      </c>
      <c r="E2985" s="2" t="n">
        <v>1979</v>
      </c>
      <c r="F2985" s="2" t="inlineStr">
        <is>
          <t>телефильм</t>
        </is>
      </c>
      <c r="G2985" s="2" t="n"/>
      <c r="H2985" s="2" t="n">
        <v>307</v>
      </c>
      <c r="I2985" s="2" t="inlineStr"/>
      <c r="J2985" s="2" t="inlineStr"/>
      <c r="K2985" s="3" t="inlineStr">
        <is>
          <t>По повести Сергея Высоцкого. Юрий Носов, старший помощник капитана судна, написал заявление, разоблачающее преступную деятельность своих товарищей по работе. Через несколько дней при загадочных обстоятельствах он разбивается на машине. Работники уголовного розыска расследуют дело о гибели морского офицера.</t>
        </is>
      </c>
      <c r="L2985" s="2" t="inlineStr">
        <is>
          <t>Кино_СССР сводный каталог.xlsx: список телефильмов</t>
        </is>
      </c>
      <c r="M2985" s="2">
        <f>HYPERLINK("https://ru.wikipedia.org/w/index.php?search=%D0%9A%D1%80%D1%83%D1%82%D0%BE%D0%B9%20%D0%BF%D0%BE%D0%B2%D0%BE%D1%80%D0%BE%D1%82%201979%20%D1%84%D0%B8%D0%BB%D1%8C%D0%BC","искать")</f>
        <v/>
      </c>
      <c r="N2985" s="3" t="n"/>
      <c r="O2985" s="2" t="n"/>
    </row>
    <row r="2986">
      <c r="A2986" s="2" t="n">
        <v>2985</v>
      </c>
      <c r="B2986" s="2" t="inlineStr"/>
      <c r="C2986" s="2" t="n">
        <v>7979</v>
      </c>
      <c r="D2986" s="3" t="inlineStr">
        <is>
          <t>Неизвестный солдат</t>
        </is>
      </c>
      <c r="E2986" s="2" t="n">
        <v>1984</v>
      </c>
      <c r="F2986" s="2" t="inlineStr">
        <is>
          <t>телефильм</t>
        </is>
      </c>
      <c r="G2986" s="2" t="n"/>
      <c r="H2986" s="2" t="n">
        <v>307</v>
      </c>
      <c r="I2986" s="2" t="inlineStr"/>
      <c r="J2986" s="2" t="inlineStr"/>
      <c r="K2986" s="3" t="inlineStr">
        <is>
          <t>По одноименной повести А.Рыбакова. Продолжение телефильма "Каникулы Кроша". Не попав в институт, Сергей Крашенинников приезжает к деду в небольшой городок и начинает работать в дорожной строительной бригаде. В ходе работ строители обнаруживают солдатскую могилу. Сергею поручают выяснить личность погибшего.</t>
        </is>
      </c>
      <c r="L2986" s="2" t="inlineStr">
        <is>
          <t>Кино_СССР сводный каталог.xlsx: список телефильмов</t>
        </is>
      </c>
      <c r="M2986" s="2">
        <f>HYPERLINK("https://ru.wikipedia.org/w/index.php?search=%D0%9D%D0%B5%D0%B8%D0%B7%D0%B2%D0%B5%D1%81%D1%82%D0%BD%D1%8B%D0%B9%20%D1%81%D0%BE%D0%BB%D0%B4%D0%B0%D1%82%201984%20%D1%84%D0%B8%D0%BB%D1%8C%D0%BC","искать")</f>
        <v/>
      </c>
      <c r="N2986" s="3" t="n"/>
      <c r="O2986" s="2" t="n"/>
    </row>
    <row r="2987">
      <c r="A2987" s="2" t="n">
        <v>2986</v>
      </c>
      <c r="B2987" s="2" t="inlineStr"/>
      <c r="C2987" s="2" t="n">
        <v>8052</v>
      </c>
      <c r="D2987" s="3" t="inlineStr">
        <is>
          <t>Осенние утренники</t>
        </is>
      </c>
      <c r="E2987" s="2" t="n">
        <v>1985</v>
      </c>
      <c r="F2987" s="2" t="inlineStr">
        <is>
          <t>телефильм</t>
        </is>
      </c>
      <c r="G2987" s="2" t="n"/>
      <c r="H2987" s="2" t="n">
        <v>307</v>
      </c>
      <c r="I2987" s="2" t="inlineStr"/>
      <c r="J2987" s="2" t="inlineStr"/>
      <c r="K2987" s="3" t="inlineStr">
        <is>
          <t>Киноповесть о повседневной жизни людей в сельской местности, их работе в колхозе и отношении к своему делу. В отличие от тех, кто выполняет свои обязанности по командам партийного руководства, доярка Прасковья Лихолетова относится к тем людям, которые не проходят мимо бесхозяйственности и несправедливости.</t>
        </is>
      </c>
      <c r="L2987" s="2" t="inlineStr">
        <is>
          <t>Кино_СССР сводный каталог.xlsx: список телефильмов</t>
        </is>
      </c>
      <c r="M2987" s="2">
        <f>HYPERLINK("https://ru.wikipedia.org/w/index.php?search=%D0%9E%D1%81%D0%B5%D0%BD%D0%BD%D0%B8%D0%B5%20%D1%83%D1%82%D1%80%D0%B5%D0%BD%D0%BD%D0%B8%D0%BA%D0%B8%201985%20%D1%84%D0%B8%D0%BB%D1%8C%D0%BC","искать")</f>
        <v/>
      </c>
      <c r="N2987" s="3" t="n"/>
      <c r="O2987" s="2" t="n"/>
    </row>
    <row r="2988">
      <c r="A2988" s="2" t="n">
        <v>2987</v>
      </c>
      <c r="B2988" s="2" t="inlineStr"/>
      <c r="C2988" s="2" t="n">
        <v>8253</v>
      </c>
      <c r="D2988" s="3" t="inlineStr">
        <is>
          <t>Радости земные</t>
        </is>
      </c>
      <c r="E2988" s="2" t="n">
        <v>1988</v>
      </c>
      <c r="F2988" s="2" t="inlineStr">
        <is>
          <t>телефильм</t>
        </is>
      </c>
      <c r="G2988" s="2" t="n"/>
      <c r="H2988" s="2" t="n">
        <v>307</v>
      </c>
      <c r="I2988" s="2" t="inlineStr"/>
      <c r="J2988" s="2" t="inlineStr"/>
      <c r="K2988" s="3" t="inlineStr">
        <is>
          <t>Телефильм по одноименному роману Иосифа Герасимова о молодом солдате Василии Лемехове, вернувшемся после госпиталя и встретившего в Кишиневе молодую женщину Наташу. У нее есть сын Марк от бывшего мужа - Сергея. Молодые люди сближаются, но Сергей начинает ревновать, даже хочет убить Василия и похищает сына.</t>
        </is>
      </c>
      <c r="L2988" s="2" t="inlineStr">
        <is>
          <t>Кино_СССР сводный каталог.xlsx: список телефильмов</t>
        </is>
      </c>
      <c r="M2988" s="2">
        <f>HYPERLINK("https://ru.wikipedia.org/w/index.php?search=%D0%A0%D0%B0%D0%B4%D0%BE%D1%81%D1%82%D0%B8%20%D0%B7%D0%B5%D0%BC%D0%BD%D1%8B%D0%B5%201988%20%D1%84%D0%B8%D0%BB%D1%8C%D0%BC","искать")</f>
        <v/>
      </c>
      <c r="N2988" s="3" t="n"/>
      <c r="O2988" s="2" t="n"/>
    </row>
    <row r="2989">
      <c r="A2989" s="2" t="n">
        <v>2988</v>
      </c>
      <c r="B2989" s="2" t="inlineStr"/>
      <c r="C2989" s="2" t="n">
        <v>8855</v>
      </c>
      <c r="D2989" s="3" t="inlineStr">
        <is>
          <t>Мы везём с собой кота</t>
        </is>
      </c>
      <c r="E2989" s="2" t="n">
        <v>1989</v>
      </c>
      <c r="F2989" s="2" t="inlineStr">
        <is>
          <t>кинофильм</t>
        </is>
      </c>
      <c r="G2989" s="2" t="n"/>
      <c r="H2989" s="2" t="n">
        <v>307</v>
      </c>
      <c r="I2989" s="2" t="inlineStr"/>
      <c r="J2989" s="2" t="inlineStr"/>
      <c r="K2989" s="3" t="inlineStr">
        <is>
          <t>«Мы везем с собой кота…», эту весёлую «Песенку друзей» пели дети, больные костным туберкулёзом, когда их под обстрелом гитлеровцев эвакуировали из санатория в далёком 1941 году. Этот фильм – подлинный урок мужества и милосердия, фильм-воспоминание и напоминание о страшных годах Великой Отечественной войны.</t>
        </is>
      </c>
      <c r="L2989" s="2" t="inlineStr">
        <is>
          <t>Кино_СССР сводный каталог.xlsx: список фильмов (доп.)</t>
        </is>
      </c>
      <c r="M2989" s="2">
        <f>HYPERLINK("https://ru.wikipedia.org/w/index.php?search=%D0%9C%D1%8B%20%D0%B2%D0%B5%D0%B7%D1%91%D0%BC%20%D1%81%20%D1%81%D0%BE%D0%B1%D0%BE%D0%B9%20%D0%BA%D0%BE%D1%82%D0%B0%201989%20%D1%84%D0%B8%D0%BB%D1%8C%D0%BC","искать")</f>
        <v/>
      </c>
      <c r="N2989" s="3" t="n"/>
      <c r="O2989" s="2" t="n"/>
    </row>
    <row r="2990">
      <c r="A2990" s="2" t="n">
        <v>2989</v>
      </c>
      <c r="B2990" s="2" t="inlineStr"/>
      <c r="C2990" s="2" t="n">
        <v>8876</v>
      </c>
      <c r="D2990" s="3" t="inlineStr">
        <is>
          <t>Новая Шахерезада</t>
        </is>
      </c>
      <c r="E2990" s="2" t="n">
        <v>1990</v>
      </c>
      <c r="F2990" s="2" t="inlineStr">
        <is>
          <t>кинофильм</t>
        </is>
      </c>
      <c r="G2990" s="2" t="n"/>
      <c r="H2990" s="2" t="n">
        <v>307</v>
      </c>
      <c r="I2990" s="2" t="inlineStr"/>
      <c r="J2990" s="2" t="inlineStr"/>
      <c r="K2990" s="3" t="inlineStr">
        <is>
          <t>Марина познакомилась на курорте с обаятельным мужчиной, который подарил ей незабываемые два часа любви, которые оставались у него до вылета из аэропорта. Прошло время и Марина приезжает в Ленинград в гости к своему принцу, но того не оказывается дома. Скитаясь по незнакомому городу, она попадает в милицию.</t>
        </is>
      </c>
      <c r="L2990" s="2" t="inlineStr">
        <is>
          <t>Кино_СССР сводный каталог.xlsx: список фильмов (доп.)</t>
        </is>
      </c>
      <c r="M2990" s="2">
        <f>HYPERLINK("https://ru.wikipedia.org/w/index.php?search=%D0%9D%D0%BE%D0%B2%D0%B0%D1%8F%20%D0%A8%D0%B0%D1%85%D0%B5%D1%80%D0%B5%D0%B7%D0%B0%D0%B4%D0%B0%201990%20%D1%84%D0%B8%D0%BB%D1%8C%D0%BC","искать")</f>
        <v/>
      </c>
      <c r="N2990" s="3" t="n"/>
      <c r="O2990" s="2" t="n"/>
    </row>
    <row r="2991">
      <c r="A2991" s="2" t="n">
        <v>2990</v>
      </c>
      <c r="B2991" s="2" t="inlineStr"/>
      <c r="C2991" s="2" t="n">
        <v>8899</v>
      </c>
      <c r="D2991" s="3" t="inlineStr">
        <is>
          <t>Опыт бреда любовного очарования</t>
        </is>
      </c>
      <c r="E2991" s="2" t="n">
        <v>1991</v>
      </c>
      <c r="F2991" s="2" t="inlineStr">
        <is>
          <t>кинофильм</t>
        </is>
      </c>
      <c r="G2991" s="2" t="n"/>
      <c r="H2991" s="2" t="n">
        <v>307</v>
      </c>
      <c r="I2991" s="2" t="inlineStr"/>
      <c r="J2991" s="2" t="inlineStr"/>
      <c r="K2991" s="3" t="inlineStr">
        <is>
          <t>Он и Она - пациенты сумасшедшего дома. Их любовная история не поддается точному изложению. Мотивы действий неоднозначны. Но режиссер и не стремился выстроить рациональную схему сильной и выстраданной по-шекспировски любви. Скорее его волновал вопрос: что же происходит с душой, когда в нее вселяется любовь.</t>
        </is>
      </c>
      <c r="L2991" s="2" t="inlineStr">
        <is>
          <t>Кино_СССР сводный каталог.xlsx: список фильмов (доп.)</t>
        </is>
      </c>
      <c r="M2991" s="2">
        <f>HYPERLINK("https://ru.wikipedia.org/w/index.php?search=%D0%9E%D0%BF%D1%8B%D1%82%20%D0%B1%D1%80%D0%B5%D0%B4%D0%B0%20%D0%BB%D1%8E%D0%B1%D0%BE%D0%B2%D0%BD%D0%BE%D0%B3%D0%BE%20%D0%BE%D1%87%D0%B0%D1%80%D0%BE%D0%B2%D0%B0%D0%BD%D0%B8%D1%8F%201991%20%D1%84%D0%B8%D0%BB%D1%8C%D0%BC","искать")</f>
        <v/>
      </c>
      <c r="N2991" s="3" t="n"/>
      <c r="O2991" s="2" t="n"/>
    </row>
    <row r="2992">
      <c r="A2992" s="2" t="n">
        <v>2991</v>
      </c>
      <c r="B2992" s="2" t="inlineStr"/>
      <c r="C2992" s="2" t="n">
        <v>9090</v>
      </c>
      <c r="D2992" s="3" t="inlineStr">
        <is>
          <t>Там, где горы белые…</t>
        </is>
      </c>
      <c r="E2992" s="2" t="n">
        <v>1973</v>
      </c>
      <c r="F2992" s="2" t="inlineStr">
        <is>
          <t>кинофильм</t>
        </is>
      </c>
      <c r="G2992" s="2" t="n"/>
      <c r="H2992" s="2" t="n">
        <v>307</v>
      </c>
      <c r="I2992" s="2" t="inlineStr"/>
      <c r="J2992" s="2" t="inlineStr"/>
      <c r="K2992" s="3" t="inlineStr">
        <is>
          <t>Судьба особенно не жаловала старого Мырзагали, а он не любил людей. Но свою белую верблюдицу, ариану, он берег и души в ней не чаял. А когда заболел и слег в больницу, Ариане подрезали жилки глаз, чтобы она приняла местного самца и больше не смотрела в сторону белых гор. Родив, Ариана окончательно ослепла.</t>
        </is>
      </c>
      <c r="L2992" s="2" t="inlineStr">
        <is>
          <t>Кино_СССР сводный каталог.xlsx: список фильмов (доп.)</t>
        </is>
      </c>
      <c r="M2992" s="2">
        <f>HYPERLINK("https://ru.wikipedia.org/w/index.php?search=%D0%A2%D0%B0%D0%BC%2C%20%D0%B3%D0%B4%D0%B5%20%D0%B3%D0%BE%D1%80%D1%8B%20%D0%B1%D0%B5%D0%BB%D1%8B%D0%B5%E2%80%A6%201973%20%D1%84%D0%B8%D0%BB%D1%8C%D0%BC","искать")</f>
        <v/>
      </c>
      <c r="N2992" s="3" t="n"/>
      <c r="O2992" s="2" t="n"/>
    </row>
    <row r="2993">
      <c r="A2993" s="2" t="n">
        <v>2992</v>
      </c>
      <c r="B2993" s="2" t="inlineStr"/>
      <c r="C2993" s="2" t="n">
        <v>9320</v>
      </c>
      <c r="D2993" s="3" t="inlineStr">
        <is>
          <t>Дайте жалобную книгу</t>
        </is>
      </c>
      <c r="E2993" s="2" t="n">
        <v>1965</v>
      </c>
      <c r="F2993" s="2" t="inlineStr">
        <is>
          <t>кинофильм</t>
        </is>
      </c>
      <c r="G2993" s="2" t="n"/>
      <c r="H2993" s="2" t="n">
        <v>307</v>
      </c>
      <c r="I2993" s="2" t="inlineStr"/>
      <c r="J2993" s="2" t="inlineStr"/>
      <c r="K2993" s="3" t="inlineStr">
        <is>
          <t>Ресторан "Одуванчик" пользуется дурной славой. В нем грязно, готовят невкусно, персонал грубый. Жалобы на директора ресторана Татьяну Шумову следуют одна за другой. О том, как журналисту Юрию Никитину и его друзьям удалось помочь Шумовой и сделать "Одуванчик" образцовым молодежным кафе, рассказывает фильм.</t>
        </is>
      </c>
      <c r="L2993" s="2" t="inlineStr">
        <is>
          <t>Кино_СССР сводный каталог.xlsx: список фильмов (доп.)</t>
        </is>
      </c>
      <c r="M2993" s="2">
        <f>HYPERLINK("https://ru.wikipedia.org/w/index.php?search=%D0%94%D0%B0%D0%B9%D1%82%D0%B5%20%D0%B6%D0%B0%D0%BB%D0%BE%D0%B1%D0%BD%D1%83%D1%8E%20%D0%BA%D0%BD%D0%B8%D0%B3%D1%83%201965%20%D1%84%D0%B8%D0%BB%D1%8C%D0%BC","искать")</f>
        <v/>
      </c>
      <c r="N2993" s="3" t="n"/>
      <c r="O2993" s="2" t="n"/>
    </row>
    <row r="2994">
      <c r="A2994" s="2" t="n">
        <v>2993</v>
      </c>
      <c r="B2994" s="2" t="inlineStr"/>
      <c r="C2994" s="2" t="n">
        <v>9569</v>
      </c>
      <c r="D2994" s="3" t="inlineStr">
        <is>
          <t>Полуночный блюз</t>
        </is>
      </c>
      <c r="E2994" s="2" t="n">
        <v>1991</v>
      </c>
      <c r="F2994" s="2" t="inlineStr">
        <is>
          <t>кинофильм</t>
        </is>
      </c>
      <c r="G2994" s="2" t="n"/>
      <c r="H2994" s="2" t="n">
        <v>307</v>
      </c>
      <c r="I2994" s="2" t="inlineStr"/>
      <c r="J2994" s="2" t="inlineStr"/>
      <c r="K2994" s="3" t="inlineStr">
        <is>
          <t>Однажды киллеру поручают убить молодую девушку. Чтобы выполнить заказ, киллер проникает в квартиру жертвы. Рассматривая фотографии на стене квартиры, он понимает, что когда-то был тренером девушки, которую должен убрать. Киллер решает не выполнять заказ и защитить девушку. Теперь он сам становится мишенью.</t>
        </is>
      </c>
      <c r="L2994" s="2" t="inlineStr">
        <is>
          <t>Кино_СССР сводный каталог.xlsx: список фильмов (доп.)</t>
        </is>
      </c>
      <c r="M2994" s="2">
        <f>HYPERLINK("https://ru.wikipedia.org/w/index.php?search=%D0%9F%D0%BE%D0%BB%D1%83%D0%BD%D0%BE%D1%87%D0%BD%D1%8B%D0%B9%20%D0%B1%D0%BB%D1%8E%D0%B7%201991%20%D1%84%D0%B8%D0%BB%D1%8C%D0%BC","искать")</f>
        <v/>
      </c>
      <c r="N2994" s="3" t="n"/>
      <c r="O2994" s="2" t="n"/>
    </row>
    <row r="2995">
      <c r="A2995" s="2" t="n">
        <v>2994</v>
      </c>
      <c r="B2995" s="2" t="inlineStr"/>
      <c r="C2995" s="2" t="n">
        <v>10244</v>
      </c>
      <c r="D2995" s="3" t="inlineStr">
        <is>
          <t>Дон Кихот ведёт бой</t>
        </is>
      </c>
      <c r="E2995" s="2" t="n">
        <v>1968</v>
      </c>
      <c r="F2995" s="2" t="inlineStr">
        <is>
          <t>фильм-спектакль</t>
        </is>
      </c>
      <c r="G2995" s="2" t="inlineStr">
        <is>
          <t>Ленинградское телевидение</t>
        </is>
      </c>
      <c r="H2995" s="2" t="n">
        <v>307</v>
      </c>
      <c r="I2995" s="2" t="inlineStr"/>
      <c r="J2995" s="2" t="inlineStr"/>
      <c r="K2995" s="3" t="inlineStr">
        <is>
          <t>По пьесе В.Коростылева.
О первой русской экспедиции на Северный полюс. Полярный исследователь Егор Седой, не найдя поддержки у министров царского правительства, организует экспедицию на частные пожертвования заинтересованных лиц. На пути к полюсу, конечной цели Седого, он, обманутый поставщиками, погибает.</t>
        </is>
      </c>
      <c r="L2995" s="2" t="inlineStr">
        <is>
          <t>https://www.kino-teatr.ru/teatr/movie/108976/annot/</t>
        </is>
      </c>
      <c r="M2995" s="2">
        <f>HYPERLINK("https://ru.wikipedia.org/w/index.php?search=%D0%94%D0%BE%D0%BD%20%D0%9A%D0%B8%D1%85%D0%BE%D1%82%20%D0%B2%D0%B5%D0%B4%D1%91%D1%82%20%D0%B1%D0%BE%D0%B9%201968%20%D1%84%D0%B8%D0%BB%D1%8C%D0%BC","искать")</f>
        <v/>
      </c>
      <c r="N2995" s="3" t="n"/>
      <c r="O2995" s="2" t="n"/>
    </row>
    <row r="2996">
      <c r="A2996" s="2" t="n">
        <v>2995</v>
      </c>
      <c r="B2996" s="2" t="inlineStr"/>
      <c r="C2996" s="2" t="n">
        <v>11389</v>
      </c>
      <c r="D2996" s="3" t="inlineStr">
        <is>
          <t>Лирическое настроение</t>
        </is>
      </c>
      <c r="E2996" s="2" t="n">
        <v>1974</v>
      </c>
      <c r="F2996" s="2" t="inlineStr">
        <is>
          <t>не игровое</t>
        </is>
      </c>
      <c r="G2996" s="2" t="n"/>
      <c r="H2996" s="2" t="n">
        <v>307</v>
      </c>
      <c r="I2996" s="2" t="inlineStr"/>
      <c r="J2996" s="2" t="inlineStr"/>
      <c r="K2996" s="3" t="inlineStr">
        <is>
          <t>Фильм-концерт из песен Станислава Пожлакова в исполнении Эдиты Пьехи, Эдуарда Хиля, Валентины Беловой, Нины Косты, Герты Юхиной, Виталия Каратаева. Композитор Станислав Пожлаков снят во время прогулок по городу - на набережных Невы, у Исаакиевского собора и в студии звукозаписи во время работы с оркестром.</t>
        </is>
      </c>
      <c r="L2996" s="2" t="inlineStr">
        <is>
          <t>Кино_СССР телефильмы и пропуски включить в базу.xlsx</t>
        </is>
      </c>
      <c r="M2996" s="2">
        <f>HYPERLINK("https://ru.wikipedia.org/w/index.php?search=%D0%9B%D0%B8%D1%80%D0%B8%D1%87%D0%B5%D1%81%D0%BA%D0%BE%D0%B5%20%D0%BD%D0%B0%D1%81%D1%82%D1%80%D0%BE%D0%B5%D0%BD%D0%B8%D0%B5%201974%20%D1%84%D0%B8%D0%BB%D1%8C%D0%BC","искать")</f>
        <v/>
      </c>
      <c r="N2996" s="3" t="n"/>
      <c r="O2996" s="2" t="n"/>
    </row>
    <row r="2997">
      <c r="A2997" s="2" t="n">
        <v>2996</v>
      </c>
      <c r="B2997" s="2" t="inlineStr"/>
      <c r="C2997" s="2" t="n">
        <v>7333</v>
      </c>
      <c r="D2997" s="3" t="inlineStr">
        <is>
          <t>Вечерницы</t>
        </is>
      </c>
      <c r="E2997" s="2" t="n">
        <v>1986</v>
      </c>
      <c r="F2997" s="2" t="inlineStr">
        <is>
          <t>телефильм</t>
        </is>
      </c>
      <c r="G2997" s="2" t="n"/>
      <c r="H2997" s="2" t="n">
        <v>308</v>
      </c>
      <c r="I2997" s="2" t="inlineStr"/>
      <c r="J2997" s="2" t="inlineStr"/>
      <c r="K2997" s="3" t="inlineStr">
        <is>
          <t>Телефильм по мотивам классических украинских водевилей. Четверо друзей отправляются в парк развлечений, где обнаруживают необычный аттракцион, работающий как машина времени и переносящий всех желающих в прошлое, в сюжеты старых водевилей... В фильме участвуют артисты Государственного академического хора им.</t>
        </is>
      </c>
      <c r="L2997" s="2" t="inlineStr">
        <is>
          <t>Кино_СССР сводный каталог.xlsx: список телефильмов</t>
        </is>
      </c>
      <c r="M2997" s="2">
        <f>HYPERLINK("https://ru.wikipedia.org/w/index.php?search=%D0%92%D0%B5%D1%87%D0%B5%D1%80%D0%BD%D0%B8%D1%86%D1%8B%201986%20%D1%84%D0%B8%D0%BB%D1%8C%D0%BC","искать")</f>
        <v/>
      </c>
      <c r="N2997" s="3" t="n"/>
      <c r="O2997" s="2" t="n"/>
    </row>
    <row r="2998">
      <c r="A2998" s="2" t="n">
        <v>2997</v>
      </c>
      <c r="B2998" s="2" t="inlineStr"/>
      <c r="C2998" s="2" t="n">
        <v>7526</v>
      </c>
      <c r="D2998" s="3" t="inlineStr">
        <is>
          <t>Документ "Р"</t>
        </is>
      </c>
      <c r="E2998" s="2" t="n">
        <v>1985</v>
      </c>
      <c r="F2998" s="2" t="inlineStr">
        <is>
          <t>телефильм</t>
        </is>
      </c>
      <c r="G2998" s="2" t="inlineStr">
        <is>
          <t>Беларусьфильм</t>
        </is>
      </c>
      <c r="H2998" s="2" t="n">
        <v>308</v>
      </c>
      <c r="I2998" s="2" t="inlineStr"/>
      <c r="J2998" s="2" t="inlineStr"/>
      <c r="K2998" s="3" t="inlineStr">
        <is>
          <t>Телевизионный фильм по одноименному роману Ирвинга Уоллеса (в переводе Ю. Зараховича). Действие происходит в канун ХХI века. Реакционные и агрессивные круги США стремятся установить в стране диктатуру, готовят убийство президента и введение в стране чрезвычайного положения. Заговор возглавляет директор ФБР.</t>
        </is>
      </c>
      <c r="L2998" s="2" t="inlineStr">
        <is>
          <t>Кино_СССР сводный каталог.xlsx: список телефильмов</t>
        </is>
      </c>
      <c r="M2998" s="2">
        <f>HYPERLINK("https://ru.wikipedia.org/w/index.php?search=%D0%94%D0%BE%D0%BA%D1%83%D0%BC%D0%B5%D0%BD%D1%82%20%22%D0%A0%22%201985%20%D1%84%D0%B8%D0%BB%D1%8C%D0%BC","искать")</f>
        <v/>
      </c>
      <c r="N2998" s="3" t="n"/>
      <c r="O2998" s="2" t="n"/>
    </row>
    <row r="2999">
      <c r="A2999" s="2" t="n">
        <v>2998</v>
      </c>
      <c r="B2999" s="2" t="inlineStr"/>
      <c r="C2999" s="2" t="n">
        <v>7579</v>
      </c>
      <c r="D2999" s="3" t="inlineStr">
        <is>
          <t>Ещё до войны</t>
        </is>
      </c>
      <c r="E2999" s="2" t="n">
        <v>1982</v>
      </c>
      <c r="F2999" s="2" t="inlineStr">
        <is>
          <t>телефильм</t>
        </is>
      </c>
      <c r="G2999" s="2" t="n"/>
      <c r="H2999" s="2" t="n">
        <v>308</v>
      </c>
      <c r="I2999" s="2" t="inlineStr"/>
      <c r="J2999" s="2" t="inlineStr"/>
      <c r="K2999" s="3" t="inlineStr">
        <is>
          <t>Телефильм по мотивам одноименного произведения Виля Липатова. Тихо и мирно живет деревушка Улым. После службы в армии домой возвращается Анатолий Трифонов. Отец хочет, чтобы он срочно женился. В деревне много невест. Но из города приезжает племянница председателя, хрупкая и не похожая на других девушка Рая.</t>
        </is>
      </c>
      <c r="L2999" s="2" t="inlineStr">
        <is>
          <t>Кино_СССР сводный каталог.xlsx: список телефильмов</t>
        </is>
      </c>
      <c r="M2999" s="2">
        <f>HYPERLINK("https://ru.wikipedia.org/w/index.php?search=%D0%95%D1%89%D1%91%20%D0%B4%D0%BE%20%D0%B2%D0%BE%D0%B9%D0%BD%D1%8B%201982%20%D1%84%D0%B8%D0%BB%D1%8C%D0%BC","искать")</f>
        <v/>
      </c>
      <c r="N2999" s="3" t="n"/>
      <c r="O2999" s="2" t="n"/>
    </row>
    <row r="3000">
      <c r="A3000" s="2" t="n">
        <v>2999</v>
      </c>
      <c r="B3000" s="2" t="inlineStr"/>
      <c r="C3000" s="2" t="n">
        <v>7751</v>
      </c>
      <c r="D3000" s="3" t="inlineStr">
        <is>
          <t>Конфликтная ситуация</t>
        </is>
      </c>
      <c r="E3000" s="2" t="n">
        <v>1981</v>
      </c>
      <c r="F3000" s="2" t="inlineStr">
        <is>
          <t>телефильм</t>
        </is>
      </c>
      <c r="G3000" s="2" t="n"/>
      <c r="H3000" s="2" t="n">
        <v>308</v>
      </c>
      <c r="I3000" s="2" t="inlineStr"/>
      <c r="J3000" s="2" t="inlineStr"/>
      <c r="K3000" s="3" t="inlineStr">
        <is>
          <t>Телефильм. Когда-то Сергей Алтынцев и Юрий Воскобойников были друзьями, вместе учились в школе, вместе окончили институт. Потом Юрий уехал на Урал, а Сергей остался в Москве. Вначале они переписывались, и Юрий подкинул Сереге одну из своих замечательных идей, которую не смог реализовать на уральском заводе.</t>
        </is>
      </c>
      <c r="L3000" s="2" t="inlineStr">
        <is>
          <t>Кино_СССР сводный каталог.xlsx: список телефильмов</t>
        </is>
      </c>
      <c r="M3000" s="2">
        <f>HYPERLINK("https://ru.wikipedia.org/w/index.php?search=%D0%9A%D0%BE%D0%BD%D1%84%D0%BB%D0%B8%D0%BA%D1%82%D0%BD%D0%B0%D1%8F%20%D1%81%D0%B8%D1%82%D1%83%D0%B0%D1%86%D0%B8%D1%8F%201981%20%D1%84%D0%B8%D0%BB%D1%8C%D0%BC","искать")</f>
        <v/>
      </c>
      <c r="N3000" s="3" t="n"/>
      <c r="O3000" s="2" t="n"/>
    </row>
    <row r="3001">
      <c r="A3001" s="2" t="n">
        <v>3000</v>
      </c>
      <c r="B3001" s="2" t="inlineStr"/>
      <c r="C3001" s="2" t="n">
        <v>7959</v>
      </c>
      <c r="D3001" s="3" t="inlineStr">
        <is>
          <t>Не было бы счастья...</t>
        </is>
      </c>
      <c r="E3001" s="2" t="n">
        <v>1983</v>
      </c>
      <c r="F3001" s="2" t="inlineStr">
        <is>
          <t>телефильм</t>
        </is>
      </c>
      <c r="G3001" s="2" t="n"/>
      <c r="H3001" s="2" t="n">
        <v>308</v>
      </c>
      <c r="I3001" s="2" t="inlineStr"/>
      <c r="J3001" s="2" t="inlineStr"/>
      <c r="K3001" s="3" t="inlineStr">
        <is>
          <t>Шесть человек застревают в лифте. Никто не приходит к ним на помощь, так как отключивший лифт диспетчер и все соседи с увлечением смотрят трансляцию футбольного матча. Сначала герои фильма ссорятся, но когда двери лифта открываются, то выходить им не хочется - они успели подружиться, а двое даже влюбились .</t>
        </is>
      </c>
      <c r="L3001" s="2" t="inlineStr">
        <is>
          <t>Кино_СССР сводный каталог.xlsx: список телефильмов</t>
        </is>
      </c>
      <c r="M3001" s="2">
        <f>HYPERLINK("https://ru.wikipedia.org/w/index.php?search=%D0%9D%D0%B5%20%D0%B1%D1%8B%D0%BB%D0%BE%20%D0%B1%D1%8B%20%D1%81%D1%87%D0%B0%D1%81%D1%82%D1%8C%D1%8F...%201983%20%D1%84%D0%B8%D0%BB%D1%8C%D0%BC","искать")</f>
        <v/>
      </c>
      <c r="N3001" s="3" t="n"/>
      <c r="O3001" s="2" t="n"/>
    </row>
    <row r="3002">
      <c r="A3002" s="2" t="n">
        <v>3001</v>
      </c>
      <c r="B3002" s="2" t="inlineStr"/>
      <c r="C3002" s="2" t="n">
        <v>8504</v>
      </c>
      <c r="D3002" s="3" t="inlineStr">
        <is>
          <t>Уроки французского</t>
        </is>
      </c>
      <c r="E3002" s="2" t="n">
        <v>1978</v>
      </c>
      <c r="F3002" s="2" t="inlineStr">
        <is>
          <t>телефильм</t>
        </is>
      </c>
      <c r="G3002" s="2" t="inlineStr">
        <is>
          <t>Киностудия «Мосфильм»; Творческое объединение телевизионных фильмов</t>
        </is>
      </c>
      <c r="H3002" s="2" t="n">
        <v>308</v>
      </c>
      <c r="I3002" s="2" t="inlineStr"/>
      <c r="J3002" s="2" t="inlineStr"/>
      <c r="K3002" s="3" t="inlineStr">
        <is>
          <t>Телефильм по мотивам рассказа Валентина Распутина. Послевоенные годы. Одиннадцатилетнего Володю мать отправляет из деревни в райцентр учиться. Мальчик селится у женщины, потерявшей на фронте мужа и оставшейся с тремя детьми. Молоденькая учительница французского языка Лидия Михайловна пытается помочь Володе.</t>
        </is>
      </c>
      <c r="L3002" s="2" t="inlineStr">
        <is>
          <t>Кино_СССР сводный каталог.xlsx: список телефильмов</t>
        </is>
      </c>
      <c r="M3002" s="2">
        <f>HYPERLINK("https://ru.wikipedia.org/w/index.php?search=%D0%A3%D1%80%D0%BE%D0%BA%D0%B8%20%D1%84%D1%80%D0%B0%D0%BD%D1%86%D1%83%D0%B7%D1%81%D0%BA%D0%BE%D0%B3%D0%BE%201978%20%D1%84%D0%B8%D0%BB%D1%8C%D0%BC","искать")</f>
        <v/>
      </c>
      <c r="N3002" s="3" t="n"/>
      <c r="O3002" s="2" t="n"/>
    </row>
    <row r="3003">
      <c r="A3003" s="2" t="n">
        <v>3002</v>
      </c>
      <c r="B3003" s="2" t="inlineStr"/>
      <c r="C3003" s="2" t="n">
        <v>8581</v>
      </c>
      <c r="D3003" s="3" t="inlineStr">
        <is>
          <t>Школа</t>
        </is>
      </c>
      <c r="E3003" s="2" t="n">
        <v>1980</v>
      </c>
      <c r="F3003" s="2" t="inlineStr">
        <is>
          <t>телефильм</t>
        </is>
      </c>
      <c r="G3003" s="2" t="inlineStr">
        <is>
          <t>Одесская к/с</t>
        </is>
      </c>
      <c r="H3003" s="2" t="n">
        <v>308</v>
      </c>
      <c r="I3003" s="2" t="inlineStr"/>
      <c r="J3003" s="2" t="inlineStr"/>
      <c r="K3003" s="3" t="inlineStr">
        <is>
          <t>Телесериал по мотивам одноименной повести Аркадия Гайдара. Действие фильма происходит в годы гражданской войны. Пятнадцатилетний подросток из провинции, став бойцом Красной Армии, успешно проходит начало большого пути школы мужества.. Первая серия — "Беглец" Вторая серия — "Чубук" Третья серия — "Запевала".</t>
        </is>
      </c>
      <c r="L3003" s="2" t="inlineStr">
        <is>
          <t>Кино_СССР сводный каталог.xlsx: список телефильмов</t>
        </is>
      </c>
      <c r="M3003" s="2">
        <f>HYPERLINK("https://ru.wikipedia.org/w/index.php?search=%D0%A8%D0%BA%D0%BE%D0%BB%D0%B0%201980%20%D1%84%D0%B8%D0%BB%D1%8C%D0%BC","искать")</f>
        <v/>
      </c>
      <c r="N3003" s="3" t="n"/>
      <c r="O3003" s="2" t="n"/>
    </row>
    <row r="3004">
      <c r="A3004" s="2" t="n">
        <v>3003</v>
      </c>
      <c r="B3004" s="2" t="inlineStr"/>
      <c r="C3004" s="2" t="n">
        <v>8655</v>
      </c>
      <c r="D3004" s="3" t="inlineStr">
        <is>
          <t>Взгляд змия</t>
        </is>
      </c>
      <c r="E3004" s="2" t="n">
        <v>1990</v>
      </c>
      <c r="F3004" s="2" t="inlineStr">
        <is>
          <t>кинофильм</t>
        </is>
      </c>
      <c r="G3004" s="2" t="n"/>
      <c r="H3004" s="2" t="n">
        <v>308</v>
      </c>
      <c r="I3004" s="2" t="inlineStr"/>
      <c r="J3004" s="2" t="inlineStr"/>
      <c r="K3004" s="3" t="inlineStr">
        <is>
          <t>По одноименному роману С.-Т.Кондротаса. История жизни разбойника Мейжиса, действие происходит в тридцатые годы. Осиротев в детстве, он вынужден наняться батраком к своему единственному родственнику. Несправедливое жестокое наказание хозяина за безобидную детскую провинность сыграло роковую роль в его жизни.</t>
        </is>
      </c>
      <c r="L3004" s="2" t="inlineStr">
        <is>
          <t>Кино_СССР сводный каталог.xlsx: список фильмов (доп.)</t>
        </is>
      </c>
      <c r="M3004" s="2">
        <f>HYPERLINK("https://ru.wikipedia.org/w/index.php?search=%D0%92%D0%B7%D0%B3%D0%BB%D1%8F%D0%B4%20%D0%B7%D0%BC%D0%B8%D1%8F%201990%20%D1%84%D0%B8%D0%BB%D1%8C%D0%BC","искать")</f>
        <v/>
      </c>
      <c r="N3004" s="3" t="n"/>
      <c r="O3004" s="2" t="n"/>
    </row>
    <row r="3005">
      <c r="A3005" s="2" t="n">
        <v>3004</v>
      </c>
      <c r="B3005" s="2" t="inlineStr"/>
      <c r="C3005" s="2" t="n">
        <v>9197</v>
      </c>
      <c r="D3005" s="3" t="inlineStr">
        <is>
          <t>Абориген</t>
        </is>
      </c>
      <c r="E3005" s="2" t="n">
        <v>1988</v>
      </c>
      <c r="F3005" s="2" t="inlineStr">
        <is>
          <t>кинофильм</t>
        </is>
      </c>
      <c r="G3005" s="2" t="inlineStr">
        <is>
          <t>к/с им. Горького</t>
        </is>
      </c>
      <c r="H3005" s="2" t="n">
        <v>308</v>
      </c>
      <c r="I3005" s="2" t="inlineStr"/>
      <c r="J3005" s="2" t="inlineStr"/>
      <c r="K3005" s="3" t="inlineStr">
        <is>
          <t>Отец пятнадцатилетнего Борьки Хромова утонул по пьянке. Мать его бросила. Он никому не нужен на этом свете. В очередной летний сезон мечта уехать из Сургута остается мечтой, мир взрослых - совсем чужой мир. Даже тайга предаст его, когда ночью он пойдет браконьерствовать и столкнется со скрывающимися зэками.</t>
        </is>
      </c>
      <c r="L3005" s="2" t="inlineStr">
        <is>
          <t>Кино_СССР сводный каталог.xlsx: список фильмов (доп.)</t>
        </is>
      </c>
      <c r="M3005" s="2">
        <f>HYPERLINK("https://ru.wikipedia.org/w/index.php?search=%D0%90%D0%B1%D0%BE%D1%80%D0%B8%D0%B3%D0%B5%D0%BD%201988%20%D1%84%D0%B8%D0%BB%D1%8C%D0%BC","искать")</f>
        <v/>
      </c>
      <c r="N3005" s="3" t="n"/>
      <c r="O3005" s="2" t="n"/>
    </row>
    <row r="3006">
      <c r="A3006" s="2" t="n">
        <v>3005</v>
      </c>
      <c r="B3006" s="2" t="inlineStr"/>
      <c r="C3006" s="2" t="n">
        <v>9543</v>
      </c>
      <c r="D3006" s="3" t="inlineStr">
        <is>
          <t>Папа, умер Дед Мороз</t>
        </is>
      </c>
      <c r="E3006" s="2" t="n">
        <v>1991</v>
      </c>
      <c r="F3006" s="2" t="inlineStr">
        <is>
          <t>кинофильм</t>
        </is>
      </c>
      <c r="G3006" s="2" t="n"/>
      <c r="H3006" s="2" t="n">
        <v>308</v>
      </c>
      <c r="I3006" s="2" t="inlineStr"/>
      <c r="J3006" s="2" t="inlineStr"/>
      <c r="K3006" s="3" t="inlineStr">
        <is>
          <t>В основе фильма "Папа, умер дед Мороз!" лежит предложенная Алексеем Германом идея экранизировать "Семью вурдалака" Алексея Толстого. Однако конечный результат имеет мало общего с первоисточником. В подвале странная пара - дедушка и мальчик - расставляют петли-ловушки, чтобы поймать-повесить человека-добычу.</t>
        </is>
      </c>
      <c r="L3006" s="2" t="inlineStr">
        <is>
          <t>Кино_СССР сводный каталог.xlsx: список фильмов (доп.)</t>
        </is>
      </c>
      <c r="M3006" s="2">
        <f>HYPERLINK("https://ru.wikipedia.org/w/index.php?search=%D0%9F%D0%B0%D0%BF%D0%B0%2C%20%D1%83%D0%BC%D0%B5%D1%80%20%D0%94%D0%B5%D0%B4%20%D0%9C%D0%BE%D1%80%D0%BE%D0%B7%201991%20%D1%84%D0%B8%D0%BB%D1%8C%D0%BC","искать")</f>
        <v/>
      </c>
      <c r="N3006" s="3" t="n"/>
      <c r="O3006" s="2" t="n"/>
    </row>
    <row r="3007">
      <c r="A3007" s="2" t="n">
        <v>3006</v>
      </c>
      <c r="B3007" s="2" t="inlineStr"/>
      <c r="C3007" s="2" t="n">
        <v>9685</v>
      </c>
      <c r="D3007" s="3" t="inlineStr">
        <is>
          <t>Там, где нас нет</t>
        </is>
      </c>
      <c r="E3007" s="2" t="n">
        <v>1986</v>
      </c>
      <c r="F3007" s="2" t="inlineStr">
        <is>
          <t>кинофильм</t>
        </is>
      </c>
      <c r="G3007" s="2" t="n"/>
      <c r="H3007" s="2" t="n">
        <v>308</v>
      </c>
      <c r="I3007" s="2" t="inlineStr"/>
      <c r="J3007" s="2" t="inlineStr"/>
      <c r="K3007" s="3" t="inlineStr">
        <is>
          <t>Широкоформатный фильм. Приехав с отцом-профессором в Таллин, балерина Наташа влюбляется в руководителя рок-ансамбля Энна Лайда - и проводит с ним три дня. Уехав в Ленинград, чтобы продолжить работу над главной ролью в балете 'Ромео и Джульетта', Наташа начинает тосковать по возлюбленному и зовет его к себе.</t>
        </is>
      </c>
      <c r="L3007" s="2" t="inlineStr">
        <is>
          <t>Кино_СССР сводный каталог.xlsx: список фильмов (доп.)</t>
        </is>
      </c>
      <c r="M3007" s="2">
        <f>HYPERLINK("https://ru.wikipedia.org/w/index.php?search=%D0%A2%D0%B0%D0%BC%2C%20%D0%B3%D0%B4%D0%B5%20%D0%BD%D0%B0%D1%81%20%D0%BD%D0%B5%D1%82%201986%20%D1%84%D0%B8%D0%BB%D1%8C%D0%BC","искать")</f>
        <v/>
      </c>
      <c r="N3007" s="3" t="n"/>
      <c r="O3007" s="2" t="n"/>
    </row>
    <row r="3008">
      <c r="A3008" s="2" t="n">
        <v>3007</v>
      </c>
      <c r="B3008" s="2" t="inlineStr"/>
      <c r="C3008" s="2" t="n">
        <v>11374</v>
      </c>
      <c r="D3008" s="3" t="inlineStr">
        <is>
          <t>Испанский час</t>
        </is>
      </c>
      <c r="E3008" s="2" t="n">
        <v>1988</v>
      </c>
      <c r="F3008" s="2" t="inlineStr">
        <is>
          <t>фильм-опера/балет</t>
        </is>
      </c>
      <c r="G3008" s="2" t="inlineStr">
        <is>
          <t>Лентелефильм</t>
        </is>
      </c>
      <c r="H3008" s="2" t="n">
        <v>308</v>
      </c>
      <c r="I3008" s="2" t="inlineStr"/>
      <c r="J3008" s="2" t="inlineStr"/>
      <c r="K3008" s="3" t="inlineStr">
        <is>
          <t>Комическая опера на музыку Мориса Равеля. У Рамиро неприятность — сломались старинные дедовские часы, фамильная драгоценность. Погонщик мулов надеется на мастерство многоопытного Торквемады. Однако часовщик не может заняться клиентом: сегодня четверг — день, когда он осматривает и регулирует городские часы.</t>
        </is>
      </c>
      <c r="L3008" s="2" t="inlineStr">
        <is>
          <t>Кино_СССР телефильмы и пропуски включить в базу.xlsx</t>
        </is>
      </c>
      <c r="M3008" s="2">
        <f>HYPERLINK("https://ru.wikipedia.org/w/index.php?search=%D0%98%D1%81%D0%BF%D0%B0%D0%BD%D1%81%D0%BA%D0%B8%D0%B9%20%D1%87%D0%B0%D1%81%201988%20%D1%84%D0%B8%D0%BB%D1%8C%D0%BC","искать")</f>
        <v/>
      </c>
      <c r="N3008" s="3" t="n"/>
      <c r="O3008" s="2" t="n"/>
    </row>
    <row r="3009">
      <c r="A3009" s="2" t="n">
        <v>3008</v>
      </c>
      <c r="B3009" s="2" t="inlineStr"/>
      <c r="C3009" s="2" t="n">
        <v>7317</v>
      </c>
      <c r="D3009" s="3" t="inlineStr">
        <is>
          <t>Великий укротитель</t>
        </is>
      </c>
      <c r="E3009" s="2" t="n">
        <v>1974</v>
      </c>
      <c r="F3009" s="2" t="inlineStr">
        <is>
          <t>телефильм</t>
        </is>
      </c>
      <c r="G3009" s="2" t="inlineStr">
        <is>
          <t>Беларусьфильм</t>
        </is>
      </c>
      <c r="H3009" s="2" t="n">
        <v>309</v>
      </c>
      <c r="I3009" s="2" t="inlineStr"/>
      <c r="J3009" s="2" t="inlineStr"/>
      <c r="K3009" s="3" t="inlineStr">
        <is>
          <t>Телефильм. В одном провинциальном городке живет Савва Куликов. Он хороший экономист и у него есть одно замечательное хобби — он дрессирует животных: собаку, кошку, попугая. В один прекрасный день в его руки попала обезьянка-шимпанзе. Савва выдрессировал ее, и однажды выступил со своей новой подругой в цирке.</t>
        </is>
      </c>
      <c r="L3009" s="2" t="inlineStr">
        <is>
          <t>Кино_СССР сводный каталог.xlsx: список телефильмов</t>
        </is>
      </c>
      <c r="M3009" s="2">
        <f>HYPERLINK("https://ru.wikipedia.org/w/index.php?search=%D0%92%D0%B5%D0%BB%D0%B8%D0%BA%D0%B8%D0%B9%20%D1%83%D0%BA%D1%80%D0%BE%D1%82%D0%B8%D1%82%D0%B5%D0%BB%D1%8C%201974%20%D1%84%D0%B8%D0%BB%D1%8C%D0%BC","искать")</f>
        <v/>
      </c>
      <c r="N3009" s="3" t="n"/>
      <c r="O3009" s="2" t="n"/>
    </row>
    <row r="3010">
      <c r="A3010" s="2" t="n">
        <v>3009</v>
      </c>
      <c r="B3010" s="2" t="inlineStr"/>
      <c r="C3010" s="2" t="n">
        <v>7602</v>
      </c>
      <c r="D3010" s="3" t="inlineStr">
        <is>
          <t>Жизнь под клёном</t>
        </is>
      </c>
      <c r="E3010" s="2" t="n">
        <v>1988</v>
      </c>
      <c r="F3010" s="2" t="inlineStr">
        <is>
          <t>телефильм</t>
        </is>
      </c>
      <c r="G3010" s="2" t="n"/>
      <c r="H3010" s="2" t="n">
        <v>309</v>
      </c>
      <c r="I3010" s="2" t="inlineStr"/>
      <c r="J3010" s="2" t="inlineStr"/>
      <c r="K3010" s="3" t="inlineStr">
        <is>
          <t>Фильм снят по мотивам повести Ромуальдаса Гранаускаса. От большой деревни Будряй осталась лишь одна усадьба, в которой доживает последние дни старушка Кайрене... Бессмысленно гибнут муж и сын Кайрене, распадается семья, разваливается хозяйство. Последним ударом стало выселение жителей деревни на новое место.</t>
        </is>
      </c>
      <c r="L3010" s="2" t="inlineStr">
        <is>
          <t>Кино_СССР сводный каталог.xlsx: список телефильмов</t>
        </is>
      </c>
      <c r="M3010" s="2">
        <f>HYPERLINK("https://ru.wikipedia.org/w/index.php?search=%D0%96%D0%B8%D0%B7%D0%BD%D1%8C%20%D0%BF%D0%BE%D0%B4%20%D0%BA%D0%BB%D1%91%D0%BD%D0%BE%D0%BC%201988%20%D1%84%D0%B8%D0%BB%D1%8C%D0%BC","искать")</f>
        <v/>
      </c>
      <c r="N3010" s="3" t="n"/>
      <c r="O3010" s="2" t="n"/>
    </row>
    <row r="3011">
      <c r="A3011" s="2" t="n">
        <v>3010</v>
      </c>
      <c r="B3011" s="2" t="inlineStr"/>
      <c r="C3011" s="2" t="n">
        <v>7655</v>
      </c>
      <c r="D3011" s="3" t="inlineStr">
        <is>
          <t>Золотые литавры</t>
        </is>
      </c>
      <c r="E3011" s="2" t="n">
        <v>1971</v>
      </c>
      <c r="F3011" s="2" t="inlineStr">
        <is>
          <t>телефильм</t>
        </is>
      </c>
      <c r="G3011" s="2" t="inlineStr">
        <is>
          <t>Укртелефильм</t>
        </is>
      </c>
      <c r="H3011" s="2" t="n">
        <v>309</v>
      </c>
      <c r="I3011" s="2" t="inlineStr"/>
      <c r="J3011" s="2" t="inlineStr"/>
      <c r="K3011" s="3" t="inlineStr">
        <is>
          <t>Телефильм по мотивам новеллы О.Гончара "Подсолнухи"- лирическое повествование о селе конца 60-х- начала 70-х годов прошлого века, об его людях, их душевной красоте и трудовых буднях. В одно из живописных украинских сел приезжает скульптор, чтобы создать портрет Героя Социалистического Труда Меланьи Чобитько.</t>
        </is>
      </c>
      <c r="L3011" s="2" t="inlineStr">
        <is>
          <t>Кино_СССР сводный каталог.xlsx: список телефильмов</t>
        </is>
      </c>
      <c r="M3011" s="2">
        <f>HYPERLINK("https://ru.wikipedia.org/w/index.php?search=%D0%97%D0%BE%D0%BB%D0%BE%D1%82%D1%8B%D0%B5%20%D0%BB%D0%B8%D1%82%D0%B0%D0%B2%D1%80%D1%8B%201971%20%D1%84%D0%B8%D0%BB%D1%8C%D0%BC","искать")</f>
        <v/>
      </c>
      <c r="N3011" s="3" t="n"/>
      <c r="O3011" s="2" t="n"/>
    </row>
    <row r="3012">
      <c r="A3012" s="2" t="n">
        <v>3011</v>
      </c>
      <c r="B3012" s="2" t="inlineStr"/>
      <c r="C3012" s="2" t="n">
        <v>7676</v>
      </c>
      <c r="D3012" s="3" t="inlineStr">
        <is>
          <t>Идеальный пейзаж в пустыне</t>
        </is>
      </c>
      <c r="E3012" s="2" t="n">
        <v>1988</v>
      </c>
      <c r="F3012" s="2" t="inlineStr">
        <is>
          <t>телефильм</t>
        </is>
      </c>
      <c r="G3012" s="2" t="n"/>
      <c r="H3012" s="2" t="n">
        <v>309</v>
      </c>
      <c r="I3012" s="2" t="inlineStr"/>
      <c r="J3012" s="2" t="inlineStr"/>
      <c r="K3012" s="3" t="inlineStr">
        <is>
          <t>Молодой биолог Туран мечтает создать на чердаке своего дома оранжерею. Понимая, что реализация этой идеи требует больших затрат, он решает подработать. Туран согласился на предложение своего друга заняться "собачьим бизнесом" - вылавливать потерявшихся собак, а потом возвращать их за вознаграждение хозяевам.</t>
        </is>
      </c>
      <c r="L3012" s="2" t="inlineStr">
        <is>
          <t>Кино_СССР сводный каталог.xlsx: список телефильмов</t>
        </is>
      </c>
      <c r="M3012" s="2">
        <f>HYPERLINK("https://ru.wikipedia.org/w/index.php?search=%D0%98%D0%B4%D0%B5%D0%B0%D0%BB%D1%8C%D0%BD%D1%8B%D0%B9%20%D0%BF%D0%B5%D0%B9%D0%B7%D0%B0%D0%B6%20%D0%B2%20%D0%BF%D1%83%D1%81%D1%82%D1%8B%D0%BD%D0%B5%201988%20%D1%84%D0%B8%D0%BB%D1%8C%D0%BC","искать")</f>
        <v/>
      </c>
      <c r="N3012" s="3" t="n"/>
      <c r="O3012" s="2" t="n"/>
    </row>
    <row r="3013">
      <c r="A3013" s="2" t="n">
        <v>3012</v>
      </c>
      <c r="B3013" s="2" t="inlineStr"/>
      <c r="C3013" s="2" t="n">
        <v>7749</v>
      </c>
      <c r="D3013" s="3" t="inlineStr">
        <is>
          <t>Конец света с последующим симпозиумом</t>
        </is>
      </c>
      <c r="E3013" s="2" t="n">
        <v>1986</v>
      </c>
      <c r="F3013" s="2" t="inlineStr">
        <is>
          <t>телефильм</t>
        </is>
      </c>
      <c r="G3013" s="2" t="n"/>
      <c r="H3013" s="2" t="n">
        <v>309</v>
      </c>
      <c r="I3013" s="2" t="inlineStr"/>
      <c r="J3013" s="2" t="inlineStr"/>
      <c r="K3013" s="3" t="inlineStr">
        <is>
          <t>Телефильм по одноименной пьесе Артура Копита. Картина была показана по телевидению только один раз и ее тут же запретили: сюжет тогда был очень острым - холодная война. Миллионер Филипп Стоун, располагающий секретной информацией о ядерной политике США, убежден, что она несёт реальную опасность людям планеты.</t>
        </is>
      </c>
      <c r="L3013" s="2" t="inlineStr">
        <is>
          <t>Кино_СССР сводный каталог.xlsx: список телефильмов</t>
        </is>
      </c>
      <c r="M3013" s="2">
        <f>HYPERLINK("https://ru.wikipedia.org/w/index.php?search=%D0%9A%D0%BE%D0%BD%D0%B5%D1%86%20%D1%81%D0%B2%D0%B5%D1%82%D0%B0%20%D1%81%20%D0%BF%D0%BE%D1%81%D0%BB%D0%B5%D0%B4%D1%83%D1%8E%D1%89%D0%B8%D0%BC%20%D1%81%D0%B8%D0%BC%D0%BF%D0%BE%D0%B7%D0%B8%D1%83%D0%BC%D0%BE%D0%BC%201986%20%D1%84%D0%B8%D0%BB%D1%8C%D0%BC","искать")</f>
        <v/>
      </c>
      <c r="N3013" s="3" t="n"/>
      <c r="O3013" s="2" t="n"/>
    </row>
    <row r="3014">
      <c r="A3014" s="2" t="n">
        <v>3013</v>
      </c>
      <c r="B3014" s="2" t="inlineStr"/>
      <c r="C3014" s="2" t="n">
        <v>7999</v>
      </c>
      <c r="D3014" s="3" t="inlineStr">
        <is>
          <t>Никто не заменит тебя</t>
        </is>
      </c>
      <c r="E3014" s="2" t="n">
        <v>1982</v>
      </c>
      <c r="F3014" s="2" t="inlineStr">
        <is>
          <t>телефильм</t>
        </is>
      </c>
      <c r="G3014" s="2" t="inlineStr">
        <is>
          <t>Свердловская к/с</t>
        </is>
      </c>
      <c r="H3014" s="2" t="n">
        <v>309</v>
      </c>
      <c r="I3014" s="2" t="inlineStr"/>
      <c r="J3014" s="2" t="inlineStr"/>
      <c r="K3014" s="3" t="inlineStr">
        <is>
          <t>Телефильм. Алексей Голенищев — скрипач в оркестре цирка. Он очень любит своего маленького сына Игоря и мечтает, что он станет известным музыкантом. Алексей отдает все свободное время занятиям музыкой с мальчиком. Но теща считает своего зятя неудачником и настраивает свою дочь против него. Супруги расстаются.</t>
        </is>
      </c>
      <c r="L3014" s="2" t="inlineStr">
        <is>
          <t>Кино_СССР сводный каталог.xlsx: список телефильмов</t>
        </is>
      </c>
      <c r="M3014" s="2">
        <f>HYPERLINK("https://ru.wikipedia.org/w/index.php?search=%D0%9D%D0%B8%D0%BA%D1%82%D0%BE%20%D0%BD%D0%B5%20%D0%B7%D0%B0%D0%BC%D0%B5%D0%BD%D0%B8%D1%82%20%D1%82%D0%B5%D0%B1%D1%8F%201982%20%D1%84%D0%B8%D0%BB%D1%8C%D0%BC","искать")</f>
        <v/>
      </c>
      <c r="N3014" s="3" t="n"/>
      <c r="O3014" s="2" t="n"/>
    </row>
    <row r="3015">
      <c r="A3015" s="2" t="n">
        <v>3014</v>
      </c>
      <c r="B3015" s="2" t="inlineStr"/>
      <c r="C3015" s="2" t="n">
        <v>8677</v>
      </c>
      <c r="D3015" s="3" t="inlineStr">
        <is>
          <t>Гений</t>
        </is>
      </c>
      <c r="E3015" s="2" t="n">
        <v>1991</v>
      </c>
      <c r="F3015" s="2" t="inlineStr">
        <is>
          <t>кинофильм</t>
        </is>
      </c>
      <c r="G3015" s="2" t="inlineStr">
        <is>
          <t>Ленфильм</t>
        </is>
      </c>
      <c r="H3015" s="2" t="n">
        <v>309</v>
      </c>
      <c r="I3015" s="2" t="inlineStr"/>
      <c r="J3015" s="2" t="inlineStr"/>
      <c r="K3015" s="3" t="inlineStr">
        <is>
          <t>Обаятельный и талантливый авантюрист Сергей Ненашев, в прошлом талантливый физик, а ныне — директор овощного магазина, вооружившись электроникой, не оставляет милиции никаких шансов для обвинения в криминале. И даже мафия, которую он ненароком "нагрел" на крупную сумму, попадает впросак, решив ему отомстить.</t>
        </is>
      </c>
      <c r="L3015" s="2" t="inlineStr">
        <is>
          <t>Кино_СССР сводный каталог.xlsx: список фильмов (доп.)</t>
        </is>
      </c>
      <c r="M3015" s="2">
        <f>HYPERLINK("https://ru.wikipedia.org/w/index.php?search=%D0%93%D0%B5%D0%BD%D0%B8%D0%B9%201991%20%D1%84%D0%B8%D0%BB%D1%8C%D0%BC","искать")</f>
        <v/>
      </c>
      <c r="N3015" s="3" t="n"/>
      <c r="O3015" s="2" t="n"/>
    </row>
    <row r="3016">
      <c r="A3016" s="2" t="n">
        <v>3015</v>
      </c>
      <c r="B3016" s="2" t="inlineStr"/>
      <c r="C3016" s="2" t="n">
        <v>8869</v>
      </c>
      <c r="D3016" s="3" t="inlineStr">
        <is>
          <t>Невероятный случай</t>
        </is>
      </c>
      <c r="E3016" s="2" t="n">
        <v>1989</v>
      </c>
      <c r="F3016" s="2" t="inlineStr">
        <is>
          <t>кинофильм</t>
        </is>
      </c>
      <c r="G3016" s="2" t="n"/>
      <c r="H3016" s="2" t="n">
        <v>309</v>
      </c>
      <c r="I3016" s="2" t="inlineStr"/>
      <c r="J3016" s="2" t="inlineStr"/>
      <c r="K3016" s="3" t="inlineStr">
        <is>
          <t>Троица инопланетян, прибывшая на Землю с целью выяснить состояние интеллекта ее жителей, обосновалась в походной палатке неподалеку от небольшого таджикского села. Местный парень Батур — смекалистый и веселый — с легкостью вундеркинда выводит аппаратуру гостей из строя и очаровывает синеглазую инопланетянку.</t>
        </is>
      </c>
      <c r="L3016" s="2" t="inlineStr">
        <is>
          <t>Кино_СССР сводный каталог.xlsx: список фильмов (доп.)</t>
        </is>
      </c>
      <c r="M3016" s="2">
        <f>HYPERLINK("https://ru.wikipedia.org/w/index.php?search=%D0%9D%D0%B5%D0%B2%D0%B5%D1%80%D0%BE%D1%8F%D1%82%D0%BD%D1%8B%D0%B9%20%D1%81%D0%BB%D1%83%D1%87%D0%B0%D0%B9%201989%20%D1%84%D0%B8%D0%BB%D1%8C%D0%BC","искать")</f>
        <v/>
      </c>
      <c r="N3016" s="3" t="n"/>
      <c r="O3016" s="2" t="n"/>
    </row>
    <row r="3017">
      <c r="A3017" s="2" t="n">
        <v>3016</v>
      </c>
      <c r="B3017" s="2" t="inlineStr"/>
      <c r="C3017" s="2" t="n">
        <v>8893</v>
      </c>
      <c r="D3017" s="3" t="inlineStr">
        <is>
          <t>Ожог</t>
        </is>
      </c>
      <c r="E3017" s="2" t="n">
        <v>1983</v>
      </c>
      <c r="F3017" s="2" t="inlineStr">
        <is>
          <t>кинофильм</t>
        </is>
      </c>
      <c r="G3017" s="2" t="n"/>
      <c r="H3017" s="2" t="n">
        <v>309</v>
      </c>
      <c r="I3017" s="2" t="inlineStr"/>
      <c r="J3017" s="2" t="inlineStr"/>
      <c r="K3017" s="3" t="inlineStr">
        <is>
          <t>Молодой корреспондент Олег собирается написать книгу о пожарных. Для этого он приезжает в пожарную часть, которой руководит майор Виктор Громов. Чтобы побольше узнать о людях этой мужественной и благородной профессии Олег выезжает с командой на тушения пожаров, а также знакомится с семьями офицеров-пожарных.</t>
        </is>
      </c>
      <c r="L3017" s="2" t="inlineStr">
        <is>
          <t>Кино_СССР сводный каталог.xlsx: список фильмов (доп.)</t>
        </is>
      </c>
      <c r="M3017" s="2">
        <f>HYPERLINK("https://ru.wikipedia.org/w/index.php?search=%D0%9E%D0%B6%D0%BE%D0%B3%201983%20%D1%84%D0%B8%D0%BB%D1%8C%D0%BC","искать")</f>
        <v/>
      </c>
      <c r="N3017" s="3" t="n"/>
      <c r="O3017" s="2" t="n"/>
    </row>
    <row r="3018">
      <c r="A3018" s="2" t="n">
        <v>3017</v>
      </c>
      <c r="B3018" s="2" t="inlineStr"/>
      <c r="C3018" s="2" t="n">
        <v>8941</v>
      </c>
      <c r="D3018" s="3" t="inlineStr">
        <is>
          <t>Под маской Беркута</t>
        </is>
      </c>
      <c r="E3018" s="2" t="n">
        <v>1991</v>
      </c>
      <c r="F3018" s="2" t="inlineStr">
        <is>
          <t>кинофильм</t>
        </is>
      </c>
      <c r="G3018" s="2" t="n"/>
      <c r="H3018" s="2" t="n">
        <v>309</v>
      </c>
      <c r="I3018" s="2" t="inlineStr"/>
      <c r="J3018" s="2" t="inlineStr"/>
      <c r="K3018" s="3" t="inlineStr">
        <is>
          <t>Американский журналист и бывший военный кинооператор Брюс получает задание: привезти уникальный киноматериал с острова Макомбо о беркутах, похищающих детей. Но, как выясняется, он не единственный охотник за сенсацией. Вместе с журналисткой Жаннет и бывшим "афганцем" Павлом они проникают на охраняемый остров.</t>
        </is>
      </c>
      <c r="L3018" s="2" t="inlineStr">
        <is>
          <t>Кино_СССР сводный каталог.xlsx: список фильмов (доп.)</t>
        </is>
      </c>
      <c r="M3018" s="2">
        <f>HYPERLINK("https://ru.wikipedia.org/w/index.php?search=%D0%9F%D0%BE%D0%B4%20%D0%BC%D0%B0%D1%81%D0%BA%D0%BE%D0%B9%20%D0%91%D0%B5%D1%80%D0%BA%D1%83%D1%82%D0%B0%201991%20%D1%84%D0%B8%D0%BB%D1%8C%D0%BC","искать")</f>
        <v/>
      </c>
      <c r="N3018" s="3" t="n"/>
      <c r="O3018" s="2" t="n"/>
    </row>
    <row r="3019">
      <c r="A3019" s="2" t="n">
        <v>3018</v>
      </c>
      <c r="B3019" s="2" t="inlineStr"/>
      <c r="C3019" s="2" t="n">
        <v>8976</v>
      </c>
      <c r="D3019" s="3" t="inlineStr">
        <is>
          <t>Приказ</t>
        </is>
      </c>
      <c r="E3019" s="2" t="n">
        <v>1987</v>
      </c>
      <c r="F3019" s="2" t="inlineStr">
        <is>
          <t>кинофильм</t>
        </is>
      </c>
      <c r="G3019" s="2" t="n"/>
      <c r="H3019" s="2" t="n">
        <v>309</v>
      </c>
      <c r="I3019" s="2" t="inlineStr"/>
      <c r="J3019" s="2" t="inlineStr"/>
      <c r="K3019" s="3" t="inlineStr">
        <is>
          <t>В одном из районов Заполярья идут большие воинские учения. Командующий округом приказывает установить временный радиомаяк в бухте "Крестовой". Но самолет с десантом в назначенное место долететь не может из-за непогоды, и тогда начальник связи майор Лесников посылает туда трех морских пехотинцев на вездеходе.</t>
        </is>
      </c>
      <c r="L3019" s="2" t="inlineStr">
        <is>
          <t>Кино_СССР сводный каталог.xlsx: список фильмов (доп.)</t>
        </is>
      </c>
      <c r="M3019" s="2">
        <f>HYPERLINK("https://ru.wikipedia.org/w/index.php?search=%D0%9F%D1%80%D0%B8%D0%BA%D0%B0%D0%B7%201987%20%D1%84%D0%B8%D0%BB%D1%8C%D0%BC","искать")</f>
        <v/>
      </c>
      <c r="N3019" s="3" t="n"/>
      <c r="O3019" s="2" t="n"/>
    </row>
    <row r="3020">
      <c r="A3020" s="2" t="n">
        <v>3019</v>
      </c>
      <c r="B3020" s="2" t="inlineStr"/>
      <c r="C3020" s="2" t="n">
        <v>9038</v>
      </c>
      <c r="D3020" s="3" t="inlineStr">
        <is>
          <t>Семья вурдалаков</t>
        </is>
      </c>
      <c r="E3020" s="2" t="n">
        <v>1990</v>
      </c>
      <c r="F3020" s="2" t="inlineStr">
        <is>
          <t>кинофильм</t>
        </is>
      </c>
      <c r="G3020" s="2" t="n"/>
      <c r="H3020" s="2" t="n">
        <v>309</v>
      </c>
      <c r="I3020" s="2" t="inlineStr"/>
      <c r="J3020" s="2" t="inlineStr"/>
      <c r="K3020" s="3" t="inlineStr">
        <is>
          <t>Молодой московский журналист приезжает в советскую провинцию, поселяется в семье, которая недавно похоронила старика, - и становится участником странных и страшных событий. Внук покойного нарушает старинную заповедь, произнося имя ушедшего до истечения девяти дней со дня смерти, - и превращается в вурдалака.</t>
        </is>
      </c>
      <c r="L3020" s="2" t="inlineStr">
        <is>
          <t>Кино_СССР сводный каталог.xlsx: список фильмов (доп.)</t>
        </is>
      </c>
      <c r="M3020" s="2">
        <f>HYPERLINK("https://ru.wikipedia.org/w/index.php?search=%D0%A1%D0%B5%D0%BC%D1%8C%D1%8F%20%D0%B2%D1%83%D1%80%D0%B4%D0%B0%D0%BB%D0%B0%D0%BA%D0%BE%D0%B2%201990%20%D1%84%D0%B8%D0%BB%D1%8C%D0%BC","искать")</f>
        <v/>
      </c>
      <c r="N3020" s="3" t="n"/>
      <c r="O3020" s="2" t="n"/>
    </row>
    <row r="3021">
      <c r="A3021" s="2" t="n">
        <v>3020</v>
      </c>
      <c r="B3021" s="2" t="inlineStr"/>
      <c r="C3021" s="2" t="n">
        <v>9128</v>
      </c>
      <c r="D3021" s="3" t="inlineStr">
        <is>
          <t>Ултуган</t>
        </is>
      </c>
      <c r="E3021" s="2" t="n">
        <v>1990</v>
      </c>
      <c r="F3021" s="2" t="inlineStr">
        <is>
          <t>кинофильм</t>
        </is>
      </c>
      <c r="G3021" s="2" t="n"/>
      <c r="H3021" s="2" t="n">
        <v>309</v>
      </c>
      <c r="I3021" s="2" t="inlineStr"/>
      <c r="J3021" s="2" t="inlineStr"/>
      <c r="K3021" s="3" t="inlineStr">
        <is>
          <t>Однообразна и убога жизнь поселка, от которого давно ушло море: остовы ржавеющих рыболовецких траулеров, постепенно спивающееся мужское население.. Ежедневное одиночество и безысходность приводят Ултуган к мысли покончить с жизнью. Внезапно возникшее чувство к бывшему капитану согревает озябшую душу женщины.</t>
        </is>
      </c>
      <c r="L3021" s="2" t="inlineStr">
        <is>
          <t>Кино_СССР сводный каталог.xlsx: список фильмов (доп.)</t>
        </is>
      </c>
      <c r="M3021" s="2">
        <f>HYPERLINK("https://ru.wikipedia.org/w/index.php?search=%D0%A3%D0%BB%D1%82%D1%83%D0%B3%D0%B0%D0%BD%201990%20%D1%84%D0%B8%D0%BB%D1%8C%D0%BC","искать")</f>
        <v/>
      </c>
      <c r="N3021" s="3" t="n"/>
      <c r="O3021" s="2" t="n"/>
    </row>
    <row r="3022">
      <c r="A3022" s="2" t="n">
        <v>3021</v>
      </c>
      <c r="B3022" s="2" t="inlineStr"/>
      <c r="C3022" s="2" t="n">
        <v>9402</v>
      </c>
      <c r="D3022" s="3" t="inlineStr">
        <is>
          <t>Июнь, начало лета</t>
        </is>
      </c>
      <c r="E3022" s="2" t="n">
        <v>1969</v>
      </c>
      <c r="F3022" s="2" t="inlineStr">
        <is>
          <t>кинофильм</t>
        </is>
      </c>
      <c r="G3022" s="2" t="n"/>
      <c r="H3022" s="2" t="n">
        <v>309</v>
      </c>
      <c r="I3022" s="2" t="inlineStr"/>
      <c r="J3022" s="2" t="inlineStr"/>
      <c r="K3022" s="3" t="inlineStr">
        <is>
          <t>Современный фильм, действие которого происходит в маленьком городке, где жизнь на виду и все друг друга знают до мелочей. Это рассказ о судьбах нескольких обитателей - инженера, ксендза, врача, школьницы... Инженеру, например, предстоит построить новое промышленное предприятие на месте, давно обжитом людьми.</t>
        </is>
      </c>
      <c r="L3022" s="2" t="inlineStr">
        <is>
          <t>Кино_СССР сводный каталог.xlsx: список фильмов (доп.)</t>
        </is>
      </c>
      <c r="M3022" s="2">
        <f>HYPERLINK("https://ru.wikipedia.org/w/index.php?search=%D0%98%D1%8E%D0%BD%D1%8C%2C%20%D0%BD%D0%B0%D1%87%D0%B0%D0%BB%D0%BE%20%D0%BB%D0%B5%D1%82%D0%B0%201969%20%D1%84%D0%B8%D0%BB%D1%8C%D0%BC","искать")</f>
        <v/>
      </c>
      <c r="N3022" s="3" t="n"/>
      <c r="O3022" s="2" t="n"/>
    </row>
    <row r="3023">
      <c r="A3023" s="2" t="n">
        <v>3022</v>
      </c>
      <c r="B3023" s="2" t="inlineStr"/>
      <c r="C3023" s="2" t="n">
        <v>9415</v>
      </c>
      <c r="D3023" s="3" t="inlineStr">
        <is>
          <t>Кикс</t>
        </is>
      </c>
      <c r="E3023" s="2" t="n">
        <v>1991</v>
      </c>
      <c r="F3023" s="2" t="inlineStr">
        <is>
          <t>кинофильм</t>
        </is>
      </c>
      <c r="G3023" s="2" t="n"/>
      <c r="H3023" s="2" t="n">
        <v>309</v>
      </c>
      <c r="I3023" s="2" t="inlineStr"/>
      <c r="J3023" s="2" t="inlineStr"/>
      <c r="K3023" s="3" t="inlineStr">
        <is>
          <t>Ануся - простой парикмахер, она как две капли воды, похожа на эстрадную суперзвезду Жанну. На конкурсе двойников ее приметил менеджер певицы. Его труды сводятся на нет поведением Жанны, ведь она -наркоманка. Менеджер делает Анусе предложение, от которого та не смогла отказаться: нужно выдавать себя за Жанну.</t>
        </is>
      </c>
      <c r="L3023" s="2" t="inlineStr">
        <is>
          <t>Кино_СССР сводный каталог.xlsx: список фильмов (доп.)</t>
        </is>
      </c>
      <c r="M3023" s="2">
        <f>HYPERLINK("https://ru.wikipedia.org/w/index.php?search=%D0%9A%D0%B8%D0%BA%D1%81%201991%20%D1%84%D0%B8%D0%BB%D1%8C%D0%BC","искать")</f>
        <v/>
      </c>
      <c r="N3023" s="3" t="n"/>
      <c r="O3023" s="2" t="n"/>
    </row>
    <row r="3024">
      <c r="A3024" s="2" t="n">
        <v>3023</v>
      </c>
      <c r="B3024" s="2" t="inlineStr"/>
      <c r="C3024" s="2" t="n">
        <v>9977</v>
      </c>
      <c r="D3024" s="3" t="inlineStr">
        <is>
          <t>Твой брат Валентин</t>
        </is>
      </c>
      <c r="E3024" s="2" t="n">
        <v>1981</v>
      </c>
      <c r="F3024" s="2" t="inlineStr">
        <is>
          <t>телефильм</t>
        </is>
      </c>
      <c r="G3024" s="2" t="inlineStr">
        <is>
          <t>ТО Экран</t>
        </is>
      </c>
      <c r="H3024" s="2" t="n">
        <v>309</v>
      </c>
      <c r="I3024" s="2" t="inlineStr"/>
      <c r="J3024" s="2" t="inlineStr"/>
      <c r="K3024" s="3" t="inlineStr">
        <is>
          <t>Фильм снят по мотивам рассказа К.Ваншенкина "Там, где Семеновский полк".
В основе сюжета - последний день жизни профессора Суханова. Читая лекцию студентам, он цитирует стихи Пушкина, Дельвига, мысли и настроение которых возвращают его к воспоминаниям о жизни и погибшем в годы войны брате-близнеце Валентине.</t>
        </is>
      </c>
      <c r="L3024" s="2" t="inlineStr">
        <is>
          <t>https://www.kino-teatr.ru/short/movie/sov/7082/annot/</t>
        </is>
      </c>
      <c r="M3024" s="2">
        <f>HYPERLINK("https://ru.wikipedia.org/w/index.php?search=%D0%A2%D0%B2%D0%BE%D0%B9%20%D0%B1%D1%80%D0%B0%D1%82%20%D0%92%D0%B0%D0%BB%D0%B5%D0%BD%D1%82%D0%B8%D0%BD%201981%20%D1%84%D0%B8%D0%BB%D1%8C%D0%BC","искать")</f>
        <v/>
      </c>
      <c r="N3024" s="3" t="n"/>
      <c r="O3024" s="2" t="n"/>
    </row>
    <row r="3025">
      <c r="A3025" s="2" t="n">
        <v>3024</v>
      </c>
      <c r="B3025" s="2" t="inlineStr"/>
      <c r="C3025" s="2" t="n">
        <v>11155</v>
      </c>
      <c r="D3025" s="3" t="inlineStr">
        <is>
          <t>И снова Крижевский</t>
        </is>
      </c>
      <c r="E3025" s="2" t="n">
        <v>1987</v>
      </c>
      <c r="F3025" s="2" t="inlineStr">
        <is>
          <t>фильм-спектакль</t>
        </is>
      </c>
      <c r="G3025" s="2" t="inlineStr">
        <is>
          <t>Главная редакция литературно-драматических программ ЦТ</t>
        </is>
      </c>
      <c r="H3025" s="2" t="n">
        <v>309</v>
      </c>
      <c r="I3025" s="2" t="inlineStr"/>
      <c r="J3025" s="2" t="inlineStr"/>
      <c r="K3025" s="3" t="inlineStr">
        <is>
          <t>Из цикла "Какие мы?".
Директор завода, секретарь комсомольской организации и учительница собрались, чтобы обсудить проступок токаря Крижевского. Придя на завод сразу после окончания школы, молодой человек прогулял несколько дней и, выполняя важный заказ, допустил брак. Но только ли Крижевский в этом виноват?</t>
        </is>
      </c>
      <c r="L3025" s="2" t="inlineStr">
        <is>
          <t>https://www.kino-teatr.ru/teatr/movie/15453/annot/</t>
        </is>
      </c>
      <c r="M3025" s="2">
        <f>HYPERLINK("https://ru.wikipedia.org/w/index.php?search=%D0%98%20%D1%81%D0%BD%D0%BE%D0%B2%D0%B0%20%D0%9A%D1%80%D0%B8%D0%B6%D0%B5%D0%B2%D1%81%D0%BA%D0%B8%D0%B9%201987%20%D1%84%D0%B8%D0%BB%D1%8C%D0%BC","искать")</f>
        <v/>
      </c>
      <c r="N3025" s="3" t="n"/>
      <c r="O3025" s="2" t="n"/>
    </row>
    <row r="3026">
      <c r="A3026" s="2" t="n">
        <v>3025</v>
      </c>
      <c r="B3026" s="2" t="inlineStr"/>
      <c r="C3026" s="2" t="n">
        <v>11364</v>
      </c>
      <c r="D3026" s="3" t="inlineStr">
        <is>
          <t>Вот снова этот двор</t>
        </is>
      </c>
      <c r="E3026" s="2" t="n">
        <v>1986</v>
      </c>
      <c r="F3026" s="2" t="inlineStr">
        <is>
          <t>не игровое</t>
        </is>
      </c>
      <c r="G3026" s="2" t="inlineStr">
        <is>
          <t>Лентелефильм</t>
        </is>
      </c>
      <c r="H3026" s="2" t="n">
        <v>309</v>
      </c>
      <c r="I3026" s="2" t="inlineStr"/>
      <c r="J3026" s="2" t="inlineStr"/>
      <c r="K3026" s="3" t="inlineStr">
        <is>
          <t>Фильм-концерт. По Невскому проспекту, по набережным и улицам города, заглядывая в старые дворы, ходит пожилой человек. Он вспоминает свою юность, глядя на молодежь, танцующую прямо на улицах. Он садится в трамвай и словно едет в свое прошлое по Ленинграду. В его «прогулках» принимают участие артисты эстрады.</t>
        </is>
      </c>
      <c r="L3026" s="2" t="inlineStr">
        <is>
          <t>Кино_СССР телефильмы и пропуски включить в базу.xlsx</t>
        </is>
      </c>
      <c r="M3026" s="2">
        <f>HYPERLINK("https://ru.wikipedia.org/w/index.php?search=%D0%92%D0%BE%D1%82%20%D1%81%D0%BD%D0%BE%D0%B2%D0%B0%20%D1%8D%D1%82%D0%BE%D1%82%20%D0%B4%D0%B2%D0%BE%D1%80%201986%20%D1%84%D0%B8%D0%BB%D1%8C%D0%BC","искать")</f>
        <v/>
      </c>
      <c r="N3026" s="3" t="n"/>
      <c r="O3026" s="2" t="n"/>
    </row>
    <row r="3027">
      <c r="A3027" s="2" t="n">
        <v>3026</v>
      </c>
      <c r="B3027" s="2" t="inlineStr"/>
      <c r="C3027" s="2" t="n">
        <v>7358</v>
      </c>
      <c r="D3027" s="3" t="inlineStr">
        <is>
          <t>Возраст тревог</t>
        </is>
      </c>
      <c r="E3027" s="2" t="n">
        <v>1972</v>
      </c>
      <c r="F3027" s="2" t="inlineStr">
        <is>
          <t>телефильм</t>
        </is>
      </c>
      <c r="G3027" s="2" t="n"/>
      <c r="H3027" s="2" t="n">
        <v>310</v>
      </c>
      <c r="I3027" s="2" t="inlineStr"/>
      <c r="J3027" s="2" t="inlineStr"/>
      <c r="K3027" s="3" t="inlineStr">
        <is>
          <t>У девятиклассника Анвара, казалось бы, все благополучно и в семье, и в школе. Но не находил мальчик общего языка с отцом, и этим воспользовался нечистый на руку человек. Анвар, вовлеченный в вымогательство, не смог примирить свою совесть с грязным делом. Только трагическая гибель мальчика выявила преступника.</t>
        </is>
      </c>
      <c r="L3027" s="2" t="inlineStr">
        <is>
          <t>Кино_СССР сводный каталог.xlsx: список телефильмов</t>
        </is>
      </c>
      <c r="M3027" s="2">
        <f>HYPERLINK("https://ru.wikipedia.org/w/index.php?search=%D0%92%D0%BE%D0%B7%D1%80%D0%B0%D1%81%D1%82%20%D1%82%D1%80%D0%B5%D0%B2%D0%BE%D0%B3%201972%20%D1%84%D0%B8%D0%BB%D1%8C%D0%BC","искать")</f>
        <v/>
      </c>
      <c r="N3027" s="3" t="n"/>
      <c r="O3027" s="2" t="n"/>
    </row>
    <row r="3028">
      <c r="A3028" s="2" t="n">
        <v>3027</v>
      </c>
      <c r="B3028" s="2" t="inlineStr"/>
      <c r="C3028" s="2" t="n">
        <v>7516</v>
      </c>
      <c r="D3028" s="3" t="inlineStr">
        <is>
          <t>Дневник, письмо и первоклассница</t>
        </is>
      </c>
      <c r="E3028" s="2" t="n">
        <v>1984</v>
      </c>
      <c r="F3028" s="2" t="inlineStr">
        <is>
          <t>телефильм</t>
        </is>
      </c>
      <c r="G3028" s="2" t="n"/>
      <c r="H3028" s="2" t="n">
        <v>310</v>
      </c>
      <c r="I3028" s="2" t="inlineStr"/>
      <c r="J3028" s="2" t="inlineStr"/>
      <c r="K3028" s="3" t="inlineStr">
        <is>
          <t>Телефильм по мотивам одноименного рассказа Латифа Махмудова. Пятиклассники Улугбег и Мирвали успехами в учебе не отличались. И когда учитель попросил Улугбека передать письмо его отцу, мальчик счел за лучшее это поручение не выполнять. Он же помог первокласснице Умиде исправить в дневнике единицу на четверку.</t>
        </is>
      </c>
      <c r="L3028" s="2" t="inlineStr">
        <is>
          <t>Кино_СССР сводный каталог.xlsx: список телефильмов</t>
        </is>
      </c>
      <c r="M3028" s="2">
        <f>HYPERLINK("https://ru.wikipedia.org/w/index.php?search=%D0%94%D0%BD%D0%B5%D0%B2%D0%BD%D0%B8%D0%BA%2C%20%D0%BF%D0%B8%D1%81%D1%8C%D0%BC%D0%BE%20%D0%B8%20%D0%BF%D0%B5%D1%80%D0%B2%D0%BE%D0%BA%D0%BB%D0%B0%D1%81%D1%81%D0%BD%D0%B8%D1%86%D0%B0%201984%20%D1%84%D0%B8%D0%BB%D1%8C%D0%BC","искать")</f>
        <v/>
      </c>
      <c r="N3028" s="3" t="n"/>
      <c r="O3028" s="2" t="n"/>
    </row>
    <row r="3029">
      <c r="A3029" s="2" t="n">
        <v>3028</v>
      </c>
      <c r="B3029" s="2" t="inlineStr"/>
      <c r="C3029" s="2" t="n">
        <v>7586</v>
      </c>
      <c r="D3029" s="3" t="inlineStr">
        <is>
          <t>Железный дождь</t>
        </is>
      </c>
      <c r="E3029" s="2" t="n">
        <v>1987</v>
      </c>
      <c r="F3029" s="2" t="inlineStr">
        <is>
          <t>телефильм</t>
        </is>
      </c>
      <c r="G3029" s="2" t="n"/>
      <c r="H3029" s="2" t="n">
        <v>310</v>
      </c>
      <c r="I3029" s="2" t="inlineStr"/>
      <c r="J3029" s="2" t="inlineStr"/>
      <c r="K3029" s="3" t="inlineStr">
        <is>
          <t>По мотивам произведений В.Курочкина. По нашей земле идет фашистская техника, фашистские солдаты. В яме на земле у подножия склона сидит старик. Вот также он сидел и тогда, и фашисты хотели убить его, да автомат заел. Махнул фашист рукой и оставил его жить. Его воспоминания прерваны приездом женщины и мужчины.</t>
        </is>
      </c>
      <c r="L3029" s="2" t="inlineStr">
        <is>
          <t>Кино_СССР сводный каталог.xlsx: список телефильмов</t>
        </is>
      </c>
      <c r="M3029" s="2">
        <f>HYPERLINK("https://ru.wikipedia.org/w/index.php?search=%D0%96%D0%B5%D0%BB%D0%B5%D0%B7%D0%BD%D1%8B%D0%B9%20%D0%B4%D0%BE%D0%B6%D0%B4%D1%8C%201987%20%D1%84%D0%B8%D0%BB%D1%8C%D0%BC","искать")</f>
        <v/>
      </c>
      <c r="N3029" s="3" t="n"/>
      <c r="O3029" s="2" t="n"/>
    </row>
    <row r="3030">
      <c r="A3030" s="2" t="n">
        <v>3029</v>
      </c>
      <c r="B3030" s="2" t="inlineStr"/>
      <c r="C3030" s="2" t="n">
        <v>7595</v>
      </c>
      <c r="D3030" s="3" t="inlineStr">
        <is>
          <t>Живи и помни</t>
        </is>
      </c>
      <c r="E3030" s="2" t="n">
        <v>1978</v>
      </c>
      <c r="F3030" s="2" t="inlineStr">
        <is>
          <t>телефильм</t>
        </is>
      </c>
      <c r="G3030" s="2" t="n"/>
      <c r="H3030" s="2" t="n">
        <v>310</v>
      </c>
      <c r="I3030" s="2" t="inlineStr"/>
      <c r="J3030" s="2" t="inlineStr"/>
      <c r="K3030" s="3" t="inlineStr">
        <is>
          <t>По одноименной повести Валентина Распутина. Зима 1945 года. Деревня Атамановка на берегу Ангары. Тридцать дворов. И вот в один из этих дворов приходит горе - дезертирует с войны муж Настены Андрей Гуськов. Его судьба - это своеобразный тупик. Обратной дороги нет. Гуськов укрывается в зимовье на берегу Ангары.</t>
        </is>
      </c>
      <c r="L3030" s="2" t="inlineStr">
        <is>
          <t>Кино_СССР сводный каталог.xlsx: список телефильмов</t>
        </is>
      </c>
      <c r="M3030" s="2">
        <f>HYPERLINK("https://ru.wikipedia.org/w/index.php?search=%D0%96%D0%B8%D0%B2%D0%B8%20%D0%B8%20%D0%BF%D0%BE%D0%BC%D0%BD%D0%B8%201978%20%D1%84%D0%B8%D0%BB%D1%8C%D0%BC","искать")</f>
        <v/>
      </c>
      <c r="N3030" s="3" t="n"/>
      <c r="O3030" s="2" t="n"/>
    </row>
    <row r="3031">
      <c r="A3031" s="2" t="n">
        <v>3030</v>
      </c>
      <c r="B3031" s="2" t="inlineStr"/>
      <c r="C3031" s="2" t="n">
        <v>7614</v>
      </c>
      <c r="D3031" s="3" t="inlineStr">
        <is>
          <t>За пределами боли</t>
        </is>
      </c>
      <c r="E3031" s="2" t="n">
        <v>1989</v>
      </c>
      <c r="F3031" s="2" t="inlineStr">
        <is>
          <t>телефильм</t>
        </is>
      </c>
      <c r="G3031" s="2" t="n"/>
      <c r="H3031" s="2" t="n">
        <v>310</v>
      </c>
      <c r="I3031" s="2" t="inlineStr"/>
      <c r="J3031" s="2" t="inlineStr"/>
      <c r="K3031" s="3" t="inlineStr">
        <is>
          <t>По мотивам повести Осипа Турянского. Действие происходит в годы Первой мировой войны. Небольшая группа людей - остатки побежденной в боях армии - заблудилась в горах. Мороз, снег, голод и смерть - вот что их поджидает. Семеро из них, представители разных национальностей, пытаются найти выход из этой ситуации.</t>
        </is>
      </c>
      <c r="L3031" s="2" t="inlineStr">
        <is>
          <t>Кино_СССР сводный каталог.xlsx: список телефильмов</t>
        </is>
      </c>
      <c r="M3031" s="2">
        <f>HYPERLINK("https://ru.wikipedia.org/w/index.php?search=%D0%97%D0%B0%20%D0%BF%D1%80%D0%B5%D0%B4%D0%B5%D0%BB%D0%B0%D0%BC%D0%B8%20%D0%B1%D0%BE%D0%BB%D0%B8%201989%20%D1%84%D0%B8%D0%BB%D1%8C%D0%BC","искать")</f>
        <v/>
      </c>
      <c r="N3031" s="3" t="n"/>
      <c r="O3031" s="2" t="n"/>
    </row>
    <row r="3032">
      <c r="A3032" s="2" t="n">
        <v>3031</v>
      </c>
      <c r="B3032" s="2" t="inlineStr"/>
      <c r="C3032" s="2" t="n">
        <v>7630</v>
      </c>
      <c r="D3032" s="3" t="inlineStr">
        <is>
          <t>Затишье</t>
        </is>
      </c>
      <c r="E3032" s="2" t="n">
        <v>1981</v>
      </c>
      <c r="F3032" s="2" t="inlineStr">
        <is>
          <t>телефильм</t>
        </is>
      </c>
      <c r="G3032" s="2" t="n"/>
      <c r="H3032" s="2" t="n">
        <v>310</v>
      </c>
      <c r="I3032" s="2" t="inlineStr"/>
      <c r="J3032" s="2" t="inlineStr"/>
      <c r="K3032" s="3" t="inlineStr">
        <is>
          <t>Телефильм по мотивам одноименной повести И.С.Тургенева. Приехав проверить своё дальнее имение село Сасово, молодой помещик Астахов знакомится с соседом помещиком Ипатовым, а также с его свояченицей Марьей Павловной и соседкой Надеждой Алексеевной Веретьевой, которые производят сильное впечатление на Астахова.</t>
        </is>
      </c>
      <c r="L3032" s="2" t="inlineStr">
        <is>
          <t>Кино_СССР сводный каталог.xlsx: список телефильмов</t>
        </is>
      </c>
      <c r="M3032" s="2">
        <f>HYPERLINK("https://ru.wikipedia.org/w/index.php?search=%D0%97%D0%B0%D1%82%D0%B8%D1%88%D1%8C%D0%B5%201981%20%D1%84%D0%B8%D0%BB%D1%8C%D0%BC","искать")</f>
        <v/>
      </c>
      <c r="N3032" s="3" t="n"/>
      <c r="O3032" s="2" t="n"/>
    </row>
    <row r="3033">
      <c r="A3033" s="2" t="n">
        <v>3032</v>
      </c>
      <c r="B3033" s="2" t="inlineStr"/>
      <c r="C3033" s="2" t="n">
        <v>8482</v>
      </c>
      <c r="D3033" s="3" t="inlineStr">
        <is>
          <t>Трое в лодке, не считая собаки</t>
        </is>
      </c>
      <c r="E3033" s="2" t="n">
        <v>1979</v>
      </c>
      <c r="F3033" s="2" t="inlineStr">
        <is>
          <t>телефильм</t>
        </is>
      </c>
      <c r="G3033" s="2" t="inlineStr">
        <is>
          <t>Ленфильм</t>
        </is>
      </c>
      <c r="H3033" s="2" t="n">
        <v>310</v>
      </c>
      <c r="I3033" s="2" t="inlineStr"/>
      <c r="J3033" s="2" t="inlineStr"/>
      <c r="K3033" s="3" t="inlineStr">
        <is>
          <t>Телефильм по мотивам одноименной всемирно известной остроумнейшей повести английского писателя Джерома К. Джерома. Путешествие трёх друзей с фокстерьером Монмаранси, оказавшееся незабываемым для героев фильма, наверняка запомнится и вам - столько в этой истории неожиданных поворотов, юмора, актерского блеска.</t>
        </is>
      </c>
      <c r="L3033" s="2" t="inlineStr">
        <is>
          <t>Кино_СССР сводный каталог.xlsx: список телефильмов</t>
        </is>
      </c>
      <c r="M3033" s="2">
        <f>HYPERLINK("https://ru.wikipedia.org/w/index.php?search=%D0%A2%D1%80%D0%BE%D0%B5%20%D0%B2%20%D0%BB%D0%BE%D0%B4%D0%BA%D0%B5%2C%20%D0%BD%D0%B5%20%D1%81%D1%87%D0%B8%D1%82%D0%B0%D1%8F%20%D1%81%D0%BE%D0%B1%D0%B0%D0%BA%D0%B8%201979%20%D1%84%D0%B8%D0%BB%D1%8C%D0%BC","искать")</f>
        <v/>
      </c>
      <c r="N3033" s="3" t="n"/>
      <c r="O3033" s="2" t="n"/>
    </row>
    <row r="3034">
      <c r="A3034" s="2" t="n">
        <v>3033</v>
      </c>
      <c r="B3034" s="2" t="inlineStr"/>
      <c r="C3034" s="2" t="n">
        <v>8785</v>
      </c>
      <c r="D3034" s="3" t="inlineStr">
        <is>
          <t>Кто нанимает, тот и платит</t>
        </is>
      </c>
      <c r="E3034" s="2" t="n">
        <v>1989</v>
      </c>
      <c r="F3034" s="2" t="inlineStr">
        <is>
          <t>кинофильм</t>
        </is>
      </c>
      <c r="G3034" s="2" t="n"/>
      <c r="H3034" s="2" t="n">
        <v>310</v>
      </c>
      <c r="I3034" s="2" t="inlineStr"/>
      <c r="J3034" s="2" t="inlineStr"/>
      <c r="K3034" s="3" t="inlineStr">
        <is>
          <t>В самый разгар деревенской свадьбы, в три часа ночи музыканты заявляют жениху, что прекращают играть, так как их время истекло. Жених уговаривает музыкантов продолжить за 100 рублей в час. Утром музыканты уезжают домой на своей машине, а жених, чтобы покрыть денежные траты везет в грузовике свиней на ярмарку.</t>
        </is>
      </c>
      <c r="L3034" s="2" t="inlineStr">
        <is>
          <t>Кино_СССР сводный каталог.xlsx: список фильмов (доп.)</t>
        </is>
      </c>
      <c r="M3034" s="2">
        <f>HYPERLINK("https://ru.wikipedia.org/w/index.php?search=%D0%9A%D1%82%D0%BE%20%D0%BD%D0%B0%D0%BD%D0%B8%D0%BC%D0%B0%D0%B5%D1%82%2C%20%D1%82%D0%BE%D1%82%20%D0%B8%20%D0%BF%D0%BB%D0%B0%D1%82%D0%B8%D1%82%201989%20%D1%84%D0%B8%D0%BB%D1%8C%D0%BC","искать")</f>
        <v/>
      </c>
      <c r="N3034" s="3" t="n"/>
      <c r="O3034" s="2" t="n"/>
    </row>
    <row r="3035">
      <c r="A3035" s="2" t="n">
        <v>3034</v>
      </c>
      <c r="B3035" s="2" t="inlineStr"/>
      <c r="C3035" s="2" t="n">
        <v>9049</v>
      </c>
      <c r="D3035" s="3" t="inlineStr">
        <is>
          <t>Смерть в кино</t>
        </is>
      </c>
      <c r="E3035" s="2" t="n">
        <v>1990</v>
      </c>
      <c r="F3035" s="2" t="inlineStr">
        <is>
          <t>кинофильм</t>
        </is>
      </c>
      <c r="G3035" s="2" t="n"/>
      <c r="H3035" s="2" t="n">
        <v>310</v>
      </c>
      <c r="I3035" s="2" t="inlineStr"/>
      <c r="J3035" s="2" t="inlineStr"/>
      <c r="K3035" s="3" t="inlineStr">
        <is>
          <t>Уже построены декорации, но творческой группы ещё нет. Тогда сторож (весьма характерный персонаж Ивана Бортника) сдаёт пристройки 'дикарям'. Затевается застолье. В пик веселья появляются оператор и помощник режиссёра, которые втайне от всех снимают гулянку. Спровоцировав ссору, мастерски разыгрывают убийство.</t>
        </is>
      </c>
      <c r="L3035" s="2" t="inlineStr">
        <is>
          <t>Кино_СССР сводный каталог.xlsx: список фильмов (доп.)</t>
        </is>
      </c>
      <c r="M3035" s="2">
        <f>HYPERLINK("https://ru.wikipedia.org/w/index.php?search=%D0%A1%D0%BC%D0%B5%D1%80%D1%82%D1%8C%20%D0%B2%20%D0%BA%D0%B8%D0%BD%D0%BE%201990%20%D1%84%D0%B8%D0%BB%D1%8C%D0%BC","искать")</f>
        <v/>
      </c>
      <c r="N3035" s="3" t="n"/>
      <c r="O3035" s="2" t="n"/>
    </row>
    <row r="3036">
      <c r="A3036" s="2" t="n">
        <v>3035</v>
      </c>
      <c r="B3036" s="2" t="inlineStr"/>
      <c r="C3036" s="2" t="n">
        <v>9051</v>
      </c>
      <c r="D3036" s="3" t="inlineStr">
        <is>
          <t>Снайпер</t>
        </is>
      </c>
      <c r="E3036" s="2" t="n">
        <v>1991</v>
      </c>
      <c r="F3036" s="2" t="inlineStr">
        <is>
          <t>кинофильм</t>
        </is>
      </c>
      <c r="G3036" s="2" t="n"/>
      <c r="H3036" s="2" t="n">
        <v>310</v>
      </c>
      <c r="I3036" s="2" t="inlineStr"/>
      <c r="J3036" s="2" t="inlineStr"/>
      <c r="K3036" s="3" t="inlineStr">
        <is>
          <t>Позади у американца Джея Бенсона вьетнамская война, на которой он был отличным снайпером. Вернувшись домой и женившись на очаровательной Люси, герой открывает школу по стрельбе. Для полного счастья ему не хватает только денег. Первое предложение богатого клиента сулит хороший заработок - и Джей принимает его.</t>
        </is>
      </c>
      <c r="L3036" s="2" t="inlineStr">
        <is>
          <t>Кино_СССР сводный каталог.xlsx: список фильмов (доп.)</t>
        </is>
      </c>
      <c r="M3036" s="2">
        <f>HYPERLINK("https://ru.wikipedia.org/w/index.php?search=%D0%A1%D0%BD%D0%B0%D0%B9%D0%BF%D0%B5%D1%80%201991%20%D1%84%D0%B8%D0%BB%D1%8C%D0%BC","искать")</f>
        <v/>
      </c>
      <c r="N3036" s="3" t="n"/>
      <c r="O3036" s="2" t="n"/>
    </row>
    <row r="3037">
      <c r="A3037" s="2" t="n">
        <v>3036</v>
      </c>
      <c r="B3037" s="2" t="inlineStr"/>
      <c r="C3037" s="2" t="n">
        <v>9163</v>
      </c>
      <c r="D3037" s="3" t="inlineStr">
        <is>
          <t>Чтобы быть счастливым!</t>
        </is>
      </c>
      <c r="E3037" s="2" t="n">
        <v>1973</v>
      </c>
      <c r="F3037" s="2" t="inlineStr">
        <is>
          <t>кинофильм</t>
        </is>
      </c>
      <c r="G3037" s="2" t="n"/>
      <c r="H3037" s="2" t="n">
        <v>310</v>
      </c>
      <c r="I3037" s="2" t="inlineStr"/>
      <c r="J3037" s="2" t="inlineStr"/>
      <c r="K3037" s="3" t="inlineStr">
        <is>
          <t>Человек идет босиком по дороге под дождем. Один из проезжавших шоферов пожалел его и довез до города. На остановке автобуса он толкнул девушку, та упала. В тот момент, когда он помогал ей дойти до скамейки, приехала его подружка. Увидев его с другой, она села в автобус и уехала. Парень представляется девушке.</t>
        </is>
      </c>
      <c r="L3037" s="2" t="inlineStr">
        <is>
          <t>Кино_СССР сводный каталог.xlsx: список фильмов (доп.)</t>
        </is>
      </c>
      <c r="M3037" s="2">
        <f>HYPERLINK("https://ru.wikipedia.org/w/index.php?search=%D0%A7%D1%82%D0%BE%D0%B1%D1%8B%20%D0%B1%D1%8B%D1%82%D1%8C%20%D1%81%D1%87%D0%B0%D1%81%D1%82%D0%BB%D0%B8%D0%B2%D1%8B%D0%BC%21%201973%20%D1%84%D0%B8%D0%BB%D1%8C%D0%BC","искать")</f>
        <v/>
      </c>
      <c r="N3037" s="3" t="n"/>
      <c r="O3037" s="2" t="n"/>
    </row>
    <row r="3038">
      <c r="A3038" s="2" t="n">
        <v>3037</v>
      </c>
      <c r="B3038" s="2" t="inlineStr"/>
      <c r="C3038" s="2" t="n">
        <v>9189</v>
      </c>
      <c r="D3038" s="3" t="inlineStr">
        <is>
          <t>Я не хочу так больше жить</t>
        </is>
      </c>
      <c r="E3038" s="2" t="n">
        <v>1990</v>
      </c>
      <c r="F3038" s="2" t="inlineStr">
        <is>
          <t>кинофильм</t>
        </is>
      </c>
      <c r="G3038" s="2" t="n"/>
      <c r="H3038" s="2" t="n">
        <v>310</v>
      </c>
      <c r="I3038" s="2" t="inlineStr"/>
      <c r="J3038" s="2" t="inlineStr"/>
      <c r="K3038" s="3" t="inlineStr">
        <is>
          <t>Беда всей семьи, когда пьет отец: страдает маленький Эркин, страдает его мама. По-своему страдает и сам отец - человек в сущности добрый. Однажды Эркин со своим другом решают навестить отца, находящегося на излечении. Картина белой горячки ужасает мальчика. Он убегает из больницы. Жить так он больше не может.</t>
        </is>
      </c>
      <c r="L3038" s="2" t="inlineStr">
        <is>
          <t>Кино_СССР сводный каталог.xlsx: список фильмов (доп.)</t>
        </is>
      </c>
      <c r="M3038" s="2">
        <f>HYPERLINK("https://ru.wikipedia.org/w/index.php?search=%D0%AF%20%D0%BD%D0%B5%20%D1%85%D0%BE%D1%87%D1%83%20%D1%82%D0%B0%D0%BA%20%D0%B1%D0%BE%D0%BB%D1%8C%D1%88%D0%B5%20%D0%B6%D0%B8%D1%82%D1%8C%201990%20%D1%84%D0%B8%D0%BB%D1%8C%D0%BC","искать")</f>
        <v/>
      </c>
      <c r="N3038" s="3" t="n"/>
      <c r="O3038" s="2" t="n"/>
    </row>
    <row r="3039">
      <c r="A3039" s="2" t="n">
        <v>3038</v>
      </c>
      <c r="B3039" s="2" t="inlineStr"/>
      <c r="C3039" s="2" t="n">
        <v>9309</v>
      </c>
      <c r="D3039" s="3" t="inlineStr">
        <is>
          <t>Гол в Спасские ворота</t>
        </is>
      </c>
      <c r="E3039" s="2" t="n">
        <v>1990</v>
      </c>
      <c r="F3039" s="2" t="inlineStr">
        <is>
          <t>кинофильм</t>
        </is>
      </c>
      <c r="G3039" s="2" t="n"/>
      <c r="H3039" s="2" t="n">
        <v>310</v>
      </c>
      <c r="I3039" s="2" t="inlineStr"/>
      <c r="J3039" s="2" t="inlineStr"/>
      <c r="K3039" s="3" t="inlineStr">
        <is>
          <t>Олимпийские игры 1952 года. Футбольный матч между сборной СССР и СФРЮ привлекает пристальное внимание поссорившихся к тому времени политических вождей этих стран... Стоило сборной по футболу проиграть этот матч, как у популярной в послевоенные годы команды ЦСКА - "команды лейтенантов" - начались неприятности.</t>
        </is>
      </c>
      <c r="L3039" s="2" t="inlineStr">
        <is>
          <t>Кино_СССР сводный каталог.xlsx: список фильмов (доп.)</t>
        </is>
      </c>
      <c r="M3039" s="2">
        <f>HYPERLINK("https://ru.wikipedia.org/w/index.php?search=%D0%93%D0%BE%D0%BB%20%D0%B2%20%D0%A1%D0%BF%D0%B0%D1%81%D1%81%D0%BA%D0%B8%D0%B5%20%D0%B2%D0%BE%D1%80%D0%BE%D1%82%D0%B0%201990%20%D1%84%D0%B8%D0%BB%D1%8C%D0%BC","искать")</f>
        <v/>
      </c>
      <c r="N3039" s="3" t="n"/>
      <c r="O3039" s="2" t="n"/>
    </row>
    <row r="3040">
      <c r="A3040" s="2" t="n">
        <v>3039</v>
      </c>
      <c r="B3040" s="2" t="inlineStr"/>
      <c r="C3040" s="2" t="n">
        <v>11382</v>
      </c>
      <c r="D3040" s="3" t="inlineStr">
        <is>
          <t>Старое танго</t>
        </is>
      </c>
      <c r="E3040" s="2" t="n">
        <v>1979</v>
      </c>
      <c r="F3040" s="2" t="inlineStr">
        <is>
          <t>фильм-опера/балет</t>
        </is>
      </c>
      <c r="G3040" s="2" t="inlineStr">
        <is>
          <t>Лентелефильм</t>
        </is>
      </c>
      <c r="H3040" s="2" t="n">
        <v>310</v>
      </c>
      <c r="I3040" s="2" t="inlineStr"/>
      <c r="J3040" s="2" t="inlineStr"/>
      <c r="K3040" s="3" t="inlineStr">
        <is>
          <t>Фильм-балет. По мотивам австрийского фильма «Петер» с Франческой Гааль. По улице мчится воришка, спасаясь от погони. На площади он сталкивается с девушкой, которая понуро бредет неведомо куда. Она только что потеряла работу и не знает, что ей делать. Воришка увлекает ее в подворотню, где они меняются одеждой.</t>
        </is>
      </c>
      <c r="L3040" s="2" t="inlineStr">
        <is>
          <t>Кино_СССР телефильмы и пропуски включить в базу.xlsx</t>
        </is>
      </c>
      <c r="M3040" s="2">
        <f>HYPERLINK("https://ru.wikipedia.org/w/index.php?search=%D0%A1%D1%82%D0%B0%D1%80%D0%BE%D0%B5%20%D1%82%D0%B0%D0%BD%D0%B3%D0%BE%201979%20%D1%84%D0%B8%D0%BB%D1%8C%D0%BC","искать")</f>
        <v/>
      </c>
      <c r="N3040" s="3" t="n"/>
      <c r="O3040" s="2" t="n"/>
    </row>
    <row r="3041">
      <c r="A3041" s="2" t="n">
        <v>3040</v>
      </c>
      <c r="B3041" s="2" t="inlineStr"/>
      <c r="C3041" s="2" t="n">
        <v>7547</v>
      </c>
      <c r="D3041" s="3" t="inlineStr">
        <is>
          <t>Дон Сезар де Базан</t>
        </is>
      </c>
      <c r="E3041" s="2" t="n">
        <v>1989</v>
      </c>
      <c r="F3041" s="2" t="inlineStr">
        <is>
          <t>телефильм</t>
        </is>
      </c>
      <c r="G3041" s="2" t="n"/>
      <c r="H3041" s="2" t="n">
        <v>311</v>
      </c>
      <c r="I3041" s="2" t="inlineStr"/>
      <c r="J3041" s="2" t="inlineStr"/>
      <c r="K3041" s="3" t="inlineStr">
        <is>
          <t>Телефильм. Музыкальная комедия по мотивам одноименной пьесы Филиппа Дюмануара и Адольфа Д`Эннери. Испания XVIII век. История любви обедневшего графа и уличной танцовщицы, участие в которой, к несчастью, принимал сам король… Последняя работа в кино Юрия Богатырёва. На экраны фильм вышел уже после смерти актёра.</t>
        </is>
      </c>
      <c r="L3041" s="2" t="inlineStr">
        <is>
          <t>Кино_СССР сводный каталог.xlsx: список телефильмов</t>
        </is>
      </c>
      <c r="M3041" s="2">
        <f>HYPERLINK("https://ru.wikipedia.org/w/index.php?search=%D0%94%D0%BE%D0%BD%20%D0%A1%D0%B5%D0%B7%D0%B0%D1%80%20%D0%B4%D0%B5%20%D0%91%D0%B0%D0%B7%D0%B0%D0%BD%201989%20%D1%84%D0%B8%D0%BB%D1%8C%D0%BC","искать")</f>
        <v/>
      </c>
      <c r="N3041" s="3" t="n"/>
      <c r="O3041" s="2" t="n"/>
    </row>
    <row r="3042">
      <c r="A3042" s="2" t="n">
        <v>3041</v>
      </c>
      <c r="B3042" s="2" t="inlineStr"/>
      <c r="C3042" s="2" t="n">
        <v>8529</v>
      </c>
      <c r="D3042" s="3" t="inlineStr">
        <is>
          <t>Хочу сделать признание</t>
        </is>
      </c>
      <c r="E3042" s="2" t="n">
        <v>1989</v>
      </c>
      <c r="F3042" s="2" t="inlineStr">
        <is>
          <t>телефильм</t>
        </is>
      </c>
      <c r="G3042" s="2" t="n"/>
      <c r="H3042" s="2" t="n">
        <v>311</v>
      </c>
      <c r="I3042" s="2" t="inlineStr"/>
      <c r="J3042" s="2" t="inlineStr"/>
      <c r="K3042" s="3" t="inlineStr">
        <is>
          <t>Мелодрама по мотивам повести Ю.Мушкетика "Боль". Николай вместе с женой, которую нежно любит, приезжает в деревню к матери. Невестка дарит ей шаль и называет красавицей. "Ну что ты! - отвечает она. - Я и в молодости красавицей не была!" После ряда событий Николай решает остаться в деревне и работать в колхозе.</t>
        </is>
      </c>
      <c r="L3042" s="2" t="inlineStr">
        <is>
          <t>Кино_СССР сводный каталог.xlsx: список телефильмов</t>
        </is>
      </c>
      <c r="M3042" s="2">
        <f>HYPERLINK("https://ru.wikipedia.org/w/index.php?search=%D0%A5%D0%BE%D1%87%D1%83%20%D1%81%D0%B4%D0%B5%D0%BB%D0%B0%D1%82%D1%8C%20%D0%BF%D1%80%D0%B8%D0%B7%D0%BD%D0%B0%D0%BD%D0%B8%D0%B5%201989%20%D1%84%D0%B8%D0%BB%D1%8C%D0%BC","искать")</f>
        <v/>
      </c>
      <c r="N3042" s="3" t="n"/>
      <c r="O3042" s="2" t="n"/>
    </row>
    <row r="3043">
      <c r="A3043" s="2" t="n">
        <v>3042</v>
      </c>
      <c r="B3043" s="2" t="inlineStr"/>
      <c r="C3043" s="2" t="n">
        <v>8936</v>
      </c>
      <c r="D3043" s="3" t="inlineStr">
        <is>
          <t>По ком тюрьма плачет...</t>
        </is>
      </c>
      <c r="E3043" s="2" t="n">
        <v>1991</v>
      </c>
      <c r="F3043" s="2" t="inlineStr">
        <is>
          <t>кинофильм</t>
        </is>
      </c>
      <c r="G3043" s="2" t="n"/>
      <c r="H3043" s="2" t="n">
        <v>311</v>
      </c>
      <c r="I3043" s="2" t="inlineStr"/>
      <c r="J3043" s="2" t="inlineStr"/>
      <c r="K3043" s="3" t="inlineStr">
        <is>
          <t>Гия, скромный преподаватель музыкальной школы, получает в наследство чемодан и дом на Лазурном берегу. Чемодан оказывается пустым, а Лазурный берег - безлюдным местом на Крайнем Севере. Познакомившись с расторопной девушкой Машей, Гия узнает от нее, как за время перелета с Севера пустой чемодан сделать полным.</t>
        </is>
      </c>
      <c r="L3043" s="2" t="inlineStr">
        <is>
          <t>Кино_СССР сводный каталог.xlsx: список фильмов (доп.)</t>
        </is>
      </c>
      <c r="M3043" s="2">
        <f>HYPERLINK("https://ru.wikipedia.org/w/index.php?search=%D0%9F%D0%BE%20%D0%BA%D0%BE%D0%BC%20%D1%82%D1%8E%D1%80%D1%8C%D0%BC%D0%B0%20%D0%BF%D0%BB%D0%B0%D1%87%D0%B5%D1%82...%201991%20%D1%84%D0%B8%D0%BB%D1%8C%D0%BC","искать")</f>
        <v/>
      </c>
      <c r="N3043" s="3" t="n"/>
      <c r="O3043" s="2" t="n"/>
    </row>
    <row r="3044">
      <c r="A3044" s="2" t="n">
        <v>3043</v>
      </c>
      <c r="B3044" s="2" t="inlineStr"/>
      <c r="C3044" s="2" t="n">
        <v>8988</v>
      </c>
      <c r="D3044" s="3" t="inlineStr">
        <is>
          <t>Проснуться в Шанхае</t>
        </is>
      </c>
      <c r="E3044" s="2" t="n">
        <v>1991</v>
      </c>
      <c r="F3044" s="2" t="inlineStr">
        <is>
          <t>кинофильм</t>
        </is>
      </c>
      <c r="G3044" s="2" t="n"/>
      <c r="H3044" s="2" t="n">
        <v>311</v>
      </c>
      <c r="I3044" s="2" t="inlineStr"/>
      <c r="J3044" s="2" t="inlineStr"/>
      <c r="K3044" s="3" t="inlineStr">
        <is>
          <t>Эту историю, случившуюся в трущобах одесской окраины, можно назвать историей первой любви. Старшеклассники Виталий и Лена познакомились случайно. Подражая своим родителям, герои вдруг поняли, что даже недобрые отношения близких людей не могут помешать их чувству... В фильме снимались непрофессиональные актеры.</t>
        </is>
      </c>
      <c r="L3044" s="2" t="inlineStr">
        <is>
          <t>Кино_СССР сводный каталог.xlsx: список фильмов (доп.)</t>
        </is>
      </c>
      <c r="M3044" s="2">
        <f>HYPERLINK("https://ru.wikipedia.org/w/index.php?search=%D0%9F%D1%80%D0%BE%D1%81%D0%BD%D1%83%D1%82%D1%8C%D1%81%D1%8F%20%D0%B2%20%D0%A8%D0%B0%D0%BD%D1%85%D0%B0%D0%B5%201991%20%D1%84%D0%B8%D0%BB%D1%8C%D0%BC","искать")</f>
        <v/>
      </c>
      <c r="N3044" s="3" t="n"/>
      <c r="O3044" s="2" t="n"/>
    </row>
    <row r="3045">
      <c r="A3045" s="2" t="n">
        <v>3044</v>
      </c>
      <c r="B3045" s="2" t="inlineStr"/>
      <c r="C3045" s="2" t="n">
        <v>9015</v>
      </c>
      <c r="D3045" s="3" t="inlineStr">
        <is>
          <t>Рогоносец</t>
        </is>
      </c>
      <c r="E3045" s="2" t="n">
        <v>1990</v>
      </c>
      <c r="F3045" s="2" t="inlineStr">
        <is>
          <t>кинофильм</t>
        </is>
      </c>
      <c r="G3045" s="2" t="n"/>
      <c r="H3045" s="2" t="n">
        <v>311</v>
      </c>
      <c r="I3045" s="2" t="inlineStr"/>
      <c r="J3045" s="2" t="inlineStr"/>
      <c r="K3045" s="3" t="inlineStr">
        <is>
          <t>После нескольких лет счастливой семейной жизни жена изменила мужу. Для мужчины это - настоящая трагедия. Перед ним встают вопросы: как жить дальше? Простить измену ли нет? Можно ли продолжать любить после предательства? Тяжелые переживания приводят к тому, что у мужа появляется навязчивая идея - убить любимую.</t>
        </is>
      </c>
      <c r="L3045" s="2" t="inlineStr">
        <is>
          <t>Кино_СССР сводный каталог.xlsx: список фильмов (доп.)</t>
        </is>
      </c>
      <c r="M3045" s="2">
        <f>HYPERLINK("https://ru.wikipedia.org/w/index.php?search=%D0%A0%D0%BE%D0%B3%D0%BE%D0%BD%D0%BE%D1%81%D0%B5%D1%86%201990%20%D1%84%D0%B8%D0%BB%D1%8C%D0%BC","искать")</f>
        <v/>
      </c>
      <c r="N3045" s="3" t="n"/>
      <c r="O3045" s="2" t="n"/>
    </row>
    <row r="3046">
      <c r="A3046" s="2" t="n">
        <v>3045</v>
      </c>
      <c r="B3046" s="2" t="inlineStr"/>
      <c r="C3046" s="2" t="n">
        <v>9186</v>
      </c>
      <c r="D3046" s="3" t="inlineStr">
        <is>
          <t>Эхо в пуще</t>
        </is>
      </c>
      <c r="E3046" s="2" t="n">
        <v>1977</v>
      </c>
      <c r="F3046" s="2" t="inlineStr">
        <is>
          <t>кинофильм</t>
        </is>
      </c>
      <c r="G3046" s="2" t="n"/>
      <c r="H3046" s="2" t="n">
        <v>311</v>
      </c>
      <c r="I3046" s="2" t="inlineStr"/>
      <c r="J3046" s="2" t="inlineStr"/>
      <c r="K3046" s="3" t="inlineStr">
        <is>
          <t>«Вслушайтесь в тревожный отголосок далекого 1924 года… Сквозь плач январской метели и шум настороженной пущи услышите шаги первых белорусских коммунаров – бывшие батраки в панском фольварке начали жить коммуной….», - так начинается фильм “Эхо в пуще”. События фильма развиваются на границе Белоруссии с Польшей.</t>
        </is>
      </c>
      <c r="L3046" s="2" t="inlineStr">
        <is>
          <t>Кино_СССР сводный каталог.xlsx: список фильмов (доп.)</t>
        </is>
      </c>
      <c r="M3046" s="2">
        <f>HYPERLINK("https://ru.wikipedia.org/w/index.php?search=%D0%AD%D1%85%D0%BE%20%D0%B2%20%D0%BF%D1%83%D1%89%D0%B5%201977%20%D1%84%D0%B8%D0%BB%D1%8C%D0%BC","искать")</f>
        <v/>
      </c>
      <c r="N3046" s="3" t="n"/>
      <c r="O3046" s="2" t="n"/>
    </row>
    <row r="3047">
      <c r="A3047" s="2" t="n">
        <v>3046</v>
      </c>
      <c r="B3047" s="2" t="inlineStr"/>
      <c r="C3047" s="2" t="n">
        <v>9229</v>
      </c>
      <c r="D3047" s="3" t="inlineStr">
        <is>
          <t>Белая роза</t>
        </is>
      </c>
      <c r="E3047" s="2" t="n">
        <v>1943</v>
      </c>
      <c r="F3047" s="2" t="inlineStr">
        <is>
          <t>кинофильм</t>
        </is>
      </c>
      <c r="G3047" s="2" t="n"/>
      <c r="H3047" s="2" t="n">
        <v>311</v>
      </c>
      <c r="I3047" s="2" t="inlineStr"/>
      <c r="J3047" s="2" t="inlineStr"/>
      <c r="K3047" s="3" t="inlineStr">
        <is>
          <t>О любви молодой колхозницы и раненого офицера. Джакпана выделила из трех соперничавших джигитов и полюбила прекрасная Сабира. Но Джакпан - фронтовик и боится только одного, что, погибнув, разобьет сердце красавицы, и поэтому скрывает от любимой свои чувства. Документов, запрещающих фильм, разыскать не удалось.</t>
        </is>
      </c>
      <c r="L3047" s="2" t="inlineStr">
        <is>
          <t>Кино_СССР сводный каталог.xlsx: список фильмов (доп.)</t>
        </is>
      </c>
      <c r="M3047" s="2">
        <f>HYPERLINK("https://ru.wikipedia.org/w/index.php?search=%D0%91%D0%B5%D0%BB%D0%B0%D1%8F%20%D1%80%D0%BE%D0%B7%D0%B0%201943%20%D1%84%D0%B8%D0%BB%D1%8C%D0%BC","искать")</f>
        <v/>
      </c>
      <c r="N3047" s="3" t="n"/>
      <c r="O3047" s="2" t="n"/>
    </row>
    <row r="3048">
      <c r="A3048" s="2" t="n">
        <v>3047</v>
      </c>
      <c r="B3048" s="2" t="inlineStr"/>
      <c r="C3048" s="2" t="n">
        <v>9332</v>
      </c>
      <c r="D3048" s="3" t="inlineStr">
        <is>
          <t>Десять лет без права переписки</t>
        </is>
      </c>
      <c r="E3048" s="2" t="n">
        <v>1990</v>
      </c>
      <c r="F3048" s="2" t="inlineStr">
        <is>
          <t>кинофильм</t>
        </is>
      </c>
      <c r="G3048" s="2" t="n"/>
      <c r="H3048" s="2" t="n">
        <v>311</v>
      </c>
      <c r="I3048" s="2" t="inlineStr"/>
      <c r="J3048" s="2" t="inlineStr"/>
      <c r="K3048" s="3" t="inlineStr">
        <is>
          <t>После окончания войны, Михаил появляется в Москве, чтобы отомстить Завьялову, по доносу которого в 1937 году был расстрелян отец Михаила. Михаил действует открыто, выносит доносчику приговор и приводит его в исполнение: убивает Завьялова и остается ждать сотрудников НКВД, которых тот успел вызвать по телефону.</t>
        </is>
      </c>
      <c r="L3048" s="2" t="inlineStr">
        <is>
          <t>Кино_СССР сводный каталог.xlsx: список фильмов (доп.)</t>
        </is>
      </c>
      <c r="M3048" s="2">
        <f>HYPERLINK("https://ru.wikipedia.org/w/index.php?search=%D0%94%D0%B5%D1%81%D1%8F%D1%82%D1%8C%20%D0%BB%D0%B5%D1%82%20%D0%B1%D0%B5%D0%B7%20%D0%BF%D1%80%D0%B0%D0%B2%D0%B0%20%D0%BF%D0%B5%D1%80%D0%B5%D0%BF%D0%B8%D1%81%D0%BA%D0%B8%201990%20%D1%84%D0%B8%D0%BB%D1%8C%D0%BC","искать")</f>
        <v/>
      </c>
      <c r="N3048" s="3" t="n"/>
      <c r="O3048" s="2" t="n"/>
    </row>
    <row r="3049">
      <c r="A3049" s="2" t="n">
        <v>3048</v>
      </c>
      <c r="B3049" s="2" t="inlineStr"/>
      <c r="C3049" s="2" t="n">
        <v>9591</v>
      </c>
      <c r="D3049" s="3" t="inlineStr">
        <is>
          <t>Пришелец</t>
        </is>
      </c>
      <c r="E3049" s="2" t="n">
        <v>1979</v>
      </c>
      <c r="F3049" s="2" t="inlineStr">
        <is>
          <t>кинофильм</t>
        </is>
      </c>
      <c r="G3049" s="2" t="n"/>
      <c r="H3049" s="2" t="n">
        <v>311</v>
      </c>
      <c r="I3049" s="2" t="inlineStr"/>
      <c r="J3049" s="2" t="inlineStr"/>
      <c r="K3049" s="3" t="inlineStr">
        <is>
          <t>По повести Евгения Шатько «Пришелец-73». Колхозный механизатор Ефим Тишкин с похмелья махнул в другую галактику на планету Рюм. Одновременно инопланетянин с планеты Рюм Глоуз попадает на Землю в обыкновенное украинское село и влюбляется в жену Тишкина. Дело в том, что Тишкин и Глоуз похожи, как две капли воды.</t>
        </is>
      </c>
      <c r="L3049" s="2" t="inlineStr">
        <is>
          <t>Кино_СССР сводный каталог.xlsx: список фильмов (доп.)</t>
        </is>
      </c>
      <c r="M3049" s="2">
        <f>HYPERLINK("https://ru.wikipedia.org/w/index.php?search=%D0%9F%D1%80%D0%B8%D1%88%D0%B5%D0%BB%D0%B5%D1%86%201979%20%D1%84%D0%B8%D0%BB%D1%8C%D0%BC","искать")</f>
        <v/>
      </c>
      <c r="N3049" s="3" t="n"/>
      <c r="O3049" s="2" t="n"/>
    </row>
    <row r="3050">
      <c r="A3050" s="2" t="n">
        <v>3049</v>
      </c>
      <c r="B3050" s="2" t="inlineStr"/>
      <c r="C3050" s="2" t="n">
        <v>9605</v>
      </c>
      <c r="D3050" s="3" t="inlineStr">
        <is>
          <t>Публикация</t>
        </is>
      </c>
      <c r="E3050" s="2" t="n">
        <v>1988</v>
      </c>
      <c r="F3050" s="2" t="inlineStr">
        <is>
          <t>кинофильм</t>
        </is>
      </c>
      <c r="G3050" s="2" t="n"/>
      <c r="H3050" s="2" t="n">
        <v>311</v>
      </c>
      <c r="I3050" s="2" t="inlineStr"/>
      <c r="J3050" s="2" t="inlineStr"/>
      <c r="K3050" s="3" t="inlineStr">
        <is>
          <t>В школе произошло ЧП. Старая заслуженная учительница с сердечным приступом попала в больницу после того, как в газете была опубликована статья, в которой против нее были выдвинуты несправедливые обвинения. А когда в десятом классе появилась новая учительница, один из учеников решил восстановить справедливость.</t>
        </is>
      </c>
      <c r="L3050" s="2" t="inlineStr">
        <is>
          <t>Кино_СССР сводный каталог.xlsx: список фильмов (доп.)</t>
        </is>
      </c>
      <c r="M3050" s="2">
        <f>HYPERLINK("https://ru.wikipedia.org/w/index.php?search=%D0%9F%D1%83%D0%B1%D0%BB%D0%B8%D0%BA%D0%B0%D1%86%D0%B8%D1%8F%201988%20%D1%84%D0%B8%D0%BB%D1%8C%D0%BC","искать")</f>
        <v/>
      </c>
      <c r="N3050" s="3" t="n"/>
      <c r="O3050" s="2" t="n"/>
    </row>
    <row r="3051">
      <c r="A3051" s="2" t="n">
        <v>3050</v>
      </c>
      <c r="B3051" s="2" t="inlineStr"/>
      <c r="C3051" s="2" t="n">
        <v>9689</v>
      </c>
      <c r="D3051" s="3" t="inlineStr">
        <is>
          <t>Тёмные аллеи</t>
        </is>
      </c>
      <c r="E3051" s="2" t="n">
        <v>1991</v>
      </c>
      <c r="F3051" s="2" t="inlineStr">
        <is>
          <t>кинофильм</t>
        </is>
      </c>
      <c r="G3051" s="2" t="n"/>
      <c r="H3051" s="2" t="n">
        <v>311</v>
      </c>
      <c r="I3051" s="2" t="inlineStr"/>
      <c r="J3051" s="2" t="inlineStr"/>
      <c r="K3051" s="3" t="inlineStr">
        <is>
          <t>По мотивам рассказов Ивана Бунина. Супружеская пара едет в Крым на отдых. Не доезжая до Подольска, поезд останавливается. Главный герой рассказывает супруге, что недалеко от этого места в дачной усадьбе, в юности, он жил на каникулах. Подробности его первого романа заполняют паузу вынужденной остановки поезда.</t>
        </is>
      </c>
      <c r="L3051" s="2" t="inlineStr">
        <is>
          <t>Кино_СССР сводный каталог.xlsx: список фильмов (доп.)</t>
        </is>
      </c>
      <c r="M3051" s="2">
        <f>HYPERLINK("https://ru.wikipedia.org/w/index.php?search=%D0%A2%D1%91%D0%BC%D0%BD%D1%8B%D0%B5%20%D0%B0%D0%BB%D0%BB%D0%B5%D0%B8%201991%20%D1%84%D0%B8%D0%BB%D1%8C%D0%BC","искать")</f>
        <v/>
      </c>
      <c r="N3051" s="3" t="n"/>
      <c r="O3051" s="2" t="n"/>
    </row>
    <row r="3052">
      <c r="A3052" s="2" t="n">
        <v>3051</v>
      </c>
      <c r="B3052" s="2" t="inlineStr"/>
      <c r="C3052" s="2" t="n">
        <v>10947</v>
      </c>
      <c r="D3052" s="3" t="inlineStr">
        <is>
          <t>Мегрэ колеблется</t>
        </is>
      </c>
      <c r="E3052" s="2" t="n">
        <v>1982</v>
      </c>
      <c r="F3052" s="2" t="inlineStr">
        <is>
          <t>фильм-спектакль</t>
        </is>
      </c>
      <c r="G3052" s="2" t="inlineStr">
        <is>
          <t>Главная редакция литературно-драматических программ ЦТ</t>
        </is>
      </c>
      <c r="H3052" s="2" t="n">
        <v>311</v>
      </c>
      <c r="I3052" s="2" t="inlineStr"/>
      <c r="J3052" s="2" t="inlineStr"/>
      <c r="K3052" s="3" t="inlineStr">
        <is>
          <t>По одноименному роману Жоржа Сименона.
Комиссар Мегрэ получает письмо, в котором говорится о готовящемся убийстве. Письмо написано на почтовой бумаге редкого качества, и сразу удается узнать, что такой бумагой пользуется известный парижский адвокат Эмиль Парандон. Мегрэ отправляется с визитом в семью адвоката.</t>
        </is>
      </c>
      <c r="L3052" s="2" t="inlineStr">
        <is>
          <t>https://www.kino-teatr.ru/teatr/movie/8516/annot/</t>
        </is>
      </c>
      <c r="M3052" s="2">
        <f>HYPERLINK("https://ru.wikipedia.org/w/index.php?search=%D0%9C%D0%B5%D0%B3%D1%80%D1%8D%20%D0%BA%D0%BE%D0%BB%D0%B5%D0%B1%D0%BB%D0%B5%D1%82%D1%81%D1%8F%201982%20%D1%84%D0%B8%D0%BB%D1%8C%D0%BC","искать")</f>
        <v/>
      </c>
      <c r="N3052" s="3" t="n"/>
      <c r="O3052" s="2" t="n"/>
    </row>
    <row r="3053">
      <c r="A3053" s="2" t="n">
        <v>3052</v>
      </c>
      <c r="B3053" s="2" t="inlineStr"/>
      <c r="C3053" s="2" t="n">
        <v>11331</v>
      </c>
      <c r="D3053" s="3" t="inlineStr">
        <is>
          <t>Элоиза и Абеляр</t>
        </is>
      </c>
      <c r="E3053" s="2" t="n">
        <v>1990</v>
      </c>
      <c r="F3053" s="2" t="inlineStr">
        <is>
          <t>фильм-спектакль</t>
        </is>
      </c>
      <c r="G3053" s="2" t="inlineStr">
        <is>
          <t>Литовское телевидение</t>
        </is>
      </c>
      <c r="H3053" s="2" t="n">
        <v>311</v>
      </c>
      <c r="I3053" s="2" t="inlineStr"/>
      <c r="J3053" s="2" t="inlineStr"/>
      <c r="K3053" s="3" t="inlineStr">
        <is>
          <t>Спектакль поставлен по пьесе Костаса Остраускаса и рассказывает историю любви французского философа Средневековья Пьера Абеляра. Сюжетная линия спектакля переплетается в разных временах, иногда действие происходит здесь и сейчас, иногда на все события смотрим словно со стороны, через призму прошедшего времени.</t>
        </is>
      </c>
      <c r="L3053" s="2" t="inlineStr">
        <is>
          <t>https://www.kino-teatr.ru/teatr/movie/95673/annot/</t>
        </is>
      </c>
      <c r="M3053" s="2">
        <f>HYPERLINK("https://ru.wikipedia.org/w/index.php?search=%D0%AD%D0%BB%D0%BE%D0%B8%D0%B7%D0%B0%20%D0%B8%20%D0%90%D0%B1%D0%B5%D0%BB%D1%8F%D1%80%201990%20%D1%84%D0%B8%D0%BB%D1%8C%D0%BC","искать")</f>
        <v/>
      </c>
      <c r="N3053" s="3" t="n"/>
      <c r="O3053" s="2" t="n"/>
    </row>
    <row r="3054">
      <c r="A3054" s="2" t="n">
        <v>3053</v>
      </c>
      <c r="B3054" s="2" t="inlineStr"/>
      <c r="C3054" s="2" t="n">
        <v>7567</v>
      </c>
      <c r="D3054" s="3" t="inlineStr">
        <is>
          <t>Дуэнья</t>
        </is>
      </c>
      <c r="E3054" s="2" t="n">
        <v>1978</v>
      </c>
      <c r="F3054" s="2" t="inlineStr">
        <is>
          <t>телефильм</t>
        </is>
      </c>
      <c r="G3054" s="2" t="n"/>
      <c r="H3054" s="2" t="n">
        <v>312</v>
      </c>
      <c r="I3054" s="2" t="inlineStr"/>
      <c r="J3054" s="2" t="inlineStr"/>
      <c r="K3054" s="3" t="inlineStr">
        <is>
          <t>Музыкальная лента по пьесе английского драматурга Ричарда Б. Шеридана о том, как даже некрасивая и вышедшая из возраста невест хитрая дуэнья устраивает счастье молодых влюбленных, расстраивает планы богатого купца Мендосо, претендующего на руку ее воспитанницы Инессы, и, обведя его вокруг пальца, женит на себе.</t>
        </is>
      </c>
      <c r="L3054" s="2" t="inlineStr">
        <is>
          <t>Кино_СССР сводный каталог.xlsx: список телефильмов</t>
        </is>
      </c>
      <c r="M3054" s="2">
        <f>HYPERLINK("https://ru.wikipedia.org/w/index.php?search=%D0%94%D1%83%D1%8D%D0%BD%D1%8C%D1%8F%201978%20%D1%84%D0%B8%D0%BB%D1%8C%D0%BC","искать")</f>
        <v/>
      </c>
      <c r="N3054" s="3" t="n"/>
      <c r="O3054" s="2" t="n"/>
    </row>
    <row r="3055">
      <c r="A3055" s="2" t="n">
        <v>3054</v>
      </c>
      <c r="B3055" s="2" t="inlineStr"/>
      <c r="C3055" s="2" t="n">
        <v>7585</v>
      </c>
      <c r="D3055" s="3" t="inlineStr">
        <is>
          <t>Железные игры</t>
        </is>
      </c>
      <c r="E3055" s="2" t="n">
        <v>1979</v>
      </c>
      <c r="F3055" s="2" t="inlineStr">
        <is>
          <t>телефильм</t>
        </is>
      </c>
      <c r="G3055" s="2" t="n"/>
      <c r="H3055" s="2" t="n">
        <v>312</v>
      </c>
      <c r="I3055" s="2" t="inlineStr"/>
      <c r="J3055" s="2" t="inlineStr"/>
      <c r="K3055" s="3" t="inlineStr">
        <is>
          <t>Известный штангист Николай Басаргин, мечтая завершить свою карьеру установлением рекорда, пока переживает полосу явных поражений. Тем временем тренер Милютин, поставив крест на отслужившем свое спортсмене, принимается тренировать Володю Кроля. От чрезмерно интенсивных нагрузок молодой спортсмен получает травму.</t>
        </is>
      </c>
      <c r="L3055" s="2" t="inlineStr">
        <is>
          <t>Кино_СССР сводный каталог.xlsx: список телефильмов</t>
        </is>
      </c>
      <c r="M3055" s="2">
        <f>HYPERLINK("https://ru.wikipedia.org/w/index.php?search=%D0%96%D0%B5%D0%BB%D0%B5%D0%B7%D0%BD%D1%8B%D0%B5%20%D0%B8%D0%B3%D1%80%D1%8B%201979%20%D1%84%D0%B8%D0%BB%D1%8C%D0%BC","искать")</f>
        <v/>
      </c>
      <c r="N3055" s="3" t="n"/>
      <c r="O3055" s="2" t="n"/>
    </row>
    <row r="3056">
      <c r="A3056" s="2" t="n">
        <v>3055</v>
      </c>
      <c r="B3056" s="2" t="inlineStr"/>
      <c r="C3056" s="2" t="n">
        <v>7678</v>
      </c>
      <c r="D3056" s="3" t="inlineStr">
        <is>
          <t>Идущие за горизонт</t>
        </is>
      </c>
      <c r="E3056" s="2" t="n">
        <v>1972</v>
      </c>
      <c r="F3056" s="2" t="inlineStr">
        <is>
          <t>телефильм</t>
        </is>
      </c>
      <c r="G3056" s="2" t="n"/>
      <c r="H3056" s="2" t="n">
        <v>312</v>
      </c>
      <c r="I3056" s="2" t="inlineStr"/>
      <c r="J3056" s="2" t="inlineStr"/>
      <c r="K3056" s="3" t="inlineStr">
        <is>
          <t>Телефильм по повести Олега Куваева «Тройной полярный сюжет» («Птица капитана Росса»). Фильм о добре и силе человеческого духа. «Я открою родину птицы и люди поверят, что есть добро...» — так писал русский географ Шаваносов — мечтатель и романтик, заплативший жизнью за открытие гнездовья розовой чайки на Колыме.</t>
        </is>
      </c>
      <c r="L3056" s="2" t="inlineStr">
        <is>
          <t>Кино_СССР сводный каталог.xlsx: список телефильмов</t>
        </is>
      </c>
      <c r="M3056" s="2">
        <f>HYPERLINK("https://ru.wikipedia.org/w/index.php?search=%D0%98%D0%B4%D1%83%D1%89%D0%B8%D0%B5%20%D0%B7%D0%B0%20%D0%B3%D0%BE%D1%80%D0%B8%D0%B7%D0%BE%D0%BD%D1%82%201972%20%D1%84%D0%B8%D0%BB%D1%8C%D0%BC","искать")</f>
        <v/>
      </c>
      <c r="N3056" s="3" t="n"/>
      <c r="O3056" s="2" t="n"/>
    </row>
    <row r="3057">
      <c r="A3057" s="2" t="n">
        <v>3056</v>
      </c>
      <c r="B3057" s="2" t="inlineStr"/>
      <c r="C3057" s="2" t="n">
        <v>8212</v>
      </c>
      <c r="D3057" s="3" t="inlineStr">
        <is>
          <t>Приключения Электроника</t>
        </is>
      </c>
      <c r="E3057" s="2" t="n">
        <v>1979</v>
      </c>
      <c r="F3057" s="2" t="inlineStr">
        <is>
          <t>телефильм</t>
        </is>
      </c>
      <c r="G3057" s="2" t="n"/>
      <c r="H3057" s="2" t="n">
        <v>312</v>
      </c>
      <c r="I3057" s="2" t="inlineStr"/>
      <c r="J3057" s="2" t="inlineStr"/>
      <c r="K3057" s="3" t="inlineStr">
        <is>
          <t>Телефильм по одноименной книге Евгения Велтистова. Этот детский музыкальный фильм об удивительных приключениях мальчика и его двойника - электронного робота, желающего непременно узнать, что значит «быть человеком». - в начале восьмидесятых годов был несомненным рекордсменом по популярности у юных телезрителей.</t>
        </is>
      </c>
      <c r="L3057" s="2" t="inlineStr">
        <is>
          <t>Кино_СССР сводный каталог.xlsx: список телефильмов</t>
        </is>
      </c>
      <c r="M3057" s="2">
        <f>HYPERLINK("https://ru.wikipedia.org/w/index.php?search=%D0%9F%D1%80%D0%B8%D0%BA%D0%BB%D1%8E%D1%87%D0%B5%D0%BD%D0%B8%D1%8F%20%D0%AD%D0%BB%D0%B5%D0%BA%D1%82%D1%80%D0%BE%D0%BD%D0%B8%D0%BA%D0%B0%201979%20%D1%84%D0%B8%D0%BB%D1%8C%D0%BC","искать")</f>
        <v/>
      </c>
      <c r="N3057" s="3" t="n"/>
      <c r="O3057" s="2" t="n"/>
    </row>
    <row r="3058">
      <c r="A3058" s="2" t="n">
        <v>3057</v>
      </c>
      <c r="B3058" s="2" t="inlineStr"/>
      <c r="C3058" s="2" t="n">
        <v>8263</v>
      </c>
      <c r="D3058" s="3" t="inlineStr">
        <is>
          <t>Рассказ о простой вещи</t>
        </is>
      </c>
      <c r="E3058" s="2" t="n">
        <v>1975</v>
      </c>
      <c r="F3058" s="2" t="inlineStr">
        <is>
          <t>телефильм</t>
        </is>
      </c>
      <c r="G3058" s="2" t="n"/>
      <c r="H3058" s="2" t="n">
        <v>312</v>
      </c>
      <c r="I3058" s="2" t="inlineStr"/>
      <c r="J3058" s="2" t="inlineStr"/>
      <c r="K3058" s="3" t="inlineStr">
        <is>
          <t>Телефильм по рассказу Бориса Лавренёва. Чтобы вести подрывную работу, чекист остается в городе, занятом белыми. Для этого он подселяет в квартиру врача певицу, выпускницу консерватории, которую радостно встретила семья врача, а затем, после прихода белых, представляется мужем этой певицы - коммерсантом Кутерье.</t>
        </is>
      </c>
      <c r="L3058" s="2" t="inlineStr">
        <is>
          <t>Кино_СССР сводный каталог.xlsx: список телефильмов</t>
        </is>
      </c>
      <c r="M3058" s="2">
        <f>HYPERLINK("https://ru.wikipedia.org/w/index.php?search=%D0%A0%D0%B0%D1%81%D1%81%D0%BA%D0%B0%D0%B7%20%D0%BE%20%D0%BF%D1%80%D0%BE%D1%81%D1%82%D0%BE%D0%B9%20%D0%B2%D0%B5%D1%89%D0%B8%201975%20%D1%84%D0%B8%D0%BB%D1%8C%D0%BC","искать")</f>
        <v/>
      </c>
      <c r="N3058" s="3" t="n"/>
      <c r="O3058" s="2" t="n"/>
    </row>
    <row r="3059">
      <c r="A3059" s="2" t="n">
        <v>3058</v>
      </c>
      <c r="B3059" s="2" t="inlineStr"/>
      <c r="C3059" s="2" t="n">
        <v>8583</v>
      </c>
      <c r="D3059" s="3" t="inlineStr">
        <is>
          <t>Шофёр на один рейс</t>
        </is>
      </c>
      <c r="E3059" s="2" t="n">
        <v>1981</v>
      </c>
      <c r="F3059" s="2" t="inlineStr">
        <is>
          <t>телефильм</t>
        </is>
      </c>
      <c r="G3059" s="2" t="n"/>
      <c r="H3059" s="2" t="n">
        <v>312</v>
      </c>
      <c r="I3059" s="2" t="inlineStr"/>
      <c r="J3059" s="2" t="inlineStr"/>
      <c r="K3059" s="3" t="inlineStr">
        <is>
          <t>Шофер Михаил знакомится с приехавшей в Москву знатной колхозницей Софьей, помогает ей в покупке автомобиля и соглашается доставить его в колхоз. Он - вдовец, она разошлась с мужем. По просьбе Софьи он соглашается отвезти ее с дочерью и зятем домой. У Михаила возникает большое чувство к Софье, но ее дочь против.</t>
        </is>
      </c>
      <c r="L3059" s="2" t="inlineStr">
        <is>
          <t>Кино_СССР сводный каталог.xlsx: список телефильмов</t>
        </is>
      </c>
      <c r="M3059" s="2">
        <f>HYPERLINK("https://ru.wikipedia.org/w/index.php?search=%D0%A8%D0%BE%D1%84%D1%91%D1%80%20%D0%BD%D0%B0%20%D0%BE%D0%B4%D0%B8%D0%BD%20%D1%80%D0%B5%D0%B9%D1%81%201981%20%D1%84%D0%B8%D0%BB%D1%8C%D0%BC","искать")</f>
        <v/>
      </c>
      <c r="N3059" s="3" t="n"/>
      <c r="O3059" s="2" t="n"/>
    </row>
    <row r="3060">
      <c r="A3060" s="2" t="n">
        <v>3059</v>
      </c>
      <c r="B3060" s="2" t="inlineStr"/>
      <c r="C3060" s="2" t="n">
        <v>8799</v>
      </c>
      <c r="D3060" s="3" t="inlineStr">
        <is>
          <t>Лицом к стене</t>
        </is>
      </c>
      <c r="E3060" s="2" t="n">
        <v>1989</v>
      </c>
      <c r="F3060" s="2" t="inlineStr">
        <is>
          <t>кинофильм</t>
        </is>
      </c>
      <c r="G3060" s="2" t="n"/>
      <c r="H3060" s="2" t="n">
        <v>312</v>
      </c>
      <c r="I3060" s="2" t="inlineStr"/>
      <c r="J3060" s="2" t="inlineStr"/>
      <c r="K3060" s="3" t="inlineStr">
        <is>
          <t>Молодому юристу в первый день службы поручают закончить дело, которое до этого вел его предшественник, умерший накануне. Однако блестяще распутав дело и засвидетельствовав связи преступников с прокуратурой, герой принимает неожиданное для профессионала решение - покончить с мирской жизнью и постричься в монахи.</t>
        </is>
      </c>
      <c r="L3060" s="2" t="inlineStr">
        <is>
          <t>Кино_СССР сводный каталог.xlsx: список фильмов (доп.)</t>
        </is>
      </c>
      <c r="M3060" s="2">
        <f>HYPERLINK("https://ru.wikipedia.org/w/index.php?search=%D0%9B%D0%B8%D1%86%D0%BE%D0%BC%20%D0%BA%20%D1%81%D1%82%D0%B5%D0%BD%D0%B5%201989%20%D1%84%D0%B8%D0%BB%D1%8C%D0%BC","искать")</f>
        <v/>
      </c>
      <c r="N3060" s="3" t="n"/>
      <c r="O3060" s="2" t="n"/>
    </row>
    <row r="3061">
      <c r="A3061" s="2" t="n">
        <v>3060</v>
      </c>
      <c r="B3061" s="2" t="inlineStr"/>
      <c r="C3061" s="2" t="n">
        <v>8817</v>
      </c>
      <c r="D3061" s="3" t="inlineStr">
        <is>
          <t>Мама, я жив!</t>
        </is>
      </c>
      <c r="E3061" s="2" t="n">
        <v>1976</v>
      </c>
      <c r="F3061" s="2" t="inlineStr">
        <is>
          <t>кинофильм</t>
        </is>
      </c>
      <c r="G3061" s="2" t="n"/>
      <c r="H3061" s="2" t="n">
        <v>312</v>
      </c>
      <c r="I3061" s="2" t="inlineStr"/>
      <c r="J3061" s="2" t="inlineStr"/>
      <c r="K3061" s="3" t="inlineStr">
        <is>
          <t>О судьбе четырех немецких военнопленных в СССР, которые в плену согласились получить подготовку, чтобы быть использованными против германского вермахта. У каждого из этих солдат своя история, свой мотив, почему он идет на такой шаг. Их товарищи относятся к ним с презрением, а в Красной Армии они поначалу чужие.</t>
        </is>
      </c>
      <c r="L3061" s="2" t="inlineStr">
        <is>
          <t>Кино_СССР сводный каталог.xlsx: список фильмов (доп.)</t>
        </is>
      </c>
      <c r="M3061" s="2">
        <f>HYPERLINK("https://ru.wikipedia.org/w/index.php?search=%D0%9C%D0%B0%D0%BC%D0%B0%2C%20%D1%8F%20%D0%B6%D0%B8%D0%B2%21%201976%20%D1%84%D0%B8%D0%BB%D1%8C%D0%BC","искать")</f>
        <v/>
      </c>
      <c r="N3061" s="3" t="n"/>
      <c r="O3061" s="2" t="n"/>
    </row>
    <row r="3062">
      <c r="A3062" s="2" t="n">
        <v>3061</v>
      </c>
      <c r="B3062" s="2" t="inlineStr"/>
      <c r="C3062" s="2" t="n">
        <v>9136</v>
      </c>
      <c r="D3062" s="3" t="inlineStr">
        <is>
          <t>Фанат</t>
        </is>
      </c>
      <c r="E3062" s="2" t="n">
        <v>1989</v>
      </c>
      <c r="F3062" s="2" t="inlineStr">
        <is>
          <t>кинофильм</t>
        </is>
      </c>
      <c r="G3062" s="2" t="n"/>
      <c r="H3062" s="2" t="n">
        <v>312</v>
      </c>
      <c r="I3062" s="2" t="inlineStr"/>
      <c r="J3062" s="2" t="inlineStr"/>
      <c r="K3062" s="3" t="inlineStr">
        <is>
          <t>Однажды мальчик Егор пришел заниматься в секцию каратэ. Кружком руководил Олег Иванович, который стал для малыша и отцом, и другом, и наставником. Прошли годы, Егор превратился в профессионала и начал зарабатывать на жизнь кикбоксингом. На ринге он получил прозвище Малыш, как когда-то его называл Олег Иванович.</t>
        </is>
      </c>
      <c r="L3062" s="2" t="inlineStr">
        <is>
          <t>Кино_СССР сводный каталог.xlsx: список фильмов (доп.)</t>
        </is>
      </c>
      <c r="M3062" s="2">
        <f>HYPERLINK("https://ru.wikipedia.org/w/index.php?search=%D0%A4%D0%B0%D0%BD%D0%B0%D1%82%201989%20%D1%84%D0%B8%D0%BB%D1%8C%D0%BC","искать")</f>
        <v/>
      </c>
      <c r="N3062" s="3" t="n"/>
      <c r="O3062" s="2" t="n"/>
    </row>
    <row r="3063">
      <c r="A3063" s="2" t="n">
        <v>3062</v>
      </c>
      <c r="B3063" s="2" t="inlineStr"/>
      <c r="C3063" s="2" t="n">
        <v>9245</v>
      </c>
      <c r="D3063" s="3" t="inlineStr">
        <is>
          <t>Блуждающие звёзды</t>
        </is>
      </c>
      <c r="E3063" s="2" t="n">
        <v>1991</v>
      </c>
      <c r="F3063" s="2" t="inlineStr">
        <is>
          <t>кинофильм</t>
        </is>
      </c>
      <c r="G3063" s="2" t="n"/>
      <c r="H3063" s="2" t="n">
        <v>312</v>
      </c>
      <c r="I3063" s="2" t="inlineStr"/>
      <c r="J3063" s="2" t="inlineStr"/>
      <c r="K3063" s="3" t="inlineStr">
        <is>
          <t>В маленьком еврейском местечке черты оседлости жил юноша Лейбл Рафалович, сын местного богача. Он любил дочь местного кантора Рейзл. Она отвечала ему взаимностью. Но вот в местечко призжает театр. Один из актёров, видя в Лейбле драматический талант, уговаривает его уехать в Румынию выступать, бросив родной дом.</t>
        </is>
      </c>
      <c r="L3063" s="2" t="inlineStr">
        <is>
          <t>Кино_СССР сводный каталог.xlsx: список фильмов (доп.)</t>
        </is>
      </c>
      <c r="M3063" s="2">
        <f>HYPERLINK("https://ru.wikipedia.org/w/index.php?search=%D0%91%D0%BB%D1%83%D0%B6%D0%B4%D0%B0%D1%8E%D1%89%D0%B8%D0%B5%20%D0%B7%D0%B2%D1%91%D0%B7%D0%B4%D1%8B%201991%20%D1%84%D0%B8%D0%BB%D1%8C%D0%BC","искать")</f>
        <v/>
      </c>
      <c r="N3063" s="3" t="n"/>
      <c r="O3063" s="2" t="n"/>
    </row>
    <row r="3064">
      <c r="A3064" s="2" t="n">
        <v>3063</v>
      </c>
      <c r="B3064" s="2" t="inlineStr"/>
      <c r="C3064" s="2" t="n">
        <v>9349</v>
      </c>
      <c r="D3064" s="3" t="inlineStr">
        <is>
          <t>Дура</t>
        </is>
      </c>
      <c r="E3064" s="2" t="n">
        <v>1991</v>
      </c>
      <c r="F3064" s="2" t="inlineStr">
        <is>
          <t>кинофильм</t>
        </is>
      </c>
      <c r="G3064" s="2" t="n"/>
      <c r="H3064" s="2" t="n">
        <v>312</v>
      </c>
      <c r="I3064" s="2" t="inlineStr"/>
      <c r="J3064" s="2" t="inlineStr"/>
      <c r="K3064" s="3" t="inlineStr">
        <is>
          <t>По мотивам одноименной пьесы Марселя Ашара. Фильм рассказывает об убийстве, в котором подозреваемой проходит любовница покойного, найденная голой и без чувств возле мертвого тела с пистолетом в руке. Придя в себя, она заявила, что убийства не совершала, а видела, как стреляла какая-то тень, появившаяся в двери.</t>
        </is>
      </c>
      <c r="L3064" s="2" t="inlineStr">
        <is>
          <t>Кино_СССР сводный каталог.xlsx: список фильмов (доп.)</t>
        </is>
      </c>
      <c r="M3064" s="2">
        <f>HYPERLINK("https://ru.wikipedia.org/w/index.php?search=%D0%94%D1%83%D1%80%D0%B0%201991%20%D1%84%D0%B8%D0%BB%D1%8C%D0%BC","искать")</f>
        <v/>
      </c>
      <c r="N3064" s="3" t="n"/>
      <c r="O3064" s="2" t="n"/>
    </row>
    <row r="3065">
      <c r="A3065" s="2" t="n">
        <v>3064</v>
      </c>
      <c r="B3065" s="2" t="inlineStr"/>
      <c r="C3065" s="2" t="n">
        <v>9636</v>
      </c>
      <c r="D3065" s="3" t="inlineStr">
        <is>
          <t>СекСказка</t>
        </is>
      </c>
      <c r="E3065" s="2" t="n">
        <v>1991</v>
      </c>
      <c r="F3065" s="2" t="inlineStr">
        <is>
          <t>кинофильм</t>
        </is>
      </c>
      <c r="G3065" s="2" t="n"/>
      <c r="H3065" s="2" t="n">
        <v>312</v>
      </c>
      <c r="I3065" s="2" t="inlineStr"/>
      <c r="J3065" s="2" t="inlineStr"/>
      <c r="K3065" s="3" t="inlineStr">
        <is>
          <t>Молодой человек встречает в ночь под Рождество женщину. Она подмечает в нем богатый дар воображения и поощряет его вспомнить о своих несбывшихся мечтах и грезах. Для исполнения желаний они придумывают волнующую игру, в которую с легкостью вовлекают прелестных женщин - героинь сладчайших полетов скромного юноши.</t>
        </is>
      </c>
      <c r="L3065" s="2" t="inlineStr">
        <is>
          <t>Кино_СССР сводный каталог.xlsx: список фильмов (доп.)</t>
        </is>
      </c>
      <c r="M3065" s="2">
        <f>HYPERLINK("https://ru.wikipedia.org/w/index.php?search=%D0%A1%D0%B5%D0%BA%D0%A1%D0%BA%D0%B0%D0%B7%D0%BA%D0%B0%201991%20%D1%84%D0%B8%D0%BB%D1%8C%D0%BC","искать")</f>
        <v/>
      </c>
      <c r="N3065" s="3" t="n"/>
      <c r="O3065" s="2" t="n"/>
    </row>
    <row r="3066">
      <c r="A3066" s="2" t="n">
        <v>3065</v>
      </c>
      <c r="B3066" s="2" t="inlineStr"/>
      <c r="C3066" s="2" t="n">
        <v>9643</v>
      </c>
      <c r="D3066" s="3" t="inlineStr">
        <is>
          <t>Синее небо</t>
        </is>
      </c>
      <c r="E3066" s="2" t="n">
        <v>1971</v>
      </c>
      <c r="F3066" s="2" t="inlineStr">
        <is>
          <t>кинофильм</t>
        </is>
      </c>
      <c r="G3066" s="2" t="n"/>
      <c r="H3066" s="2" t="n">
        <v>312</v>
      </c>
      <c r="I3066" s="2" t="inlineStr"/>
      <c r="J3066" s="2" t="inlineStr"/>
      <c r="K3066" s="3" t="inlineStr">
        <is>
          <t>Фильм посвящен тем, кто возвращает потерявшим зрение синее небо и все краски земли, - врачам-офтальмологам, их смелым экспериментам и научным поискам. Действие происходит в стенах научного Института глазных болезней им. В.П.Филатова. Главный герой, уже утративший надежду что-то увидеть, снова увидел синее небо.</t>
        </is>
      </c>
      <c r="L3066" s="2" t="inlineStr">
        <is>
          <t>Кино_СССР сводный каталог.xlsx: список фильмов (доп.)</t>
        </is>
      </c>
      <c r="M3066" s="2">
        <f>HYPERLINK("https://ru.wikipedia.org/w/index.php?search=%D0%A1%D0%B8%D0%BD%D0%B5%D0%B5%20%D0%BD%D0%B5%D0%B1%D0%BE%201971%20%D1%84%D0%B8%D0%BB%D1%8C%D0%BC","искать")</f>
        <v/>
      </c>
      <c r="N3066" s="3" t="n"/>
      <c r="O3066" s="2" t="n"/>
    </row>
    <row r="3067">
      <c r="A3067" s="2" t="n">
        <v>3066</v>
      </c>
      <c r="B3067" s="2" t="inlineStr"/>
      <c r="C3067" s="2" t="n">
        <v>9722</v>
      </c>
      <c r="D3067" s="3" t="inlineStr">
        <is>
          <t>Филиал</t>
        </is>
      </c>
      <c r="E3067" s="2" t="n">
        <v>1988</v>
      </c>
      <c r="F3067" s="2" t="inlineStr">
        <is>
          <t>кинофильм</t>
        </is>
      </c>
      <c r="G3067" s="2" t="n"/>
      <c r="H3067" s="2" t="n">
        <v>312</v>
      </c>
      <c r="I3067" s="2" t="inlineStr"/>
      <c r="J3067" s="2" t="inlineStr"/>
      <c r="K3067" s="3" t="inlineStr">
        <is>
          <t>Коммунальная квартира. Ее лабиринты служат и жильем для тех, кто не успел по разным причинам выехать, и прибежищем для филиала некого НИИ. В эту неразбериху, где велосипед соседствует с доской почета, а над рабочим служебным столом сохнет на веревке белье, и попадает молодой специалист Петр Румянцев (Харатьян).</t>
        </is>
      </c>
      <c r="L3067" s="2" t="inlineStr">
        <is>
          <t>Кино_СССР сводный каталог.xlsx: список фильмов (доп.)</t>
        </is>
      </c>
      <c r="M3067" s="2">
        <f>HYPERLINK("https://ru.wikipedia.org/w/index.php?search=%D0%A4%D0%B8%D0%BB%D0%B8%D0%B0%D0%BB%201988%20%D1%84%D0%B8%D0%BB%D1%8C%D0%BC","искать")</f>
        <v/>
      </c>
      <c r="N3067" s="3" t="n"/>
      <c r="O3067" s="2" t="n"/>
    </row>
    <row r="3068">
      <c r="A3068" s="2" t="n">
        <v>3067</v>
      </c>
      <c r="B3068" s="2" t="inlineStr"/>
      <c r="C3068" s="2" t="n">
        <v>10509</v>
      </c>
      <c r="D3068" s="3" t="inlineStr">
        <is>
          <t>Он пришёл</t>
        </is>
      </c>
      <c r="E3068" s="2" t="n">
        <v>1973</v>
      </c>
      <c r="F3068" s="2" t="inlineStr">
        <is>
          <t>фильм-спектакль</t>
        </is>
      </c>
      <c r="G3068" s="2" t="inlineStr">
        <is>
          <t>Главная редакция литературно-драматических программ</t>
        </is>
      </c>
      <c r="H3068" s="2" t="n">
        <v>312</v>
      </c>
      <c r="I3068" s="2" t="inlineStr"/>
      <c r="J3068" s="2" t="inlineStr"/>
      <c r="K3068" s="3" t="inlineStr">
        <is>
          <t>По мотивам пьесы Джона Бойнтона Пристли "Он пришёл".
В респектабельной английской семье появляется человек, выдающий себя за инспектора полиции. Показывая членам семьи фотографию бросившейся под поезд девушки, он выясняет, что все они способны на аморальные поступки, которые могли бы привести ее к самоубийству.</t>
        </is>
      </c>
      <c r="L3068" s="2" t="inlineStr">
        <is>
          <t>https://www.kino-teatr.ru/teatr/movie/30952/annot/</t>
        </is>
      </c>
      <c r="M3068" s="2">
        <f>HYPERLINK("https://ru.wikipedia.org/w/index.php?search=%D0%9E%D0%BD%20%D0%BF%D1%80%D0%B8%D1%88%D1%91%D0%BB%201973%20%D1%84%D0%B8%D0%BB%D1%8C%D0%BC","искать")</f>
        <v/>
      </c>
      <c r="N3068" s="3" t="n"/>
      <c r="O3068" s="2" t="n"/>
    </row>
    <row r="3069">
      <c r="A3069" s="2" t="n">
        <v>3068</v>
      </c>
      <c r="B3069" s="2" t="inlineStr"/>
      <c r="C3069" s="2" t="n">
        <v>10812</v>
      </c>
      <c r="D3069" s="3" t="inlineStr">
        <is>
          <t>Мужчины</t>
        </is>
      </c>
      <c r="E3069" s="2" t="n">
        <v>1979</v>
      </c>
      <c r="F3069" s="2" t="inlineStr">
        <is>
          <t>фильм-спектакль</t>
        </is>
      </c>
      <c r="G3069" s="2" t="n"/>
      <c r="H3069" s="2" t="n">
        <v>312</v>
      </c>
      <c r="I3069" s="2" t="inlineStr"/>
      <c r="J3069" s="2" t="inlineStr"/>
      <c r="K3069" s="3" t="inlineStr">
        <is>
          <t>Телеспектакль рассказывает про ленивых мужчин, которые не хотят смотреть телевизор. Некоторые из них живут за счет женщин, а другие хотят жениться на трудящихся женщинах, решив тем самым житейские проблемы. Но под влиянием советской атмосферы эти паразиты перевоспитываются и становятся на верный жизненный путь"</t>
        </is>
      </c>
      <c r="L3069" s="2" t="inlineStr">
        <is>
          <t>https://www.kino-teatr.ru/teatr/movie/97519/annot/</t>
        </is>
      </c>
      <c r="M3069" s="2">
        <f>HYPERLINK("https://ru.wikipedia.org/w/index.php?search=%D0%9C%D1%83%D0%B6%D1%87%D0%B8%D0%BD%D1%8B%201979%20%D1%84%D0%B8%D0%BB%D1%8C%D0%BC","искать")</f>
        <v/>
      </c>
      <c r="N3069" s="3" t="n"/>
      <c r="O3069" s="2" t="n"/>
    </row>
    <row r="3070">
      <c r="A3070" s="2" t="n">
        <v>3069</v>
      </c>
      <c r="B3070" s="2" t="inlineStr"/>
      <c r="C3070" s="2" t="n">
        <v>7208</v>
      </c>
      <c r="D3070" s="3" t="inlineStr">
        <is>
          <t>Американская трагедия</t>
        </is>
      </c>
      <c r="E3070" s="2" t="n">
        <v>1981</v>
      </c>
      <c r="F3070" s="2" t="inlineStr">
        <is>
          <t>телефильм</t>
        </is>
      </c>
      <c r="G3070" s="2" t="inlineStr">
        <is>
          <t>Литовская к/с</t>
        </is>
      </c>
      <c r="H3070" s="2" t="n">
        <v>313</v>
      </c>
      <c r="I3070" s="2" t="inlineStr"/>
      <c r="J3070" s="2" t="inlineStr"/>
      <c r="K3070" s="3" t="inlineStr">
        <is>
          <t>Телесериал по мотивам одноименного романа Теодора Драйзера. Клайд Гриффитс мечтает пойти вверх по карьерной лестнице и пробиться в высшие круги общества. Для того чтобы осуществить свою самую заветную мечту, Клайд готов абсолютно на все, он даже не остановится перед совершением страшного и нелепого преступления.</t>
        </is>
      </c>
      <c r="L3070" s="2" t="inlineStr">
        <is>
          <t>Кино_СССР сводный каталог.xlsx: список телефильмов</t>
        </is>
      </c>
      <c r="M3070" s="2">
        <f>HYPERLINK("https://ru.wikipedia.org/w/index.php?search=%D0%90%D0%BC%D0%B5%D1%80%D0%B8%D0%BA%D0%B0%D0%BD%D1%81%D0%BA%D0%B0%D1%8F%20%D1%82%D1%80%D0%B0%D0%B3%D0%B5%D0%B4%D0%B8%D1%8F%201981%20%D1%84%D0%B8%D0%BB%D1%8C%D0%BC","искать")</f>
        <v/>
      </c>
      <c r="N3070" s="3" t="n"/>
      <c r="O3070" s="2" t="n"/>
    </row>
    <row r="3071">
      <c r="A3071" s="2" t="n">
        <v>3070</v>
      </c>
      <c r="B3071" s="2" t="inlineStr"/>
      <c r="C3071" s="2" t="n">
        <v>7476</v>
      </c>
      <c r="D3071" s="3" t="inlineStr">
        <is>
          <t>Два дня из жизни Виктора Кингисеппа</t>
        </is>
      </c>
      <c r="E3071" s="2" t="n">
        <v>1980</v>
      </c>
      <c r="F3071" s="2" t="inlineStr">
        <is>
          <t>телефильм</t>
        </is>
      </c>
      <c r="G3071" s="2" t="n"/>
      <c r="H3071" s="2" t="n">
        <v>313</v>
      </c>
      <c r="I3071" s="2" t="inlineStr"/>
      <c r="J3071" s="2" t="inlineStr"/>
      <c r="K3071" s="3" t="inlineStr">
        <is>
          <t>Фильм о профессиональном эстонском революционере, об одном из создателей и лидеров коммунистической партии Эстонии Викторе Кингисеппе (1888 - 1922). Создатели картины рисуют личность революционера и большевика, досконально изображая два дня из его жизни в период Октябрьского восстания - 23 и 27 октября 1917 года</t>
        </is>
      </c>
      <c r="L3071" s="2" t="inlineStr">
        <is>
          <t>Кино_СССР сводный каталог.xlsx: список телефильмов</t>
        </is>
      </c>
      <c r="M3071" s="2">
        <f>HYPERLINK("https://ru.wikipedia.org/w/index.php?search=%D0%94%D0%B2%D0%B0%20%D0%B4%D0%BD%D1%8F%20%D0%B8%D0%B7%20%D0%B6%D0%B8%D0%B7%D0%BD%D0%B8%20%D0%92%D0%B8%D0%BA%D1%82%D0%BE%D1%80%D0%B0%20%D0%9A%D0%B8%D0%BD%D0%B3%D0%B8%D1%81%D0%B5%D0%BF%D0%BF%D0%B0%201980%20%D1%84%D0%B8%D0%BB%D1%8C%D0%BC","искать")</f>
        <v/>
      </c>
      <c r="N3071" s="3" t="n"/>
      <c r="O3071" s="2" t="n"/>
    </row>
    <row r="3072">
      <c r="A3072" s="2" t="n">
        <v>3071</v>
      </c>
      <c r="B3072" s="2" t="inlineStr"/>
      <c r="C3072" s="2" t="n">
        <v>8104</v>
      </c>
      <c r="D3072" s="3" t="inlineStr">
        <is>
          <t>Песни над облаками</t>
        </is>
      </c>
      <c r="E3072" s="2" t="n">
        <v>1976</v>
      </c>
      <c r="F3072" s="2" t="inlineStr">
        <is>
          <t>телефильм</t>
        </is>
      </c>
      <c r="G3072" s="2" t="n"/>
      <c r="H3072" s="2" t="n">
        <v>313</v>
      </c>
      <c r="I3072" s="2" t="inlineStr"/>
      <c r="J3072" s="2" t="inlineStr"/>
      <c r="K3072" s="3" t="inlineStr">
        <is>
          <t>Бравый джигит Махмут (Спартак Мишулин) решил съездить на малую родину на Северном Кавказе из Москвы, где у него дела не очень ладятся на работе в цирке. Цель приезда уважительная: повидать знакомых и, главное, выдать замуж сестру-красавицу Нафисат (Ия Нинидзе), которая работает в полеводческой бригаде в колхозе.</t>
        </is>
      </c>
      <c r="L3072" s="2" t="inlineStr">
        <is>
          <t>Кино_СССР сводный каталог.xlsx: список телефильмов</t>
        </is>
      </c>
      <c r="M3072" s="2">
        <f>HYPERLINK("https://ru.wikipedia.org/w/index.php?search=%D0%9F%D0%B5%D1%81%D0%BD%D0%B8%20%D0%BD%D0%B0%D0%B4%20%D0%BE%D0%B1%D0%BB%D0%B0%D0%BA%D0%B0%D0%BC%D0%B8%201976%20%D1%84%D0%B8%D0%BB%D1%8C%D0%BC","искать")</f>
        <v/>
      </c>
      <c r="N3072" s="3" t="n"/>
      <c r="O3072" s="2" t="n"/>
    </row>
    <row r="3073">
      <c r="A3073" s="2" t="n">
        <v>3072</v>
      </c>
      <c r="B3073" s="2" t="inlineStr"/>
      <c r="C3073" s="2" t="n">
        <v>8184</v>
      </c>
      <c r="D3073" s="3" t="inlineStr">
        <is>
          <t>Праздник ожидания праздника</t>
        </is>
      </c>
      <c r="E3073" s="2" t="n">
        <v>1989</v>
      </c>
      <c r="F3073" s="2" t="inlineStr">
        <is>
          <t>телефильм</t>
        </is>
      </c>
      <c r="G3073" s="2" t="n"/>
      <c r="H3073" s="2" t="n">
        <v>313</v>
      </c>
      <c r="I3073" s="2" t="inlineStr"/>
      <c r="J3073" s="2" t="inlineStr"/>
      <c r="K3073" s="3" t="inlineStr">
        <is>
          <t>Детский телесериал. По рассказам Фазиля Искандера. Мальчик Чик приезжает из Москвы в грузинский город, где сталкивается с детскими, но достаточно серьезными проблемами... 1-я серия - "Чаепитие и любовь к морю" 2-я серия - "Возмездие, или Животные в городе" 3-я серия - "Великий поход за мастикой, или Слава Чика".</t>
        </is>
      </c>
      <c r="L3073" s="2" t="inlineStr">
        <is>
          <t>Кино_СССР сводный каталог.xlsx: список телефильмов</t>
        </is>
      </c>
      <c r="M3073" s="2">
        <f>HYPERLINK("https://ru.wikipedia.org/w/index.php?search=%D0%9F%D1%80%D0%B0%D0%B7%D0%B4%D0%BD%D0%B8%D0%BA%20%D0%BE%D0%B6%D0%B8%D0%B4%D0%B0%D0%BD%D0%B8%D1%8F%20%D0%BF%D1%80%D0%B0%D0%B7%D0%B4%D0%BD%D0%B8%D0%BA%D0%B0%201989%20%D1%84%D0%B8%D0%BB%D1%8C%D0%BC","искать")</f>
        <v/>
      </c>
      <c r="N3073" s="3" t="n"/>
      <c r="O3073" s="2" t="n"/>
    </row>
    <row r="3074">
      <c r="A3074" s="2" t="n">
        <v>3073</v>
      </c>
      <c r="B3074" s="2" t="inlineStr"/>
      <c r="C3074" s="2" t="n">
        <v>8289</v>
      </c>
      <c r="D3074" s="3" t="inlineStr">
        <is>
          <t>Рыжий, честный, влюблённый</t>
        </is>
      </c>
      <c r="E3074" s="2" t="n">
        <v>1984</v>
      </c>
      <c r="F3074" s="2" t="inlineStr">
        <is>
          <t>телефильм</t>
        </is>
      </c>
      <c r="G3074" s="2" t="n"/>
      <c r="H3074" s="2" t="n">
        <v>313</v>
      </c>
      <c r="I3074" s="2" t="inlineStr"/>
      <c r="J3074" s="2" t="inlineStr"/>
      <c r="K3074" s="3" t="inlineStr">
        <is>
          <t>Ирина Мирошниченко, Альберт Филозов, Татьяна Пельтцер, Екатерина Васильева в фильме, снятом по мотивам сказки Яна Экхольма "Тутта Карлссон, Первая и Единственная, Людвиг Четырнадцатый и др." Музыкальная сказка об удивительной дружбе лисенка Людвига Четырнадцатого и очаровательной Тутты, совсем-совсем не лисенка.</t>
        </is>
      </c>
      <c r="L3074" s="2" t="inlineStr">
        <is>
          <t>Кино_СССР сводный каталог.xlsx: список телефильмов</t>
        </is>
      </c>
      <c r="M3074" s="2">
        <f>HYPERLINK("https://ru.wikipedia.org/w/index.php?search=%D0%A0%D1%8B%D0%B6%D0%B8%D0%B9%2C%20%D1%87%D0%B5%D1%81%D1%82%D0%BD%D1%8B%D0%B9%2C%20%D0%B2%D0%BB%D1%8E%D0%B1%D0%BB%D1%91%D0%BD%D0%BD%D1%8B%D0%B9%201984%20%D1%84%D0%B8%D0%BB%D1%8C%D0%BC","искать")</f>
        <v/>
      </c>
      <c r="N3074" s="3" t="n"/>
      <c r="O3074" s="2" t="n"/>
    </row>
    <row r="3075">
      <c r="A3075" s="2" t="n">
        <v>3074</v>
      </c>
      <c r="B3075" s="2" t="inlineStr"/>
      <c r="C3075" s="2" t="n">
        <v>8524</v>
      </c>
      <c r="D3075" s="3" t="inlineStr">
        <is>
          <t>Хозяйка детского дома</t>
        </is>
      </c>
      <c r="E3075" s="2" t="n">
        <v>1983</v>
      </c>
      <c r="F3075" s="2" t="inlineStr">
        <is>
          <t>телефильм</t>
        </is>
      </c>
      <c r="G3075" s="2" t="n"/>
      <c r="H3075" s="2" t="n">
        <v>313</v>
      </c>
      <c r="I3075" s="2" t="inlineStr"/>
      <c r="J3075" s="2" t="inlineStr"/>
      <c r="K3075" s="3" t="inlineStr">
        <is>
          <t>Директор детского дома Александра Ивановна Ванеева, в свое время сама выросшая в нем, свою жизнь посвятила воспитанию детей, по различным причинам оставшихся без родителей. Одного из них - Сережу она усыновила и вырастила. Но накануне свадьбы Сережи появляется его родная мать, много лет спустя вспомнившая о нем.</t>
        </is>
      </c>
      <c r="L3075" s="2" t="inlineStr">
        <is>
          <t>Кино_СССР сводный каталог.xlsx: список телефильмов</t>
        </is>
      </c>
      <c r="M3075" s="2">
        <f>HYPERLINK("https://ru.wikipedia.org/w/index.php?search=%D0%A5%D0%BE%D0%B7%D1%8F%D0%B9%D0%BA%D0%B0%20%D0%B4%D0%B5%D1%82%D1%81%D0%BA%D0%BE%D0%B3%D0%BE%20%D0%B4%D0%BE%D0%BC%D0%B0%201983%20%D1%84%D0%B8%D0%BB%D1%8C%D0%BC","искать")</f>
        <v/>
      </c>
      <c r="N3075" s="3" t="n"/>
      <c r="O3075" s="2" t="n"/>
    </row>
    <row r="3076">
      <c r="A3076" s="2" t="n">
        <v>3075</v>
      </c>
      <c r="B3076" s="2" t="inlineStr"/>
      <c r="C3076" s="2" t="n">
        <v>8850</v>
      </c>
      <c r="D3076" s="3" t="inlineStr">
        <is>
          <t>Муж собаки Баскервилей</t>
        </is>
      </c>
      <c r="E3076" s="2" t="n">
        <v>1990</v>
      </c>
      <c r="F3076" s="2" t="inlineStr">
        <is>
          <t>кинофильм</t>
        </is>
      </c>
      <c r="G3076" s="2" t="n"/>
      <c r="H3076" s="2" t="n">
        <v>313</v>
      </c>
      <c r="I3076" s="2" t="inlineStr"/>
      <c r="J3076" s="2" t="inlineStr"/>
      <c r="K3076" s="3" t="inlineStr">
        <is>
          <t>Собака Баскервилей — это Ася, красивая, хоть и несчастливая сирота, воспитанная опасным преступником по звериным законам. Муж собаки Баскервилей — это опытный мотогонщик Данила, встрявший в крупную переделку со спортивной мафией. Ася спасёт его от неминуемой гибели и подарит неповторимые мгновения большой любви.</t>
        </is>
      </c>
      <c r="L3076" s="2" t="inlineStr">
        <is>
          <t>Кино_СССР сводный каталог.xlsx: список фильмов (доп.)</t>
        </is>
      </c>
      <c r="M3076" s="2">
        <f>HYPERLINK("https://ru.wikipedia.org/w/index.php?search=%D0%9C%D1%83%D0%B6%20%D1%81%D0%BE%D0%B1%D0%B0%D0%BA%D0%B8%20%D0%91%D0%B0%D1%81%D0%BA%D0%B5%D1%80%D0%B2%D0%B8%D0%BB%D0%B5%D0%B9%201990%20%D1%84%D0%B8%D0%BB%D1%8C%D0%BC","искать")</f>
        <v/>
      </c>
      <c r="N3076" s="3" t="n"/>
      <c r="O3076" s="2" t="n"/>
    </row>
    <row r="3077">
      <c r="A3077" s="2" t="n">
        <v>3076</v>
      </c>
      <c r="B3077" s="2" t="inlineStr"/>
      <c r="C3077" s="2" t="n">
        <v>9124</v>
      </c>
      <c r="D3077" s="3" t="inlineStr">
        <is>
          <t>Украденное счастье</t>
        </is>
      </c>
      <c r="E3077" s="2" t="n">
        <v>1984</v>
      </c>
      <c r="F3077" s="2" t="inlineStr">
        <is>
          <t>кинофильм</t>
        </is>
      </c>
      <c r="G3077" s="2" t="n"/>
      <c r="H3077" s="2" t="n">
        <v>313</v>
      </c>
      <c r="I3077" s="2" t="inlineStr"/>
      <c r="J3077" s="2" t="inlineStr"/>
      <c r="K3077" s="3" t="inlineStr">
        <is>
          <t>Драма И.Франко перерастает в трагедию высокого напряжения, трагическую притчу о том, что на чужом несчастье своего счастья не построишь, так же как нельзя зло преодолеть злом. Действие происходит в конце позапрошлого века в прикарпатскому селе... Любили друг друга, клялись в вечной верности Михаил Гурман и Анна.</t>
        </is>
      </c>
      <c r="L3077" s="2" t="inlineStr">
        <is>
          <t>Кино_СССР сводный каталог.xlsx: список фильмов (доп.)</t>
        </is>
      </c>
      <c r="M3077" s="2">
        <f>HYPERLINK("https://ru.wikipedia.org/w/index.php?search=%D0%A3%D0%BA%D1%80%D0%B0%D0%B4%D0%B5%D0%BD%D0%BD%D0%BE%D0%B5%20%D1%81%D1%87%D0%B0%D1%81%D1%82%D1%8C%D0%B5%201984%20%D1%84%D0%B8%D0%BB%D1%8C%D0%BC","искать")</f>
        <v/>
      </c>
      <c r="N3077" s="3" t="n"/>
      <c r="O3077" s="2" t="n"/>
    </row>
    <row r="3078">
      <c r="A3078" s="2" t="n">
        <v>3077</v>
      </c>
      <c r="B3078" s="2" t="inlineStr"/>
      <c r="C3078" s="2" t="n">
        <v>9188</v>
      </c>
      <c r="D3078" s="3" t="inlineStr">
        <is>
          <t>Я есть</t>
        </is>
      </c>
      <c r="E3078" s="2" t="n">
        <v>1989</v>
      </c>
      <c r="F3078" s="2" t="inlineStr">
        <is>
          <t>кинофильм</t>
        </is>
      </c>
      <c r="G3078" s="2" t="n"/>
      <c r="H3078" s="2" t="n">
        <v>313</v>
      </c>
      <c r="I3078" s="2" t="inlineStr"/>
      <c r="J3078" s="2" t="inlineStr"/>
      <c r="K3078" s="3" t="inlineStr">
        <is>
          <t>Поэтическая повесть. Импровизация по мотивам повести А.Маркявичюса "Привидения из подземелья". В старом районе Вильнюса живёт мальчик Йонукас, необыкновенный фантазёр. Живёт с бабушкой, тоскует по маме, которая постоянно пропадает из дома. Отца у него нет и не было.Бабушка нежно иронизирует: "Ты от святого духа.</t>
        </is>
      </c>
      <c r="L3078" s="2" t="inlineStr">
        <is>
          <t>Кино_СССР сводный каталог.xlsx: список фильмов (доп.)</t>
        </is>
      </c>
      <c r="M3078" s="2">
        <f>HYPERLINK("https://ru.wikipedia.org/w/index.php?search=%D0%AF%20%D0%B5%D1%81%D1%82%D1%8C%201989%20%D1%84%D0%B8%D0%BB%D1%8C%D0%BC","искать")</f>
        <v/>
      </c>
      <c r="N3078" s="3" t="n"/>
      <c r="O3078" s="2" t="n"/>
    </row>
    <row r="3079">
      <c r="A3079" s="2" t="n">
        <v>3078</v>
      </c>
      <c r="B3079" s="2" t="inlineStr"/>
      <c r="C3079" s="2" t="n">
        <v>9370</v>
      </c>
      <c r="D3079" s="3" t="inlineStr">
        <is>
          <t>Замри - умри - воскресни</t>
        </is>
      </c>
      <c r="E3079" s="2" t="n">
        <v>1989</v>
      </c>
      <c r="F3079" s="2" t="inlineStr">
        <is>
          <t>кинофильм</t>
        </is>
      </c>
      <c r="G3079" s="2" t="inlineStr">
        <is>
          <t>Ленфильм</t>
        </is>
      </c>
      <c r="H3079" s="2" t="n">
        <v>313</v>
      </c>
      <c r="I3079" s="2" t="inlineStr"/>
      <c r="J3079" s="2" t="inlineStr"/>
      <c r="K3079" s="3" t="inlineStr">
        <is>
          <t>Автобиографическая повесть, события которой происходят в 1947 году в небольшом шахтерском городке Сучаны, напоминающем арестантскую зону. Подростки Валерка и Галия живут в одном бараке. Они не столько мечтают о будущей счастливой жизни, сколько просто любят все, к чему привык глаз в этом Богом забытом городишке.</t>
        </is>
      </c>
      <c r="L3079" s="2" t="inlineStr">
        <is>
          <t>Кино_СССР сводный каталог.xlsx: список фильмов (доп.)</t>
        </is>
      </c>
      <c r="M3079" s="2">
        <f>HYPERLINK("https://ru.wikipedia.org/w/index.php?search=%D0%97%D0%B0%D0%BC%D1%80%D0%B8%20-%20%D1%83%D0%BC%D1%80%D0%B8%20-%20%D0%B2%D0%BE%D1%81%D0%BA%D1%80%D0%B5%D1%81%D0%BD%D0%B8%201989%20%D1%84%D0%B8%D0%BB%D1%8C%D0%BC","искать")</f>
        <v/>
      </c>
      <c r="N3079" s="3" t="n"/>
      <c r="O3079" s="2" t="n"/>
    </row>
    <row r="3080">
      <c r="A3080" s="2" t="n">
        <v>3079</v>
      </c>
      <c r="B3080" s="2" t="inlineStr"/>
      <c r="C3080" s="2" t="n">
        <v>9393</v>
      </c>
      <c r="D3080" s="3" t="inlineStr">
        <is>
          <t>Имя</t>
        </is>
      </c>
      <c r="E3080" s="2" t="n">
        <v>1988</v>
      </c>
      <c r="F3080" s="2" t="inlineStr">
        <is>
          <t>кинофильм</t>
        </is>
      </c>
      <c r="G3080" s="2" t="n"/>
      <c r="H3080" s="2" t="n">
        <v>313</v>
      </c>
      <c r="I3080" s="2" t="inlineStr"/>
      <c r="J3080" s="2" t="inlineStr"/>
      <c r="K3080" s="3" t="inlineStr">
        <is>
          <t>Из солдатских историй, рассказанных после войны... Главный герой попадает в штрафной батальон… Фильм о психологии людей военного поколения, которое было вдохновлено идеями всеобщего коммунистического счастья и в то же время и отравлено страхом, унижено массовым попранием справедливости и личностного достоинства.</t>
        </is>
      </c>
      <c r="L3080" s="2" t="inlineStr">
        <is>
          <t>Кино_СССР сводный каталог.xlsx: список фильмов (доп.)</t>
        </is>
      </c>
      <c r="M3080" s="2">
        <f>HYPERLINK("https://ru.wikipedia.org/w/index.php?search=%D0%98%D0%BC%D1%8F%201988%20%D1%84%D0%B8%D0%BB%D1%8C%D0%BC","искать")</f>
        <v/>
      </c>
      <c r="N3080" s="3" t="n"/>
      <c r="O3080" s="2" t="n"/>
    </row>
    <row r="3081">
      <c r="A3081" s="2" t="n">
        <v>3080</v>
      </c>
      <c r="B3081" s="2" t="inlineStr"/>
      <c r="C3081" s="2" t="n">
        <v>10124</v>
      </c>
      <c r="D3081" s="3" t="inlineStr">
        <is>
          <t>Нас много - ты и я</t>
        </is>
      </c>
      <c r="E3081" s="2" t="n">
        <v>1964</v>
      </c>
      <c r="F3081" s="2" t="inlineStr">
        <is>
          <t>фильм-спектакль</t>
        </is>
      </c>
      <c r="G3081" s="2" t="inlineStr">
        <is>
          <t>Центральное телевидение</t>
        </is>
      </c>
      <c r="H3081" s="2" t="n">
        <v>313</v>
      </c>
      <c r="I3081" s="2" t="inlineStr"/>
      <c r="J3081" s="2" t="inlineStr"/>
      <c r="K3081" s="3" t="inlineStr">
        <is>
          <t>По повести Станислава Славича.
По оккупированной гитлеровцами советской территории пробираются два беглеца. Их цель - найти партизанский отряд или перейти линию фронта. Один из них - шестнадцатилетний юноша Степан, местный житель. Другой - бежавший из плена советский офицер, которого Степан чудом спас от смерти.</t>
        </is>
      </c>
      <c r="L3081" s="2" t="inlineStr">
        <is>
          <t>https://www.kino-teatr.ru/teatr/movie/136351/annot/</t>
        </is>
      </c>
      <c r="M3081" s="2">
        <f>HYPERLINK("https://ru.wikipedia.org/w/index.php?search=%D0%9D%D0%B0%D1%81%20%D0%BC%D0%BD%D0%BE%D0%B3%D0%BE%20-%20%D1%82%D1%8B%20%D0%B8%20%D1%8F%201964%20%D1%84%D0%B8%D0%BB%D1%8C%D0%BC","искать")</f>
        <v/>
      </c>
      <c r="N3081" s="3" t="n"/>
      <c r="O3081" s="2" t="n"/>
    </row>
    <row r="3082">
      <c r="A3082" s="2" t="n">
        <v>3081</v>
      </c>
      <c r="B3082" s="2" t="inlineStr"/>
      <c r="C3082" s="2" t="n">
        <v>10899</v>
      </c>
      <c r="D3082" s="3" t="inlineStr">
        <is>
          <t>Повести Белкина. Выстрел</t>
        </is>
      </c>
      <c r="E3082" s="2" t="n">
        <v>1981</v>
      </c>
      <c r="F3082" s="2" t="inlineStr">
        <is>
          <t>фильм-спектакль</t>
        </is>
      </c>
      <c r="G3082" s="2" t="inlineStr">
        <is>
          <t>Центральное телевидение</t>
        </is>
      </c>
      <c r="H3082" s="2" t="n">
        <v>313</v>
      </c>
      <c r="I3082" s="2" t="inlineStr"/>
      <c r="J3082" s="2" t="inlineStr"/>
      <c r="K3082" s="3" t="inlineStr">
        <is>
          <t>Телеспектакль поставлен Петром Фоменко в 1981 году по мотивам повести А.С.Пушкина "Выстрел" из цикла "Повести покойного Ивана Петровича Белкина".
Над офицером Сильвио смеялась сама судьба в образе блестящего и удачливого соперника. Как не бросить вызов этой судьбе! И как не предоставить ей право стрелять первой?</t>
        </is>
      </c>
      <c r="L3082" s="2" t="inlineStr">
        <is>
          <t>https://www.kino-teatr.ru/teatr/movie/5210/annot/</t>
        </is>
      </c>
      <c r="M3082" s="2">
        <f>HYPERLINK("https://ru.wikipedia.org/w/index.php?search=%D0%9F%D0%BE%D0%B2%D0%B5%D1%81%D1%82%D0%B8%20%D0%91%D0%B5%D0%BB%D0%BA%D0%B8%D0%BD%D0%B0.%20%D0%92%D1%8B%D1%81%D1%82%D1%80%D0%B5%D0%BB%201981%20%D1%84%D0%B8%D0%BB%D1%8C%D0%BC","искать")</f>
        <v/>
      </c>
      <c r="N3082" s="3" t="n"/>
      <c r="O3082" s="2" t="n"/>
    </row>
    <row r="3083">
      <c r="A3083" s="2" t="n">
        <v>3082</v>
      </c>
      <c r="B3083" s="2" t="inlineStr"/>
      <c r="C3083" s="2" t="n">
        <v>7551</v>
      </c>
      <c r="D3083" s="3" t="inlineStr">
        <is>
          <t>Дорога в Кара-Кийик</t>
        </is>
      </c>
      <c r="E3083" s="2" t="n">
        <v>1975</v>
      </c>
      <c r="F3083" s="2" t="inlineStr">
        <is>
          <t>телефильм</t>
        </is>
      </c>
      <c r="G3083" s="2" t="n"/>
      <c r="H3083" s="2" t="n">
        <v>314</v>
      </c>
      <c r="I3083" s="2" t="inlineStr"/>
      <c r="J3083" s="2" t="inlineStr"/>
      <c r="K3083" s="3" t="inlineStr">
        <is>
          <t>Действие фильма разворачивается вокруг главного героя Толена Мамытбекова. Он человек трудной, неудавшейся судьбы, бывший уголовник, пытающийся в свои сорок лет начать новую жизнь. В этом помогают ему друзья-геологи и простая сельская женщина Шакен, нуждающаяся в верном друге и по­мощнике. Мамытбеков — детдомовец.</t>
        </is>
      </c>
      <c r="L3083" s="2" t="inlineStr">
        <is>
          <t>Кино_СССР сводный каталог.xlsx: список телефильмов</t>
        </is>
      </c>
      <c r="M3083" s="2">
        <f>HYPERLINK("https://ru.wikipedia.org/w/index.php?search=%D0%94%D0%BE%D1%80%D0%BE%D0%B3%D0%B0%20%D0%B2%20%D0%9A%D0%B0%D1%80%D0%B0-%D0%9A%D0%B8%D0%B9%D0%B8%D0%BA%201975%20%D1%84%D0%B8%D0%BB%D1%8C%D0%BC","искать")</f>
        <v/>
      </c>
      <c r="N3083" s="3" t="n"/>
      <c r="O3083" s="2" t="n"/>
    </row>
    <row r="3084">
      <c r="A3084" s="2" t="n">
        <v>3083</v>
      </c>
      <c r="B3084" s="2" t="inlineStr"/>
      <c r="C3084" s="2" t="n">
        <v>7720</v>
      </c>
      <c r="D3084" s="3" t="inlineStr">
        <is>
          <t>Картина</t>
        </is>
      </c>
      <c r="E3084" s="2" t="n">
        <v>1985</v>
      </c>
      <c r="F3084" s="2" t="inlineStr">
        <is>
          <t>телефильм</t>
        </is>
      </c>
      <c r="G3084" s="2" t="n"/>
      <c r="H3084" s="2" t="n">
        <v>314</v>
      </c>
      <c r="I3084" s="2" t="inlineStr"/>
      <c r="J3084" s="2" t="inlineStr"/>
      <c r="K3084" s="3" t="inlineStr">
        <is>
          <t>По инициативе председателя исполкома города Лыкова, Сергея Лосева, в одном из красивейших архитектурных сооружений города - Доме Кислых - создается краеведческий музей. В музее открывается выставка картин художника Астахова, посвятившего свои полотна родному городу. По мотивам одноименного романа Даниила Гранина.</t>
        </is>
      </c>
      <c r="L3084" s="2" t="inlineStr">
        <is>
          <t>Кино_СССР сводный каталог.xlsx: список телефильмов</t>
        </is>
      </c>
      <c r="M3084" s="2">
        <f>HYPERLINK("https://ru.wikipedia.org/w/index.php?search=%D0%9A%D0%B0%D1%80%D1%82%D0%B8%D0%BD%D0%B0%201985%20%D1%84%D0%B8%D0%BB%D1%8C%D0%BC","искать")</f>
        <v/>
      </c>
      <c r="N3084" s="3" t="n"/>
      <c r="O3084" s="2" t="n"/>
    </row>
    <row r="3085">
      <c r="A3085" s="2" t="n">
        <v>3084</v>
      </c>
      <c r="B3085" s="2" t="inlineStr"/>
      <c r="C3085" s="2" t="n">
        <v>7746</v>
      </c>
      <c r="D3085" s="3" t="inlineStr">
        <is>
          <t>Комендант Пушкин</t>
        </is>
      </c>
      <c r="E3085" s="2" t="n">
        <v>1986</v>
      </c>
      <c r="F3085" s="2" t="inlineStr">
        <is>
          <t>телефильм</t>
        </is>
      </c>
      <c r="G3085" s="2" t="n"/>
      <c r="H3085" s="2" t="n">
        <v>314</v>
      </c>
      <c r="I3085" s="2" t="inlineStr"/>
      <c r="J3085" s="2" t="inlineStr"/>
      <c r="K3085" s="3" t="inlineStr">
        <is>
          <t>По мотивам рассказа Бориса Лавренева. 1919 год. Войска Юденича, наступающие на революционный Петроград, взяли Павловск. В одно мгновение Александр Семёнович Пушкин превратился из коменданта укрепленного района, большевика, стойкого командира матросского батальона, заслужившего доверие, в коменданта Детского Села.</t>
        </is>
      </c>
      <c r="L3085" s="2" t="inlineStr">
        <is>
          <t>Кино_СССР сводный каталог.xlsx: список телефильмов</t>
        </is>
      </c>
      <c r="M3085" s="2">
        <f>HYPERLINK("https://ru.wikipedia.org/w/index.php?search=%D0%9A%D0%BE%D0%BC%D0%B5%D0%BD%D0%B4%D0%B0%D0%BD%D1%82%20%D0%9F%D1%83%D1%88%D0%BA%D0%B8%D0%BD%201986%20%D1%84%D0%B8%D0%BB%D1%8C%D0%BC","искать")</f>
        <v/>
      </c>
      <c r="N3085" s="3" t="n"/>
      <c r="O3085" s="2" t="n"/>
    </row>
    <row r="3086">
      <c r="A3086" s="2" t="n">
        <v>3085</v>
      </c>
      <c r="B3086" s="2" t="inlineStr"/>
      <c r="C3086" s="2" t="n">
        <v>7937</v>
      </c>
      <c r="D3086" s="3" t="inlineStr">
        <is>
          <t>Навеки - 19</t>
        </is>
      </c>
      <c r="E3086" s="2" t="n">
        <v>1989</v>
      </c>
      <c r="F3086" s="2" t="inlineStr">
        <is>
          <t>телефильм</t>
        </is>
      </c>
      <c r="G3086" s="2" t="n"/>
      <c r="H3086" s="2" t="n">
        <v>314</v>
      </c>
      <c r="I3086" s="2" t="inlineStr"/>
      <c r="J3086" s="2" t="inlineStr"/>
      <c r="K3086" s="3" t="inlineStr">
        <is>
          <t>По мотивам повести Григория Бакланова. Многое пережил в свои 19 лет лейтенант Володя Третьяков - трудности военных будней, гибель фронтовых друзей, ранение. В госпитале Володя встретил и полюбил девушку Сашу. Уходя на фронт, лейтенант Третьяков очень надеялся на встречу с любимой, которой не суждено было сбыться.</t>
        </is>
      </c>
      <c r="L3086" s="2" t="inlineStr">
        <is>
          <t>Кино_СССР сводный каталог.xlsx: список телефильмов</t>
        </is>
      </c>
      <c r="M3086" s="2">
        <f>HYPERLINK("https://ru.wikipedia.org/w/index.php?search=%D0%9D%D0%B0%D0%B2%D0%B5%D0%BA%D0%B8%20-%2019%201989%20%D1%84%D0%B8%D0%BB%D1%8C%D0%BC","искать")</f>
        <v/>
      </c>
      <c r="N3086" s="3" t="n"/>
      <c r="O3086" s="2" t="n"/>
    </row>
    <row r="3087">
      <c r="A3087" s="2" t="n">
        <v>3086</v>
      </c>
      <c r="B3087" s="2" t="inlineStr"/>
      <c r="C3087" s="2" t="n">
        <v>8556</v>
      </c>
      <c r="D3087" s="3" t="inlineStr">
        <is>
          <t>Чёрный треугольник</t>
        </is>
      </c>
      <c r="E3087" s="2" t="n">
        <v>1981</v>
      </c>
      <c r="F3087" s="2" t="inlineStr">
        <is>
          <t>телефильм</t>
        </is>
      </c>
      <c r="G3087" s="2" t="inlineStr">
        <is>
          <t>Мосфильм</t>
        </is>
      </c>
      <c r="H3087" s="2" t="n">
        <v>314</v>
      </c>
      <c r="I3087" s="2" t="inlineStr"/>
      <c r="J3087" s="2" t="inlineStr"/>
      <c r="K3087" s="3" t="inlineStr">
        <is>
          <t>Телесериал. Временное правительство выпустило из тюрем всех уголовников, элиту преступного мира Российской империи. В январе 1918 года происходит одно из самых громких преступлений первых лет Революции - ограбление Патриаршей ризницы Московского Кремля. Следствие ведет группа МУРа во главе с Леонидом Косачевским.</t>
        </is>
      </c>
      <c r="L3087" s="2" t="inlineStr">
        <is>
          <t>Кино_СССР сводный каталог.xlsx: список телефильмов</t>
        </is>
      </c>
      <c r="M3087" s="2">
        <f>HYPERLINK("https://ru.wikipedia.org/w/index.php?search=%D0%A7%D1%91%D1%80%D0%BD%D1%8B%D0%B9%20%D1%82%D1%80%D0%B5%D1%83%D0%B3%D0%BE%D0%BB%D1%8C%D0%BD%D0%B8%D0%BA%201981%20%D1%84%D0%B8%D0%BB%D1%8C%D0%BC","искать")</f>
        <v/>
      </c>
      <c r="N3087" s="3" t="n"/>
      <c r="O3087" s="2" t="n"/>
    </row>
    <row r="3088">
      <c r="A3088" s="2" t="n">
        <v>3087</v>
      </c>
      <c r="B3088" s="2" t="inlineStr"/>
      <c r="C3088" s="2" t="n">
        <v>8647</v>
      </c>
      <c r="D3088" s="3" t="inlineStr">
        <is>
          <t>Ведьма</t>
        </is>
      </c>
      <c r="E3088" s="2" t="n">
        <v>1990</v>
      </c>
      <c r="F3088" s="2" t="inlineStr">
        <is>
          <t>кинофильм</t>
        </is>
      </c>
      <c r="G3088" s="2" t="n"/>
      <c r="H3088" s="2" t="n">
        <v>314</v>
      </c>
      <c r="I3088" s="2" t="inlineStr"/>
      <c r="J3088" s="2" t="inlineStr"/>
      <c r="K3088" s="3" t="inlineStr">
        <is>
          <t>По мотивам повести Г. Квитки-Основьяненко. Действие фильма происходит в украинском городке Конотоп. Увидев на ярмарке лучшую городскую невесту - Олену, сотник немедленно влюбляется и решает жениться на ней, но весьма скоро понимает, что на взаимность он может рассчитывать только прибегнув к услугам нечистой силы.</t>
        </is>
      </c>
      <c r="L3088" s="2" t="inlineStr">
        <is>
          <t>Кино_СССР сводный каталог.xlsx: список фильмов (доп.)</t>
        </is>
      </c>
      <c r="M3088" s="2">
        <f>HYPERLINK("https://ru.wikipedia.org/w/index.php?search=%D0%92%D0%B5%D0%B4%D1%8C%D0%BC%D0%B0%201990%20%D1%84%D0%B8%D0%BB%D1%8C%D0%BC","искать")</f>
        <v/>
      </c>
      <c r="N3088" s="3" t="n"/>
      <c r="O3088" s="2" t="n"/>
    </row>
    <row r="3089">
      <c r="A3089" s="2" t="n">
        <v>3088</v>
      </c>
      <c r="B3089" s="2" t="inlineStr"/>
      <c r="C3089" s="2" t="n">
        <v>8843</v>
      </c>
      <c r="D3089" s="3" t="inlineStr">
        <is>
          <t>Мой муж - инопланетянин</t>
        </is>
      </c>
      <c r="E3089" s="2" t="n">
        <v>1990</v>
      </c>
      <c r="F3089" s="2" t="inlineStr">
        <is>
          <t>кинофильм</t>
        </is>
      </c>
      <c r="G3089" s="2" t="n"/>
      <c r="H3089" s="2" t="n">
        <v>314</v>
      </c>
      <c r="I3089" s="2" t="inlineStr"/>
      <c r="J3089" s="2" t="inlineStr"/>
      <c r="K3089" s="3" t="inlineStr">
        <is>
          <t>Герои комедии положений — Виктор и Люся — женаты уже не первый год. Но — вот беда! — мало того, что он постоянно ей изменяет, так ведь бесконечно придумывает идиотские «обьяснения» своим похождениям. Однажды, например, наврал, что он, видите ли, инопланетянин и должен выйти на связь со «своими», после чего исчез.</t>
        </is>
      </c>
      <c r="L3089" s="2" t="inlineStr">
        <is>
          <t>Кино_СССР сводный каталог.xlsx: список фильмов (доп.)</t>
        </is>
      </c>
      <c r="M3089" s="2">
        <f>HYPERLINK("https://ru.wikipedia.org/w/index.php?search=%D0%9C%D0%BE%D0%B9%20%D0%BC%D1%83%D0%B6%20-%20%D0%B8%D0%BD%D0%BE%D0%BF%D0%BB%D0%B0%D0%BD%D0%B5%D1%82%D1%8F%D0%BD%D0%B8%D0%BD%201990%20%D1%84%D0%B8%D0%BB%D1%8C%D0%BC","искать")</f>
        <v/>
      </c>
      <c r="N3089" s="3" t="n"/>
      <c r="O3089" s="2" t="n"/>
    </row>
    <row r="3090">
      <c r="A3090" s="2" t="n">
        <v>3089</v>
      </c>
      <c r="B3090" s="2" t="inlineStr"/>
      <c r="C3090" s="2" t="n">
        <v>9209</v>
      </c>
      <c r="D3090" s="3" t="inlineStr">
        <is>
          <t>Ау! Ограбление поезда</t>
        </is>
      </c>
      <c r="E3090" s="2" t="n">
        <v>1991</v>
      </c>
      <c r="F3090" s="2" t="inlineStr">
        <is>
          <t>кинофильм</t>
        </is>
      </c>
      <c r="G3090" s="2" t="n"/>
      <c r="H3090" s="2" t="n">
        <v>314</v>
      </c>
      <c r="I3090" s="2" t="inlineStr"/>
      <c r="J3090" s="2" t="inlineStr"/>
      <c r="K3090" s="3" t="inlineStr">
        <is>
          <t>Следователь по особо важным делам выезжает на место событий, где в горном южном районе страны коррупция и преступность приняли новые изощренные формы. Под видом случайного ограбления поезда угоняются отдельные вагоны, груженные отходами металлургического производства - а по существу обогащенная золотоносная руда.</t>
        </is>
      </c>
      <c r="L3090" s="2" t="inlineStr">
        <is>
          <t>Кино_СССР сводный каталог.xlsx: список фильмов (доп.)</t>
        </is>
      </c>
      <c r="M3090" s="2">
        <f>HYPERLINK("https://ru.wikipedia.org/w/index.php?search=%D0%90%D1%83%21%20%D0%9E%D0%B3%D1%80%D0%B0%D0%B1%D0%BB%D0%B5%D0%BD%D0%B8%D0%B5%20%D0%BF%D0%BE%D0%B5%D0%B7%D0%B4%D0%B0%201991%20%D1%84%D0%B8%D0%BB%D1%8C%D0%BC","искать")</f>
        <v/>
      </c>
      <c r="N3090" s="3" t="n"/>
      <c r="O3090" s="2" t="n"/>
    </row>
    <row r="3091">
      <c r="A3091" s="2" t="n">
        <v>3090</v>
      </c>
      <c r="B3091" s="2" t="inlineStr"/>
      <c r="C3091" s="2" t="n">
        <v>9264</v>
      </c>
      <c r="D3091" s="3" t="inlineStr">
        <is>
          <t>Вам что, наша власть не нравится?!</t>
        </is>
      </c>
      <c r="E3091" s="2" t="n">
        <v>1988</v>
      </c>
      <c r="F3091" s="2" t="inlineStr">
        <is>
          <t>кинофильм</t>
        </is>
      </c>
      <c r="G3091" s="2" t="n"/>
      <c r="H3091" s="2" t="n">
        <v>314</v>
      </c>
      <c r="I3091" s="2" t="inlineStr"/>
      <c r="J3091" s="2" t="inlineStr"/>
      <c r="K3091" s="3" t="inlineStr">
        <is>
          <t>По повести Бориса Можаева «Полтора квадратных метра». Это психологический гротеск о жильцах коммунальной квартиры, в основе которого лежит, казалось бы, бытовой анекдот: главный герой, Павел Семенович Полубояринов, вынужден перенести дверь своей комнаты, захватив таким образом часть площади коммунальной квартиры.</t>
        </is>
      </c>
      <c r="L3091" s="2" t="inlineStr">
        <is>
          <t>Кино_СССР сводный каталог.xlsx: список фильмов (доп.)</t>
        </is>
      </c>
      <c r="M3091" s="2">
        <f>HYPERLINK("https://ru.wikipedia.org/w/index.php?search=%D0%92%D0%B0%D0%BC%20%D1%87%D1%82%D0%BE%2C%20%D0%BD%D0%B0%D1%88%D0%B0%20%D0%B2%D0%BB%D0%B0%D1%81%D1%82%D1%8C%20%D0%BD%D0%B5%20%D0%BD%D1%80%D0%B0%D0%B2%D0%B8%D1%82%D1%81%D1%8F%3F%21%201988%20%D1%84%D0%B8%D0%BB%D1%8C%D0%BC","искать")</f>
        <v/>
      </c>
      <c r="N3091" s="3" t="n"/>
      <c r="O3091" s="2" t="n"/>
    </row>
    <row r="3092">
      <c r="A3092" s="2" t="n">
        <v>3091</v>
      </c>
      <c r="B3092" s="2" t="inlineStr"/>
      <c r="C3092" s="2" t="n">
        <v>9651</v>
      </c>
      <c r="D3092" s="3" t="inlineStr">
        <is>
          <t>Слуга</t>
        </is>
      </c>
      <c r="E3092" s="2" t="n">
        <v>1988</v>
      </c>
      <c r="F3092" s="2" t="inlineStr">
        <is>
          <t>кинофильм</t>
        </is>
      </c>
      <c r="G3092" s="2" t="n"/>
      <c r="H3092" s="2" t="n">
        <v>314</v>
      </c>
      <c r="I3092" s="2" t="inlineStr"/>
      <c r="J3092" s="2" t="inlineStr"/>
      <c r="K3092" s="3" t="inlineStr">
        <is>
          <t>О сложных взаимоотношениях "хозяина области" и его водителя. «Хозяин области» Андрей Андреевич Гудионов дарит своему водителю Павлу Клюеву и дом, и положение в обществе, и иллюзию таланта, и даже свою любовницу — прекрасную Марию. Клюев же, став известным дирижером, так и не смог изжить в себе внутреннее рабство.</t>
        </is>
      </c>
      <c r="L3092" s="2" t="inlineStr">
        <is>
          <t>Кино_СССР сводный каталог.xlsx: список фильмов (доп.)</t>
        </is>
      </c>
      <c r="M3092" s="2">
        <f>HYPERLINK("https://ru.wikipedia.org/w/index.php?search=%D0%A1%D0%BB%D1%83%D0%B3%D0%B0%201988%20%D1%84%D0%B8%D0%BB%D1%8C%D0%BC","искать")</f>
        <v/>
      </c>
      <c r="N3092" s="3" t="n"/>
      <c r="O3092" s="2" t="n"/>
    </row>
    <row r="3093">
      <c r="A3093" s="2" t="n">
        <v>3092</v>
      </c>
      <c r="B3093" s="2" t="inlineStr"/>
      <c r="C3093" s="2" t="n">
        <v>9753</v>
      </c>
      <c r="D3093" s="3" t="inlineStr">
        <is>
          <t>Чёрный коридор</t>
        </is>
      </c>
      <c r="E3093" s="2" t="n">
        <v>1988</v>
      </c>
      <c r="F3093" s="2" t="inlineStr">
        <is>
          <t>кинофильм</t>
        </is>
      </c>
      <c r="G3093" s="2" t="n"/>
      <c r="H3093" s="2" t="n">
        <v>314</v>
      </c>
      <c r="I3093" s="2" t="inlineStr"/>
      <c r="J3093" s="2" t="inlineStr"/>
      <c r="K3093" s="3" t="inlineStr">
        <is>
          <t>По повести В.Тендрякова "60 свечей". Учитель истории в день своего юбилея получает анонимное письмо, в котором его называют "очагом общественной заразы" и угрожают убийством. Страх и вопрос "за что?" напоминают ему о том, что почти забыто. Впервые такой страх он пережил, когда отрекся от своего школьного учителя.</t>
        </is>
      </c>
      <c r="L3093" s="2" t="inlineStr">
        <is>
          <t>Кино_СССР сводный каталог.xlsx: список фильмов (доп.)</t>
        </is>
      </c>
      <c r="M3093" s="2">
        <f>HYPERLINK("https://ru.wikipedia.org/w/index.php?search=%D0%A7%D1%91%D1%80%D0%BD%D1%8B%D0%B9%20%D0%BA%D0%BE%D1%80%D0%B8%D0%B4%D0%BE%D1%80%201988%20%D1%84%D0%B8%D0%BB%D1%8C%D0%BC","искать")</f>
        <v/>
      </c>
      <c r="N3093" s="3" t="n"/>
      <c r="O3093" s="2" t="n"/>
    </row>
    <row r="3094">
      <c r="A3094" s="2" t="n">
        <v>3093</v>
      </c>
      <c r="B3094" s="2" t="inlineStr"/>
      <c r="C3094" s="2" t="n">
        <v>7196</v>
      </c>
      <c r="D3094" s="3" t="inlineStr">
        <is>
          <t>Айгюн</t>
        </is>
      </c>
      <c r="E3094" s="2" t="n">
        <v>1960</v>
      </c>
      <c r="F3094" s="2" t="inlineStr">
        <is>
          <t>телефильм</t>
        </is>
      </c>
      <c r="G3094" s="2" t="n"/>
      <c r="H3094" s="2" t="n">
        <v>315</v>
      </c>
      <c r="I3094" s="2" t="inlineStr"/>
      <c r="J3094" s="2" t="inlineStr"/>
      <c r="K3094" s="3" t="inlineStr">
        <is>
          <t>Первый художественный фильм Азербайджанского телевидения. По одноименной поэме Самеда Вургуна. Айгюн и Амирхан были красивой влюблённой парой. Амирхан пристрастился к алкоголю, этот шаг разрушил крепкую семью, что стало причиной страдания. Вдруг Амирхан бросил пить и у него появился шанс на воссоединение с семьёй.</t>
        </is>
      </c>
      <c r="L3094" s="2" t="inlineStr">
        <is>
          <t>Кино_СССР сводный каталог.xlsx: список телефильмов</t>
        </is>
      </c>
      <c r="M3094" s="2">
        <f>HYPERLINK("https://ru.wikipedia.org/w/index.php?search=%D0%90%D0%B9%D0%B3%D1%8E%D0%BD%201960%20%D1%84%D0%B8%D0%BB%D1%8C%D0%BC","искать")</f>
        <v/>
      </c>
      <c r="N3094" s="3" t="n"/>
      <c r="O3094" s="2" t="n"/>
    </row>
    <row r="3095">
      <c r="A3095" s="2" t="n">
        <v>3094</v>
      </c>
      <c r="B3095" s="2" t="inlineStr"/>
      <c r="C3095" s="2" t="n">
        <v>7406</v>
      </c>
      <c r="D3095" s="3" t="inlineStr">
        <is>
          <t>Встреча перед разлукой</t>
        </is>
      </c>
      <c r="E3095" s="2" t="n">
        <v>1985</v>
      </c>
      <c r="F3095" s="2" t="inlineStr">
        <is>
          <t>телефильм</t>
        </is>
      </c>
      <c r="G3095" s="2" t="inlineStr">
        <is>
          <t>ТО «Экран»</t>
        </is>
      </c>
      <c r="H3095" s="2" t="n">
        <v>315</v>
      </c>
      <c r="I3095" s="2" t="inlineStr"/>
      <c r="J3095" s="2" t="inlineStr"/>
      <c r="K3095" s="3" t="inlineStr">
        <is>
          <t>Телефильм по мотивам повести В. Тельпугова «Парашютисты». В основе сюжета - история молодых людей Жени, Ивана и Володи, оказавшихся 22 июня 1941 года на оккупированной фашистами территории. Спустя восемь дней, пройдя через тяжёлые испытания, они пробиваются к советским войскам. Впереди у них - долгие вёрсты войны.</t>
        </is>
      </c>
      <c r="L3095" s="2" t="inlineStr">
        <is>
          <t>Кино_СССР сводный каталог.xlsx: список телефильмов</t>
        </is>
      </c>
      <c r="M3095" s="2">
        <f>HYPERLINK("https://ru.wikipedia.org/w/index.php?search=%D0%92%D1%81%D1%82%D1%80%D0%B5%D1%87%D0%B0%20%D0%BF%D0%B5%D1%80%D0%B5%D0%B4%20%D1%80%D0%B0%D0%B7%D0%BB%D1%83%D0%BA%D0%BE%D0%B9%201985%20%D1%84%D0%B8%D0%BB%D1%8C%D0%BC","искать")</f>
        <v/>
      </c>
      <c r="N3095" s="3" t="n"/>
      <c r="O3095" s="2" t="n"/>
    </row>
    <row r="3096">
      <c r="A3096" s="2" t="n">
        <v>3095</v>
      </c>
      <c r="B3096" s="2" t="inlineStr"/>
      <c r="C3096" s="2" t="n">
        <v>8045</v>
      </c>
      <c r="D3096" s="3" t="inlineStr">
        <is>
          <t>Опасный поворот</t>
        </is>
      </c>
      <c r="E3096" s="2" t="n">
        <v>1972</v>
      </c>
      <c r="F3096" s="2" t="inlineStr">
        <is>
          <t>телефильм</t>
        </is>
      </c>
      <c r="G3096" s="2" t="n"/>
      <c r="H3096" s="2" t="n">
        <v>315</v>
      </c>
      <c r="I3096" s="2" t="inlineStr"/>
      <c r="J3096" s="2" t="inlineStr"/>
      <c r="K3096" s="3" t="inlineStr">
        <is>
          <t>Трехсерийный телефильм В.Басова по одноимённой пьесе Дж.Пристли. Издатель Роберт Кэплен и его жена Фреда тепло принимают в своем загородном доме друзей и родственников. Эта "миленькая маленькая компания", по словам одной гостьи, весело беседует и обменивается сплетнями. Пока темой разговора не становится "правда".</t>
        </is>
      </c>
      <c r="L3096" s="2" t="inlineStr">
        <is>
          <t>Кино_СССР сводный каталог.xlsx: список телефильмов</t>
        </is>
      </c>
      <c r="M3096" s="2">
        <f>HYPERLINK("https://ru.wikipedia.org/w/index.php?search=%D0%9E%D0%BF%D0%B0%D1%81%D0%BD%D1%8B%D0%B9%20%D0%BF%D0%BE%D0%B2%D0%BE%D1%80%D0%BE%D1%82%201972%20%D1%84%D0%B8%D0%BB%D1%8C%D0%BC","искать")</f>
        <v/>
      </c>
      <c r="N3096" s="3" t="n"/>
      <c r="O3096" s="2" t="n"/>
    </row>
    <row r="3097">
      <c r="A3097" s="2" t="n">
        <v>3096</v>
      </c>
      <c r="B3097" s="2" t="inlineStr"/>
      <c r="C3097" s="2" t="n">
        <v>8067</v>
      </c>
      <c r="D3097" s="3" t="inlineStr">
        <is>
          <t>Открытая книга</t>
        </is>
      </c>
      <c r="E3097" s="2" t="n">
        <v>1977</v>
      </c>
      <c r="F3097" s="2" t="inlineStr">
        <is>
          <t>телефильм</t>
        </is>
      </c>
      <c r="G3097" s="2" t="n"/>
      <c r="H3097" s="2" t="n">
        <v>315</v>
      </c>
      <c r="I3097" s="2" t="inlineStr"/>
      <c r="J3097" s="2" t="inlineStr"/>
      <c r="K3097" s="3" t="inlineStr">
        <is>
          <t>По роману Вениамина Каверина. Героиня фильма - ученый-микробиолог, которая изобрела пенициллин. Открытию нового сильнодействующего препарата пенициллина предшествовали многолетние научные исследования. Начались они еще в начале века в маленьком провинциальном городке Лопахине, в лаборатории старого врача Лебедева.</t>
        </is>
      </c>
      <c r="L3097" s="2" t="inlineStr">
        <is>
          <t>Кино_СССР сводный каталог.xlsx: список телефильмов</t>
        </is>
      </c>
      <c r="M3097" s="2">
        <f>HYPERLINK("https://ru.wikipedia.org/w/index.php?search=%D0%9E%D1%82%D0%BA%D1%80%D1%8B%D1%82%D0%B0%D1%8F%20%D0%BA%D0%BD%D0%B8%D0%B3%D0%B0%201977%20%D1%84%D0%B8%D0%BB%D1%8C%D0%BC","искать")</f>
        <v/>
      </c>
      <c r="N3097" s="3" t="n"/>
      <c r="O3097" s="2" t="n"/>
    </row>
    <row r="3098">
      <c r="A3098" s="2" t="n">
        <v>3097</v>
      </c>
      <c r="B3098" s="2" t="inlineStr"/>
      <c r="C3098" s="2" t="n">
        <v>8225</v>
      </c>
      <c r="D3098" s="3" t="inlineStr">
        <is>
          <t>Продавец воздуха</t>
        </is>
      </c>
      <c r="E3098" s="2" t="n">
        <v>1967</v>
      </c>
      <c r="F3098" s="2" t="inlineStr">
        <is>
          <t>телефильм</t>
        </is>
      </c>
      <c r="G3098" s="2" t="n"/>
      <c r="H3098" s="2" t="n">
        <v>315</v>
      </c>
      <c r="I3098" s="2" t="inlineStr"/>
      <c r="J3098" s="2" t="inlineStr"/>
      <c r="K3098" s="3" t="inlineStr">
        <is>
          <t>Телефильм по мотивам одноименной повести Александра Беляева. Советский геолог Виктор Клименко со своим проводником и помощником, якутом Николой попадают в ловушку к предприимчивым дельцам. Они собираются законсервировать весь воздух, чтобы монопольно продавать его, наживаться и диктовать свою волю остальному миру.</t>
        </is>
      </c>
      <c r="L3098" s="2" t="inlineStr">
        <is>
          <t>Кино_СССР сводный каталог.xlsx: список телефильмов</t>
        </is>
      </c>
      <c r="M3098" s="2">
        <f>HYPERLINK("https://ru.wikipedia.org/w/index.php?search=%D0%9F%D1%80%D0%BE%D0%B4%D0%B0%D0%B2%D0%B5%D1%86%20%D0%B2%D0%BE%D0%B7%D0%B4%D1%83%D1%85%D0%B0%201967%20%D1%84%D0%B8%D0%BB%D1%8C%D0%BC","искать")</f>
        <v/>
      </c>
      <c r="N3098" s="3" t="n"/>
      <c r="O3098" s="2" t="n"/>
    </row>
    <row r="3099">
      <c r="A3099" s="2" t="n">
        <v>3098</v>
      </c>
      <c r="B3099" s="2" t="inlineStr"/>
      <c r="C3099" s="2" t="n">
        <v>8414</v>
      </c>
      <c r="D3099" s="3" t="inlineStr">
        <is>
          <t>Страховой агент</t>
        </is>
      </c>
      <c r="E3099" s="2" t="n">
        <v>1985</v>
      </c>
      <c r="F3099" s="2" t="inlineStr">
        <is>
          <t>телефильм</t>
        </is>
      </c>
      <c r="G3099" s="2" t="n"/>
      <c r="H3099" s="2" t="n">
        <v>315</v>
      </c>
      <c r="I3099" s="2" t="inlineStr"/>
      <c r="J3099" s="2" t="inlineStr"/>
      <c r="K3099" s="3" t="inlineStr">
        <is>
          <t>История об одном дне из жизни Виссариона Булкина - страхового агента. Энергичный в работе, он испытывает чувство неуверенности в личной жизни - любимой девушке не может признаться в своих чувствах, никак не может сдать экзамены в Литературный институт. Преодолеть чувство неуверенности помогает Булкину его Двойник.</t>
        </is>
      </c>
      <c r="L3099" s="2" t="inlineStr">
        <is>
          <t>Кино_СССР сводный каталог.xlsx: список телефильмов</t>
        </is>
      </c>
      <c r="M3099" s="2">
        <f>HYPERLINK("https://ru.wikipedia.org/w/index.php?search=%D0%A1%D1%82%D1%80%D0%B0%D1%85%D0%BE%D0%B2%D0%BE%D0%B9%20%D0%B0%D0%B3%D0%B5%D0%BD%D1%82%201985%20%D1%84%D0%B8%D0%BB%D1%8C%D0%BC","искать")</f>
        <v/>
      </c>
      <c r="N3099" s="3" t="n"/>
      <c r="O3099" s="2" t="n"/>
    </row>
    <row r="3100">
      <c r="A3100" s="2" t="n">
        <v>3099</v>
      </c>
      <c r="B3100" s="2" t="inlineStr"/>
      <c r="C3100" s="2" t="n">
        <v>8584</v>
      </c>
      <c r="D3100" s="3" t="inlineStr">
        <is>
          <t>Штрихи к портрету В. И. Ленина</t>
        </is>
      </c>
      <c r="E3100" s="2" t="n">
        <v>1967</v>
      </c>
      <c r="F3100" s="2" t="inlineStr">
        <is>
          <t>телефильм</t>
        </is>
      </c>
      <c r="G3100" s="2" t="n"/>
      <c r="H3100" s="2" t="n">
        <v>315</v>
      </c>
      <c r="I3100" s="2" t="inlineStr"/>
      <c r="J3100" s="2" t="inlineStr"/>
      <c r="K3100" s="3" t="inlineStr">
        <is>
          <t>Цикл фильмов о В.И.Ленине. Фильм первый: "Поимённое голосование". Фильм рассказывает о проходившем в марте 1918 года Чрезвычайном четвёртом Всероссийском съезде Советов, на котором был ратифицирован Брест-Литовский мирный договор, о выступлении В.И.Ленина на съезде. Фильм второй : "Полтора часа в кабинете Ленина".</t>
        </is>
      </c>
      <c r="L3100" s="2" t="inlineStr">
        <is>
          <t>Кино_СССР сводный каталог.xlsx: список телефильмов</t>
        </is>
      </c>
      <c r="M3100" s="2">
        <f>HYPERLINK("https://ru.wikipedia.org/w/index.php?search=%D0%A8%D1%82%D1%80%D0%B8%D1%85%D0%B8%20%D0%BA%20%D0%BF%D0%BE%D1%80%D1%82%D1%80%D0%B5%D1%82%D1%83%20%D0%92.%20%D0%98.%20%D0%9B%D0%B5%D0%BD%D0%B8%D0%BD%D0%B0%201967%20%D1%84%D0%B8%D0%BB%D1%8C%D0%BC","искать")</f>
        <v/>
      </c>
      <c r="N3100" s="3" t="n"/>
      <c r="O3100" s="2" t="n"/>
    </row>
    <row r="3101">
      <c r="A3101" s="2" t="n">
        <v>3100</v>
      </c>
      <c r="B3101" s="2" t="inlineStr"/>
      <c r="C3101" s="2" t="n">
        <v>8860</v>
      </c>
      <c r="D3101" s="3" t="inlineStr">
        <is>
          <t>Назугум</t>
        </is>
      </c>
      <c r="E3101" s="2" t="n">
        <v>1991</v>
      </c>
      <c r="F3101" s="2" t="inlineStr">
        <is>
          <t>кинофильм</t>
        </is>
      </c>
      <c r="G3101" s="2" t="n"/>
      <c r="H3101" s="2" t="n">
        <v>315</v>
      </c>
      <c r="I3101" s="2" t="inlineStr"/>
      <c r="J3101" s="2" t="inlineStr"/>
      <c r="K3101" s="3" t="inlineStr">
        <is>
          <t>В 1826 году, после жестокого подавления восстания уйгуров - жителей Кашгара - против маньчжуро-китайцев, маньчжурский хан Дуван зверски уничтожил повстанцев, посадил в темницы, сотни из них были сосланы из Кашгара в Илийскую долину. Среди повстанцев была Назугум, своими героическими стихами поднимавшая дух народа.</t>
        </is>
      </c>
      <c r="L3101" s="2" t="inlineStr">
        <is>
          <t>Кино_СССР сводный каталог.xlsx: список фильмов (доп.)</t>
        </is>
      </c>
      <c r="M3101" s="2">
        <f>HYPERLINK("https://ru.wikipedia.org/w/index.php?search=%D0%9D%D0%B0%D0%B7%D1%83%D0%B3%D1%83%D0%BC%201991%20%D1%84%D0%B8%D0%BB%D1%8C%D0%BC","искать")</f>
        <v/>
      </c>
      <c r="N3101" s="3" t="n"/>
      <c r="O3101" s="2" t="n"/>
    </row>
    <row r="3102">
      <c r="A3102" s="2" t="n">
        <v>3101</v>
      </c>
      <c r="B3102" s="2" t="inlineStr"/>
      <c r="C3102" s="2" t="n">
        <v>8973</v>
      </c>
      <c r="D3102" s="3" t="inlineStr">
        <is>
          <t>Приближение</t>
        </is>
      </c>
      <c r="E3102" s="2" t="n">
        <v>1989</v>
      </c>
      <c r="F3102" s="2" t="inlineStr">
        <is>
          <t>кинофильм</t>
        </is>
      </c>
      <c r="G3102" s="2" t="n"/>
      <c r="H3102" s="2" t="n">
        <v>315</v>
      </c>
      <c r="I3102" s="2" t="inlineStr"/>
      <c r="J3102" s="2" t="inlineStr"/>
      <c r="K3102" s="3" t="inlineStr">
        <is>
          <t>Полнокровная, интересная жизнь давно покинула дом, где живут мать, отец, сын и дочь. Бытовые мелочи, «дежурные разговоры» за обедом — это все, что их связывает. Ситуация меняется, когда становится известно, что семье по наследству переходит деревенский дом и, возможно, предстоит вступить в борьбу с сонаследниками.</t>
        </is>
      </c>
      <c r="L3102" s="2" t="inlineStr">
        <is>
          <t>Кино_СССР сводный каталог.xlsx: список фильмов (доп.)</t>
        </is>
      </c>
      <c r="M3102" s="2">
        <f>HYPERLINK("https://ru.wikipedia.org/w/index.php?search=%D0%9F%D1%80%D0%B8%D0%B1%D0%BB%D0%B8%D0%B6%D0%B5%D0%BD%D0%B8%D0%B5%201989%20%D1%84%D0%B8%D0%BB%D1%8C%D0%BC","искать")</f>
        <v/>
      </c>
      <c r="N3102" s="3" t="n"/>
      <c r="O3102" s="2" t="n"/>
    </row>
    <row r="3103">
      <c r="A3103" s="2" t="n">
        <v>3102</v>
      </c>
      <c r="B3103" s="2" t="inlineStr"/>
      <c r="C3103" s="2" t="n">
        <v>9371</v>
      </c>
      <c r="D3103" s="3" t="inlineStr">
        <is>
          <t>Западня</t>
        </is>
      </c>
      <c r="E3103" s="2" t="n">
        <v>1989</v>
      </c>
      <c r="F3103" s="2" t="inlineStr">
        <is>
          <t>кинофильм</t>
        </is>
      </c>
      <c r="G3103" s="2" t="n"/>
      <c r="H3103" s="2" t="n">
        <v>315</v>
      </c>
      <c r="I3103" s="2" t="inlineStr"/>
      <c r="J3103" s="2" t="inlineStr"/>
      <c r="K3103" s="3" t="inlineStr">
        <is>
          <t>По повести А.Бусуйока. История, рассказанная в «Западне», удивляет своей уникальностью. В центре повествования — сельский учитель, покидающий в 1944 году родную Бессарабию, к которой с боями приближается Красная Армия. У мягкого, интеллигентного Себастиана Раду есть все основания избегать встречи с освободителями.</t>
        </is>
      </c>
      <c r="L3103" s="2" t="inlineStr">
        <is>
          <t>Кино_СССР сводный каталог.xlsx: список фильмов (доп.)</t>
        </is>
      </c>
      <c r="M3103" s="2">
        <f>HYPERLINK("https://ru.wikipedia.org/w/index.php?search=%D0%97%D0%B0%D0%BF%D0%B0%D0%B4%D0%BD%D1%8F%201989%20%D1%84%D0%B8%D0%BB%D1%8C%D0%BC","искать")</f>
        <v/>
      </c>
      <c r="N3103" s="3" t="n"/>
      <c r="O3103" s="2" t="n"/>
    </row>
    <row r="3104">
      <c r="A3104" s="2" t="n">
        <v>3103</v>
      </c>
      <c r="B3104" s="2" t="inlineStr"/>
      <c r="C3104" s="2" t="n">
        <v>9713</v>
      </c>
      <c r="D3104" s="3" t="inlineStr">
        <is>
          <t>Урга - территория любви</t>
        </is>
      </c>
      <c r="E3104" s="2" t="n">
        <v>1991</v>
      </c>
      <c r="F3104" s="2" t="inlineStr">
        <is>
          <t>кинофильм</t>
        </is>
      </c>
      <c r="G3104" s="2" t="n"/>
      <c r="H3104" s="2" t="n">
        <v>315</v>
      </c>
      <c r="I3104" s="2" t="inlineStr"/>
      <c r="J3104" s="2" t="inlineStr"/>
      <c r="K3104" s="3" t="inlineStr">
        <is>
          <t>Сюжет фильма прост и больше смахивает на веселый рассказ. Монгольская любящая пара, живущая в степи приграничного района с Китаем, по законам не может иметь больше трех детей. Но троих она уже имеет. Тогда Пагма посылает любящего мужа в город за презервативами. Он едет в город за покупкой вместе с русским шофером.</t>
        </is>
      </c>
      <c r="L3104" s="2" t="inlineStr">
        <is>
          <t>Кино_СССР сводный каталог.xlsx: список фильмов (доп.)</t>
        </is>
      </c>
      <c r="M3104" s="2">
        <f>HYPERLINK("https://ru.wikipedia.org/w/index.php?search=%D0%A3%D1%80%D0%B3%D0%B0%20-%20%D1%82%D0%B5%D1%80%D1%80%D0%B8%D1%82%D0%BE%D1%80%D0%B8%D1%8F%20%D0%BB%D1%8E%D0%B1%D0%B2%D0%B8%201991%20%D1%84%D0%B8%D0%BB%D1%8C%D0%BC","искать")</f>
        <v/>
      </c>
      <c r="N3104" s="3" t="n"/>
      <c r="O3104" s="2" t="n"/>
    </row>
    <row r="3105">
      <c r="A3105" s="2" t="n">
        <v>3104</v>
      </c>
      <c r="B3105" s="2" t="inlineStr"/>
      <c r="C3105" s="2" t="n">
        <v>11307</v>
      </c>
      <c r="D3105" s="3" t="inlineStr">
        <is>
          <t>Лебединая песня</t>
        </is>
      </c>
      <c r="E3105" s="2" t="n">
        <v>1990</v>
      </c>
      <c r="F3105" s="2" t="inlineStr">
        <is>
          <t>фильм-спектакль</t>
        </is>
      </c>
      <c r="G3105" s="2" t="inlineStr">
        <is>
          <t>Главная редакция литературно-художественных программ ЦТ</t>
        </is>
      </c>
      <c r="H3105" s="2" t="n">
        <v>315</v>
      </c>
      <c r="I3105" s="2" t="inlineStr"/>
      <c r="J3105" s="2" t="inlineStr"/>
      <c r="K3105" s="3" t="inlineStr">
        <is>
          <t>Бенефис Олега Борисова.
В основу сюжета телеспектакля положен драматический этюд А. Чехова "Лебединая песня" о судьбе старого актера. По ходу спектакля актер вспоминает некоторые свои роли в различных постановках по произведениям Островского, Грибоедова, Шекспира, Гоголя, читает стихи Пушкина, поёт песню Окуджавы.</t>
        </is>
      </c>
      <c r="L3105" s="2" t="inlineStr">
        <is>
          <t>https://www.kino-teatr.ru/teatr/movie/16431/annot/</t>
        </is>
      </c>
      <c r="M3105" s="2">
        <f>HYPERLINK("https://ru.wikipedia.org/w/index.php?search=%D0%9B%D0%B5%D0%B1%D0%B5%D0%B4%D0%B8%D0%BD%D0%B0%D1%8F%20%D0%BF%D0%B5%D1%81%D0%BD%D1%8F%201990%20%D1%84%D0%B8%D0%BB%D1%8C%D0%BC","искать")</f>
        <v/>
      </c>
      <c r="N3105" s="3" t="n"/>
      <c r="O3105" s="2" t="n"/>
    </row>
    <row r="3106">
      <c r="A3106" s="2" t="n">
        <v>3105</v>
      </c>
      <c r="B3106" s="2" t="inlineStr"/>
      <c r="C3106" s="2" t="n">
        <v>7424</v>
      </c>
      <c r="D3106" s="3" t="inlineStr">
        <is>
          <t>Выше Радуги</t>
        </is>
      </c>
      <c r="E3106" s="2" t="n">
        <v>1986</v>
      </c>
      <c r="F3106" s="2" t="inlineStr">
        <is>
          <t>телефильм</t>
        </is>
      </c>
      <c r="G3106" s="2" t="inlineStr">
        <is>
          <t>Одесская к/с</t>
        </is>
      </c>
      <c r="H3106" s="2" t="n">
        <v>316</v>
      </c>
      <c r="I3106" s="2" t="inlineStr"/>
      <c r="J3106" s="2" t="inlineStr"/>
      <c r="K3106" s="3" t="inlineStr">
        <is>
          <t>По одноименной повести Сергея Александровича Абрамова. Алик Радуга хорошо учился, писал стихи, но успехов в спорте достичь не мог. Однажды волшебница наделила его даром прыгать выше всех. Но если Алик когда-нибудь солжет - волшебство исчезнет. Чтобы защитить девочку, он сказал неправду, и волшебные чары рассеялись.</t>
        </is>
      </c>
      <c r="L3106" s="2" t="inlineStr">
        <is>
          <t>Кино_СССР сводный каталог.xlsx: список телефильмов</t>
        </is>
      </c>
      <c r="M3106" s="2">
        <f>HYPERLINK("https://ru.wikipedia.org/w/index.php?search=%D0%92%D1%8B%D1%88%D0%B5%20%D0%A0%D0%B0%D0%B4%D1%83%D0%B3%D0%B8%201986%20%D1%84%D0%B8%D0%BB%D1%8C%D0%BC","искать")</f>
        <v/>
      </c>
      <c r="N3106" s="3" t="n"/>
      <c r="O3106" s="2" t="n"/>
    </row>
    <row r="3107">
      <c r="A3107" s="2" t="n">
        <v>3106</v>
      </c>
      <c r="B3107" s="2" t="inlineStr"/>
      <c r="C3107" s="2" t="n">
        <v>7549</v>
      </c>
      <c r="D3107" s="3" t="inlineStr">
        <is>
          <t>Дорога</t>
        </is>
      </c>
      <c r="E3107" s="2" t="n">
        <v>1975</v>
      </c>
      <c r="F3107" s="2" t="inlineStr">
        <is>
          <t>телефильм</t>
        </is>
      </c>
      <c r="G3107" s="2" t="inlineStr">
        <is>
          <t>Свердловская киностудия</t>
        </is>
      </c>
      <c r="H3107" s="2" t="n">
        <v>316</v>
      </c>
      <c r="I3107" s="2" t="inlineStr"/>
      <c r="J3107" s="2" t="inlineStr"/>
      <c r="K3107" s="3" t="inlineStr">
        <is>
          <t>Телефильм. Лена и Паша приезжают в родной город девушки, чтобы подать заявление на развод. Паша не понимает мотивов развода и очень расстраивается по этому поводу. Но в ЗАГСе говорят, что необходимо подождать 3 месяца. Молодые люди решают на это время остаться в городе и договариваются не встречаться и не общаться.</t>
        </is>
      </c>
      <c r="L3107" s="2" t="inlineStr">
        <is>
          <t>Кино_СССР сводный каталог.xlsx: список телефильмов</t>
        </is>
      </c>
      <c r="M3107" s="2">
        <f>HYPERLINK("https://ru.wikipedia.org/w/index.php?search=%D0%94%D0%BE%D1%80%D0%BE%D0%B3%D0%B0%201975%20%D1%84%D0%B8%D0%BB%D1%8C%D0%BC","искать")</f>
        <v/>
      </c>
      <c r="N3107" s="3" t="n"/>
      <c r="O3107" s="2" t="n"/>
    </row>
    <row r="3108">
      <c r="A3108" s="2" t="n">
        <v>3107</v>
      </c>
      <c r="B3108" s="2" t="inlineStr"/>
      <c r="C3108" s="2" t="n">
        <v>7839</v>
      </c>
      <c r="D3108" s="3" t="inlineStr">
        <is>
          <t>Макар-следопыт</t>
        </is>
      </c>
      <c r="E3108" s="2" t="n">
        <v>1984</v>
      </c>
      <c r="F3108" s="2" t="inlineStr">
        <is>
          <t>телефильм</t>
        </is>
      </c>
      <c r="G3108" s="2" t="n"/>
      <c r="H3108" s="2" t="n">
        <v>316</v>
      </c>
      <c r="I3108" s="2" t="inlineStr"/>
      <c r="J3108" s="2" t="inlineStr"/>
      <c r="K3108" s="3" t="inlineStr">
        <is>
          <t>Минисериал по мотивам повести Л.Остроумова "Макар-следопыт". О приключениях деревенского паренька Макара и его друзей, вступивших в отчаянную схватку с белогвардейцами и победивших их благодаря мужеству, смекалке и дружбе. А неизменным помощником отважного Макара выступает очень преданная и сообразительная овчарка.</t>
        </is>
      </c>
      <c r="L3108" s="2" t="inlineStr">
        <is>
          <t>Кино_СССР сводный каталог.xlsx: список телефильмов</t>
        </is>
      </c>
      <c r="M3108" s="2">
        <f>HYPERLINK("https://ru.wikipedia.org/w/index.php?search=%D0%9C%D0%B0%D0%BA%D0%B0%D1%80-%D1%81%D0%BB%D0%B5%D0%B4%D0%BE%D0%BF%D1%8B%D1%82%201984%20%D1%84%D0%B8%D0%BB%D1%8C%D0%BC","искать")</f>
        <v/>
      </c>
      <c r="N3108" s="3" t="n"/>
      <c r="O3108" s="2" t="n"/>
    </row>
    <row r="3109">
      <c r="A3109" s="2" t="n">
        <v>3108</v>
      </c>
      <c r="B3109" s="2" t="inlineStr"/>
      <c r="C3109" s="2" t="n">
        <v>8012</v>
      </c>
      <c r="D3109" s="3" t="inlineStr">
        <is>
          <t>Ночь без края</t>
        </is>
      </c>
      <c r="E3109" s="2" t="n">
        <v>1989</v>
      </c>
      <c r="F3109" s="2" t="inlineStr">
        <is>
          <t>телефильм</t>
        </is>
      </c>
      <c r="G3109" s="2" t="n"/>
      <c r="H3109" s="2" t="n">
        <v>316</v>
      </c>
      <c r="I3109" s="2" t="inlineStr"/>
      <c r="J3109" s="2" t="inlineStr"/>
      <c r="K3109" s="3" t="inlineStr">
        <is>
          <t>Случается так, что малейшая ошибка, следствие всего лишь единственного неверного шага, может преследовать человека всю жизнь. Именно так случилось с героиней телефильма «Ночь без края». Роковую роль в нравственном падении Зибейды сыграли зловещие 30-е годы... Действие охватывает несколько десятилетий жизни Зибейды.</t>
        </is>
      </c>
      <c r="L3109" s="2" t="inlineStr">
        <is>
          <t>Кино_СССР сводный каталог.xlsx: список телефильмов</t>
        </is>
      </c>
      <c r="M3109" s="2">
        <f>HYPERLINK("https://ru.wikipedia.org/w/index.php?search=%D0%9D%D0%BE%D1%87%D1%8C%20%D0%B1%D0%B5%D0%B7%20%D0%BA%D1%80%D0%B0%D1%8F%201989%20%D1%84%D0%B8%D0%BB%D1%8C%D0%BC","искать")</f>
        <v/>
      </c>
      <c r="N3109" s="3" t="n"/>
      <c r="O3109" s="2" t="n"/>
    </row>
    <row r="3110">
      <c r="A3110" s="2" t="n">
        <v>3109</v>
      </c>
      <c r="B3110" s="2" t="inlineStr"/>
      <c r="C3110" s="2" t="n">
        <v>8071</v>
      </c>
      <c r="D3110" s="3" t="inlineStr">
        <is>
          <t>Отцы и дети</t>
        </is>
      </c>
      <c r="E3110" s="2" t="n">
        <v>1983</v>
      </c>
      <c r="F3110" s="2" t="inlineStr">
        <is>
          <t>телефильм</t>
        </is>
      </c>
      <c r="G3110" s="2" t="n"/>
      <c r="H3110" s="2" t="n">
        <v>316</v>
      </c>
      <c r="I3110" s="2" t="inlineStr"/>
      <c r="J3110" s="2" t="inlineStr"/>
      <c r="K3110" s="3" t="inlineStr">
        <is>
          <t>Телесериал по одноименному роману И. Тургенева. К сорокатрехлетнему помещику Кирсанову приезжает сын Аркадий, только что окончивший университет. C ним - самоуверенный молодой человек, начинающий доктор, Евгений Васильевич Базаров. Старший брат отца, Павел Петрович, и Базаров очень быстро ощущают взаимную антипатию.</t>
        </is>
      </c>
      <c r="L3110" s="2" t="inlineStr">
        <is>
          <t>Кино_СССР сводный каталог.xlsx: список телефильмов</t>
        </is>
      </c>
      <c r="M3110" s="2">
        <f>HYPERLINK("https://ru.wikipedia.org/w/index.php?search=%D0%9E%D1%82%D1%86%D1%8B%20%D0%B8%20%D0%B4%D0%B5%D1%82%D0%B8%201983%20%D1%84%D0%B8%D0%BB%D1%8C%D0%BC","искать")</f>
        <v/>
      </c>
      <c r="N3110" s="3" t="n"/>
      <c r="O3110" s="2" t="n"/>
    </row>
    <row r="3111">
      <c r="A3111" s="2" t="n">
        <v>3110</v>
      </c>
      <c r="B3111" s="2" t="inlineStr"/>
      <c r="C3111" s="2" t="n">
        <v>8172</v>
      </c>
      <c r="D3111" s="3" t="inlineStr">
        <is>
          <t>Последняя инспекция</t>
        </is>
      </c>
      <c r="E3111" s="2" t="n">
        <v>1985</v>
      </c>
      <c r="F3111" s="2" t="inlineStr">
        <is>
          <t>телефильм</t>
        </is>
      </c>
      <c r="G3111" s="2" t="n"/>
      <c r="H3111" s="2" t="n">
        <v>316</v>
      </c>
      <c r="I3111" s="2" t="inlineStr"/>
      <c r="J3111" s="2" t="inlineStr"/>
      <c r="K3111" s="3" t="inlineStr">
        <is>
          <t>По мотивам книги-воспоминаний М. Табакина "100 дней". Действие фильма происходит в 1927 году в Узбекистане. Из Москвы в Ташкент направлена группа сотрудников Центророзыска для оказания помощи местной милиции в борьбе с бандитизмом. При этом они участвуют в борьбе с остатками басмачества и белогвардейского подполья.</t>
        </is>
      </c>
      <c r="L3111" s="2" t="inlineStr">
        <is>
          <t>Кино_СССР сводный каталог.xlsx: список телефильмов</t>
        </is>
      </c>
      <c r="M3111" s="2">
        <f>HYPERLINK("https://ru.wikipedia.org/w/index.php?search=%D0%9F%D0%BE%D1%81%D0%BB%D0%B5%D0%B4%D0%BD%D1%8F%D1%8F%20%D0%B8%D0%BD%D1%81%D0%BF%D0%B5%D0%BA%D1%86%D0%B8%D1%8F%201985%20%D1%84%D0%B8%D0%BB%D1%8C%D0%BC","искать")</f>
        <v/>
      </c>
      <c r="N3111" s="3" t="n"/>
      <c r="O3111" s="2" t="n"/>
    </row>
    <row r="3112">
      <c r="A3112" s="2" t="n">
        <v>3111</v>
      </c>
      <c r="B3112" s="2" t="inlineStr"/>
      <c r="C3112" s="2" t="n">
        <v>8388</v>
      </c>
      <c r="D3112" s="3" t="inlineStr">
        <is>
          <t>Сохранившие огонь</t>
        </is>
      </c>
      <c r="E3112" s="2" t="n">
        <v>1970</v>
      </c>
      <c r="F3112" s="2" t="inlineStr">
        <is>
          <t>телефильм</t>
        </is>
      </c>
      <c r="G3112" s="2" t="inlineStr">
        <is>
          <t>Мосфильм</t>
        </is>
      </c>
      <c r="H3112" s="2" t="n">
        <v>316</v>
      </c>
      <c r="I3112" s="2" t="inlineStr"/>
      <c r="J3112" s="2" t="inlineStr"/>
      <c r="K3112" s="3" t="inlineStr">
        <is>
          <t>Телефильм по мотивам рассказа Александра Бека "Письмо Ленина" о преодолении разрухи в стране после гражданской войны. Действие фильма происходит в первые годы после установления Советской власти в Донбассе. Бандиты взрывают мост, по которому подвозится руда к доменной печи, директор завода получает тяжелое ранение.</t>
        </is>
      </c>
      <c r="L3112" s="2" t="inlineStr">
        <is>
          <t>Кино_СССР сводный каталог.xlsx: список телефильмов</t>
        </is>
      </c>
      <c r="M3112" s="2">
        <f>HYPERLINK("https://ru.wikipedia.org/w/index.php?search=%D0%A1%D0%BE%D1%85%D1%80%D0%B0%D0%BD%D0%B8%D0%B2%D1%88%D0%B8%D0%B5%20%D0%BE%D0%B3%D0%BE%D0%BD%D1%8C%201970%20%D1%84%D0%B8%D0%BB%D1%8C%D0%BC","искать")</f>
        <v/>
      </c>
      <c r="N3112" s="3" t="n"/>
      <c r="O3112" s="2" t="n"/>
    </row>
    <row r="3113">
      <c r="A3113" s="2" t="n">
        <v>3112</v>
      </c>
      <c r="B3113" s="2" t="inlineStr"/>
      <c r="C3113" s="2" t="n">
        <v>9112</v>
      </c>
      <c r="D3113" s="3" t="inlineStr">
        <is>
          <t>Тропой бескорыстной любви</t>
        </is>
      </c>
      <c r="E3113" s="2" t="n">
        <v>1971</v>
      </c>
      <c r="F3113" s="2" t="inlineStr">
        <is>
          <t>кинофильм</t>
        </is>
      </c>
      <c r="G3113" s="2" t="n"/>
      <c r="H3113" s="2" t="n">
        <v>316</v>
      </c>
      <c r="I3113" s="2" t="inlineStr"/>
      <c r="J3113" s="2" t="inlineStr"/>
      <c r="K3113" s="3" t="inlineStr">
        <is>
          <t>«Памяти Виталия Бианки. Многое в этом фильме навеяно его рассказами» (эпиграф фильма). Первый из четырех фильмов сиквела, рассказывающего о жизни рысенка Кунака, которого приютил и выкормил лесник Михалыч. Последующие фильмы: - «Рысь выходит на тропу» (1982), «Рысь возвращается» (1986), «Рысь идет по следу» (1994).</t>
        </is>
      </c>
      <c r="L3113" s="2" t="inlineStr">
        <is>
          <t>Кино_СССР сводный каталог.xlsx: список фильмов (доп.)</t>
        </is>
      </c>
      <c r="M3113" s="2">
        <f>HYPERLINK("https://ru.wikipedia.org/w/index.php?search=%D0%A2%D1%80%D0%BE%D0%BF%D0%BE%D0%B9%20%D0%B1%D0%B5%D1%81%D0%BA%D0%BE%D1%80%D1%8B%D1%81%D1%82%D0%BD%D0%BE%D0%B9%20%D0%BB%D1%8E%D0%B1%D0%B2%D0%B8%201971%20%D1%84%D0%B8%D0%BB%D1%8C%D0%BC","искать")</f>
        <v/>
      </c>
      <c r="N3113" s="3" t="n"/>
      <c r="O3113" s="2" t="n"/>
    </row>
    <row r="3114">
      <c r="A3114" s="2" t="n">
        <v>3113</v>
      </c>
      <c r="B3114" s="2" t="inlineStr"/>
      <c r="C3114" s="2" t="n">
        <v>9461</v>
      </c>
      <c r="D3114" s="3" t="inlineStr">
        <is>
          <t>Любовь немолодого человека</t>
        </is>
      </c>
      <c r="E3114" s="2" t="n">
        <v>1990</v>
      </c>
      <c r="F3114" s="2" t="inlineStr">
        <is>
          <t>кинофильм</t>
        </is>
      </c>
      <c r="G3114" s="2" t="n"/>
      <c r="H3114" s="2" t="n">
        <v>316</v>
      </c>
      <c r="I3114" s="2" t="inlineStr"/>
      <c r="J3114" s="2" t="inlineStr"/>
      <c r="K3114" s="3" t="inlineStr">
        <is>
          <t>Володя, мужчина лет пятидесяти, едет на юг со своей очаровательной любовницей Олей. При этом говорит жене, что отправляется рыбачить на Соловки. А она тоже едет на юг...к любовнику Гиви. Случайно увидев неверную жену, первая пара берет ее под наблюдение - и безмятежная любовь героев приобретает авантюрный характер.</t>
        </is>
      </c>
      <c r="L3114" s="2" t="inlineStr">
        <is>
          <t>Кино_СССР сводный каталог.xlsx: список фильмов (доп.)</t>
        </is>
      </c>
      <c r="M3114" s="2">
        <f>HYPERLINK("https://ru.wikipedia.org/w/index.php?search=%D0%9B%D1%8E%D0%B1%D0%BE%D0%B2%D1%8C%20%D0%BD%D0%B5%D0%BC%D0%BE%D0%BB%D0%BE%D0%B4%D0%BE%D0%B3%D0%BE%20%D1%87%D0%B5%D0%BB%D0%BE%D0%B2%D0%B5%D0%BA%D0%B0%201990%20%D1%84%D0%B8%D0%BB%D1%8C%D0%BC","искать")</f>
        <v/>
      </c>
      <c r="N3114" s="3" t="n"/>
      <c r="O3114" s="2" t="n"/>
    </row>
    <row r="3115">
      <c r="A3115" s="2" t="n">
        <v>3114</v>
      </c>
      <c r="B3115" s="2" t="inlineStr"/>
      <c r="C3115" s="2" t="n">
        <v>9633</v>
      </c>
      <c r="D3115" s="3" t="inlineStr">
        <is>
          <t>Свой крест</t>
        </is>
      </c>
      <c r="E3115" s="2" t="n">
        <v>1989</v>
      </c>
      <c r="F3115" s="2" t="inlineStr">
        <is>
          <t>кинофильм</t>
        </is>
      </c>
      <c r="G3115" s="2" t="n"/>
      <c r="H3115" s="2" t="n">
        <v>316</v>
      </c>
      <c r="I3115" s="2" t="inlineStr"/>
      <c r="J3115" s="2" t="inlineStr"/>
      <c r="K3115" s="3" t="inlineStr">
        <is>
          <t>Фильм снят по повести Юрия Трифонова "Другая жизнь". Молодой историк Сергей Троицкий выбрал темой для диссертации историю царской охраны и начинает заниматься поиском еще оставшихся в живых тайных агентов или их родственников. Поиски приводят его в настоящее время, что вызывает недовольство очень влиятельных людей.</t>
        </is>
      </c>
      <c r="L3115" s="2" t="inlineStr">
        <is>
          <t>Кино_СССР сводный каталог.xlsx: список фильмов (доп.)</t>
        </is>
      </c>
      <c r="M3115" s="2">
        <f>HYPERLINK("https://ru.wikipedia.org/w/index.php?search=%D0%A1%D0%B2%D0%BE%D0%B9%20%D0%BA%D1%80%D0%B5%D1%81%D1%82%201989%20%D1%84%D0%B8%D0%BB%D1%8C%D0%BC","искать")</f>
        <v/>
      </c>
      <c r="N3115" s="3" t="n"/>
      <c r="O3115" s="2" t="n"/>
    </row>
    <row r="3116">
      <c r="A3116" s="2" t="n">
        <v>3115</v>
      </c>
      <c r="B3116" s="2" t="inlineStr"/>
      <c r="C3116" s="2" t="n">
        <v>9638</v>
      </c>
      <c r="D3116" s="3" t="inlineStr">
        <is>
          <t>Семнадцать левых сапог</t>
        </is>
      </c>
      <c r="E3116" s="2" t="n">
        <v>1991</v>
      </c>
      <c r="F3116" s="2" t="inlineStr">
        <is>
          <t>кинофильм</t>
        </is>
      </c>
      <c r="G3116" s="2" t="n"/>
      <c r="H3116" s="2" t="n">
        <v>316</v>
      </c>
      <c r="I3116" s="2" t="inlineStr"/>
      <c r="J3116" s="2" t="inlineStr"/>
      <c r="K3116" s="3" t="inlineStr">
        <is>
          <t>Киноверсия ("За что?") в двух сериях. По роману Вацлава Михальского "Семнадцать левых сапог". В провинциальном городе при больнице работает сторожем Адам Степанович, настоящее имя которого - Алексей Зыков. Вышло так, что пришлось ему после войны жить двумя жизнями, в одной из которых он воевал, попал в плен, бежал.</t>
        </is>
      </c>
      <c r="L3116" s="2" t="inlineStr">
        <is>
          <t>Кино_СССР сводный каталог.xlsx: список фильмов (доп.)</t>
        </is>
      </c>
      <c r="M3116" s="2">
        <f>HYPERLINK("https://ru.wikipedia.org/w/index.php?search=%D0%A1%D0%B5%D0%BC%D0%BD%D0%B0%D0%B4%D1%86%D0%B0%D1%82%D1%8C%20%D0%BB%D0%B5%D0%B2%D1%8B%D1%85%20%D1%81%D0%B0%D0%BF%D0%BE%D0%B3%201991%20%D1%84%D0%B8%D0%BB%D1%8C%D0%BC","искать")</f>
        <v/>
      </c>
      <c r="N3116" s="3" t="n"/>
      <c r="O3116" s="2" t="n"/>
    </row>
    <row r="3117">
      <c r="A3117" s="2" t="n">
        <v>3116</v>
      </c>
      <c r="B3117" s="2" t="inlineStr"/>
      <c r="C3117" s="2" t="n">
        <v>7535</v>
      </c>
      <c r="D3117" s="3" t="inlineStr">
        <is>
          <t>Долгое эхо в горах</t>
        </is>
      </c>
      <c r="E3117" s="2" t="n">
        <v>1985</v>
      </c>
      <c r="F3117" s="2" t="inlineStr">
        <is>
          <t>телефильм</t>
        </is>
      </c>
      <c r="G3117" s="2" t="n"/>
      <c r="H3117" s="2" t="n">
        <v>317</v>
      </c>
      <c r="I3117" s="2" t="inlineStr"/>
      <c r="J3117" s="2" t="inlineStr"/>
      <c r="K3117" s="3" t="inlineStr">
        <is>
          <t>По мотивам повести Е.Березикова "Не бойся кобры". В родной кишлак приезжает Бахрам Халилов - молодой ученый-гидролог, автор проекта водохранилища. Ему приходится преодолевать не только производственные трудности, но и сопротивление односельчан, которые не могут смириться с мыслью, что родное селение будет затоплено.</t>
        </is>
      </c>
      <c r="L3117" s="2" t="inlineStr">
        <is>
          <t>Кино_СССР сводный каталог.xlsx: список телефильмов</t>
        </is>
      </c>
      <c r="M3117" s="2">
        <f>HYPERLINK("https://ru.wikipedia.org/w/index.php?search=%D0%94%D0%BE%D0%BB%D0%B3%D0%BE%D0%B5%20%D1%8D%D1%85%D0%BE%20%D0%B2%20%D0%B3%D0%BE%D1%80%D0%B0%D1%85%201985%20%D1%84%D0%B8%D0%BB%D1%8C%D0%BC","искать")</f>
        <v/>
      </c>
      <c r="N3117" s="3" t="n"/>
      <c r="O3117" s="2" t="n"/>
    </row>
    <row r="3118">
      <c r="A3118" s="2" t="n">
        <v>3117</v>
      </c>
      <c r="B3118" s="2" t="inlineStr"/>
      <c r="C3118" s="2" t="n">
        <v>7807</v>
      </c>
      <c r="D3118" s="3" t="inlineStr">
        <is>
          <t>Летучая мышь</t>
        </is>
      </c>
      <c r="E3118" s="2" t="n">
        <v>1978</v>
      </c>
      <c r="F3118" s="2" t="inlineStr">
        <is>
          <t>телефильм</t>
        </is>
      </c>
      <c r="G3118" s="2" t="n"/>
      <c r="H3118" s="2" t="n">
        <v>317</v>
      </c>
      <c r="I3118" s="2" t="inlineStr"/>
      <c r="J3118" s="2" t="inlineStr"/>
      <c r="K3118" s="3" t="inlineStr">
        <is>
          <t>Телефильм. Одно из классических творений короля вальса Иоганна Штрауса. Грандиозный костюмированный бал, море шуток, веселья и... Музыка! Блестящий мюзикл Иоганна Штрауса по мотивам либретто Н. Эрдмана и М. Вольпина. Жена (Максакова), узнает о том, что муж (Юрий Соломин) изменяет ей и волочится за другими женщинами.</t>
        </is>
      </c>
      <c r="L3118" s="2" t="inlineStr">
        <is>
          <t>Кино_СССР сводный каталог.xlsx: список телефильмов</t>
        </is>
      </c>
      <c r="M3118" s="2">
        <f>HYPERLINK("https://ru.wikipedia.org/w/index.php?search=%D0%9B%D0%B5%D1%82%D1%83%D1%87%D0%B0%D1%8F%20%D0%BC%D1%8B%D1%88%D1%8C%201978%20%D1%84%D0%B8%D0%BB%D1%8C%D0%BC","искать")</f>
        <v/>
      </c>
      <c r="N3118" s="3" t="n"/>
      <c r="O3118" s="2" t="n"/>
    </row>
    <row r="3119">
      <c r="A3119" s="2" t="n">
        <v>3118</v>
      </c>
      <c r="B3119" s="2" t="inlineStr"/>
      <c r="C3119" s="2" t="n">
        <v>8896</v>
      </c>
      <c r="D3119" s="3" t="inlineStr">
        <is>
          <t>Он научился летать</t>
        </is>
      </c>
      <c r="E3119" s="2" t="n">
        <v>1991</v>
      </c>
      <c r="F3119" s="2" t="inlineStr">
        <is>
          <t>кинофильм</t>
        </is>
      </c>
      <c r="G3119" s="2" t="n"/>
      <c r="H3119" s="2" t="n">
        <v>317</v>
      </c>
      <c r="I3119" s="2" t="inlineStr"/>
      <c r="J3119" s="2" t="inlineStr"/>
      <c r="K3119" s="3" t="inlineStr">
        <is>
          <t>Фильм рассказывает о выдающемся солисте балета Андрисе Лиепа. В нем Вы увидите отрывки из спектаклей "Баядерка", "Весна священная", "Лебединое озеро", поставленные на сцене Мариинского театра Санкт-Петербурга. Вы увидите уникальные кадры, запечатлевшие сложный путь артиста: спектакли, репетиции, воспоминания, мечты.</t>
        </is>
      </c>
      <c r="L3119" s="2" t="inlineStr">
        <is>
          <t>Кино_СССР сводный каталог.xlsx: список фильмов (доп.)</t>
        </is>
      </c>
      <c r="M3119" s="2">
        <f>HYPERLINK("https://ru.wikipedia.org/w/index.php?search=%D0%9E%D0%BD%20%D0%BD%D0%B0%D1%83%D1%87%D0%B8%D0%BB%D1%81%D1%8F%20%D0%BB%D0%B5%D1%82%D0%B0%D1%82%D1%8C%201991%20%D1%84%D0%B8%D0%BB%D1%8C%D0%BC","искать")</f>
        <v/>
      </c>
      <c r="N3119" s="3" t="n"/>
      <c r="O3119" s="2" t="n"/>
    </row>
    <row r="3120">
      <c r="A3120" s="2" t="n">
        <v>3119</v>
      </c>
      <c r="B3120" s="2" t="inlineStr"/>
      <c r="C3120" s="2" t="n">
        <v>9039</v>
      </c>
      <c r="D3120" s="3" t="inlineStr">
        <is>
          <t>Семьянин</t>
        </is>
      </c>
      <c r="E3120" s="2" t="n">
        <v>1991</v>
      </c>
      <c r="F3120" s="2" t="inlineStr">
        <is>
          <t>кинофильм</t>
        </is>
      </c>
      <c r="G3120" s="2" t="n"/>
      <c r="H3120" s="2" t="n">
        <v>317</v>
      </c>
      <c r="I3120" s="2" t="inlineStr"/>
      <c r="J3120" s="2" t="inlineStr"/>
      <c r="K3120" s="3" t="inlineStr">
        <is>
          <t>Герой фильма, шофер-дальнобойщик Колыванов (Никоненко) горячо выступает за твердую семью, постоянство и верность. Из за этого он даже поссорился с новым напарником, имевшим неосторожность развестись с женой и заявить, что главное для человека - это перемены. Все же им приходится отправиться в первый совместный рейс.</t>
        </is>
      </c>
      <c r="L3120" s="2" t="inlineStr">
        <is>
          <t>Кино_СССР сводный каталог.xlsx: список фильмов (доп.)</t>
        </is>
      </c>
      <c r="M3120" s="2">
        <f>HYPERLINK("https://ru.wikipedia.org/w/index.php?search=%D0%A1%D0%B5%D0%BC%D1%8C%D1%8F%D0%BD%D0%B8%D0%BD%201991%20%D1%84%D0%B8%D0%BB%D1%8C%D0%BC","искать")</f>
        <v/>
      </c>
      <c r="N3120" s="3" t="n"/>
      <c r="O3120" s="2" t="n"/>
    </row>
    <row r="3121">
      <c r="A3121" s="2" t="n">
        <v>3120</v>
      </c>
      <c r="B3121" s="2" t="inlineStr"/>
      <c r="C3121" s="2" t="n">
        <v>9445</v>
      </c>
      <c r="D3121" s="3" t="inlineStr">
        <is>
          <t>Кто ты, Элли?</t>
        </is>
      </c>
      <c r="E3121" s="2" t="n">
        <v>1990</v>
      </c>
      <c r="F3121" s="2" t="inlineStr">
        <is>
          <t>кинофильм</t>
        </is>
      </c>
      <c r="G3121" s="2" t="n"/>
      <c r="H3121" s="2" t="n">
        <v>317</v>
      </c>
      <c r="I3121" s="2" t="inlineStr"/>
      <c r="J3121" s="2" t="inlineStr"/>
      <c r="K3121" s="3" t="inlineStr">
        <is>
          <t>Борьба "мясной" мафии с набирающей обороты нарко-оружейной мафией. Главный герой Элли - симпатичный молодой человек, спортсмен, наркокурьер и киллер наркомафии. Он как бы герой 90-х, ведь в нем сочетаются жестокость, сила, нежность, доброта. У него мгновенная реакция и меткий глаз, крепкая мускулатура и холодный ум.</t>
        </is>
      </c>
      <c r="L3121" s="2" t="inlineStr">
        <is>
          <t>Кино_СССР сводный каталог.xlsx: список фильмов (доп.)</t>
        </is>
      </c>
      <c r="M3121" s="2">
        <f>HYPERLINK("https://ru.wikipedia.org/w/index.php?search=%D0%9A%D1%82%D0%BE%20%D1%82%D1%8B%2C%20%D0%AD%D0%BB%D0%BB%D0%B8%3F%201990%20%D1%84%D0%B8%D0%BB%D1%8C%D0%BC","искать")</f>
        <v/>
      </c>
      <c r="N3121" s="3" t="n"/>
      <c r="O3121" s="2" t="n"/>
    </row>
    <row r="3122">
      <c r="A3122" s="2" t="n">
        <v>3121</v>
      </c>
      <c r="B3122" s="2" t="inlineStr"/>
      <c r="C3122" s="2" t="n">
        <v>9549</v>
      </c>
      <c r="D3122" s="3" t="inlineStr">
        <is>
          <t>Песнь, наводящая ужас</t>
        </is>
      </c>
      <c r="E3122" s="2" t="n">
        <v>1989</v>
      </c>
      <c r="F3122" s="2" t="inlineStr">
        <is>
          <t>кинофильм</t>
        </is>
      </c>
      <c r="G3122" s="2" t="n"/>
      <c r="H3122" s="2" t="n">
        <v>317</v>
      </c>
      <c r="I3122" s="2" t="inlineStr"/>
      <c r="J3122" s="2" t="inlineStr"/>
      <c r="K3122" s="3" t="inlineStr">
        <is>
          <t>Место действия - тыловой военный госпиталь, где проходят курс лечения женщины, ставшие инвалидами. Война оставила в их жизни страшный след: горевшая в самолете Эмма сошла с ума; ампутирована нога у Галины; в результате контузии лишившаяся памяти совсем юная Алена выбросилась из окна... И только Инга верит в будущее.</t>
        </is>
      </c>
      <c r="L3122" s="2" t="inlineStr">
        <is>
          <t>Кино_СССР сводный каталог.xlsx: список фильмов (доп.)</t>
        </is>
      </c>
      <c r="M3122" s="2">
        <f>HYPERLINK("https://ru.wikipedia.org/w/index.php?search=%D0%9F%D0%B5%D1%81%D0%BD%D1%8C%2C%20%D0%BD%D0%B0%D0%B2%D0%BE%D0%B4%D1%8F%D1%89%D0%B0%D1%8F%20%D1%83%D0%B6%D0%B0%D1%81%201989%20%D1%84%D0%B8%D0%BB%D1%8C%D0%BC","искать")</f>
        <v/>
      </c>
      <c r="N3122" s="3" t="n"/>
      <c r="O3122" s="2" t="n"/>
    </row>
    <row r="3123">
      <c r="A3123" s="2" t="n">
        <v>3122</v>
      </c>
      <c r="B3123" s="2" t="inlineStr"/>
      <c r="C3123" s="2" t="n">
        <v>9833</v>
      </c>
      <c r="D3123" s="3" t="inlineStr">
        <is>
          <t>Ожидания</t>
        </is>
      </c>
      <c r="E3123" s="2" t="n">
        <v>1966</v>
      </c>
      <c r="F3123" s="2" t="inlineStr">
        <is>
          <t>телефильм</t>
        </is>
      </c>
      <c r="G3123" s="2" t="inlineStr">
        <is>
          <t>Мосфильм по заказу Центрального телевидения</t>
        </is>
      </c>
      <c r="H3123" s="2" t="n">
        <v>317</v>
      </c>
      <c r="I3123" s="2" t="inlineStr"/>
      <c r="J3123" s="2" t="inlineStr"/>
      <c r="K3123" s="3" t="inlineStr">
        <is>
          <t>Телефильм. Тая (Галина Польских) живет в небольшом поселке Угра в Коми-республике на берегу реки, работает на почте. Ее жизнь проходит размеренно, привычно, каких-либо особых событий в ней пока еще не было. Но в поселке появляется молодой геолог Самсонов (Станислав Любшин), и девушка надеется на счастливые перемены.</t>
        </is>
      </c>
      <c r="L3123" s="2" t="inlineStr">
        <is>
          <t>https://www.kino-teatr.ru/short/movie/sov/4712/annot/</t>
        </is>
      </c>
      <c r="M3123" s="2">
        <f>HYPERLINK("https://ru.wikipedia.org/w/index.php?search=%D0%9E%D0%B6%D0%B8%D0%B4%D0%B0%D0%BD%D0%B8%D1%8F%201966%20%D1%84%D0%B8%D0%BB%D1%8C%D0%BC","искать")</f>
        <v/>
      </c>
      <c r="N3123" s="3" t="n"/>
      <c r="O3123" s="2" t="n"/>
    </row>
    <row r="3124">
      <c r="A3124" s="2" t="n">
        <v>3123</v>
      </c>
      <c r="B3124" s="2" t="inlineStr"/>
      <c r="C3124" s="2" t="n">
        <v>7977</v>
      </c>
      <c r="D3124" s="3" t="inlineStr">
        <is>
          <t>Незнакомка</t>
        </is>
      </c>
      <c r="E3124" s="2" t="n">
        <v>1979</v>
      </c>
      <c r="F3124" s="2" t="inlineStr">
        <is>
          <t>телефильм</t>
        </is>
      </c>
      <c r="G3124" s="2" t="n"/>
      <c r="H3124" s="2" t="n">
        <v>318</v>
      </c>
      <c r="I3124" s="2" t="inlineStr"/>
      <c r="J3124" s="2" t="inlineStr"/>
      <c r="K3124" s="3" t="inlineStr">
        <is>
          <t>Образы фильма навеяны стихами Александра Блока 1910-х годов. Среди зелени парков Санкт-Петербурга мелькает белое платье прекрасной незнакомки. Вместе с героем фильма, прообразом поэта, другими персонажами - посетителями ресторана - мы бродим по городу, заходим в рестораны, на вокзал, на прием в богатый и знатный дом.</t>
        </is>
      </c>
      <c r="L3124" s="2" t="inlineStr">
        <is>
          <t>Кино_СССР сводный каталог.xlsx: список телефильмов</t>
        </is>
      </c>
      <c r="M3124" s="2">
        <f>HYPERLINK("https://ru.wikipedia.org/w/index.php?search=%D0%9D%D0%B5%D0%B7%D0%BD%D0%B0%D0%BA%D0%BE%D0%BC%D0%BA%D0%B0%201979%20%D1%84%D0%B8%D0%BB%D1%8C%D0%BC","искать")</f>
        <v/>
      </c>
      <c r="N3124" s="3" t="n"/>
      <c r="O3124" s="2" t="n"/>
    </row>
    <row r="3125">
      <c r="A3125" s="2" t="n">
        <v>3124</v>
      </c>
      <c r="B3125" s="2" t="inlineStr"/>
      <c r="C3125" s="2" t="n">
        <v>7982</v>
      </c>
      <c r="D3125" s="3" t="inlineStr">
        <is>
          <t>Немой</t>
        </is>
      </c>
      <c r="E3125" s="2" t="n">
        <v>1985</v>
      </c>
      <c r="F3125" s="2" t="inlineStr">
        <is>
          <t>телефильм</t>
        </is>
      </c>
      <c r="G3125" s="2" t="n"/>
      <c r="H3125" s="2" t="n">
        <v>318</v>
      </c>
      <c r="I3125" s="2" t="inlineStr"/>
      <c r="J3125" s="2" t="inlineStr"/>
      <c r="K3125" s="3" t="inlineStr">
        <is>
          <t>Литовская деревня XIX века. Двое соседских мальчишек Казис и Йонас - неразлучные друзья. Не спешат обзаводиться семьями и став взрослыми. Но однажды в костёле Казис увидел Анелю и решает жениться. Друг решает помочь Казису. Йонас соглашается побыть сватом, он договаривается с родителями невесты и привозит другу жену.</t>
        </is>
      </c>
      <c r="L3125" s="2" t="inlineStr">
        <is>
          <t>Кино_СССР сводный каталог.xlsx: список телефильмов</t>
        </is>
      </c>
      <c r="M3125" s="2">
        <f>HYPERLINK("https://ru.wikipedia.org/w/index.php?search=%D0%9D%D0%B5%D0%BC%D0%BE%D0%B9%201985%20%D1%84%D0%B8%D0%BB%D1%8C%D0%BC","искать")</f>
        <v/>
      </c>
      <c r="N3125" s="3" t="n"/>
      <c r="O3125" s="2" t="n"/>
    </row>
    <row r="3126">
      <c r="A3126" s="2" t="n">
        <v>3125</v>
      </c>
      <c r="B3126" s="2" t="inlineStr"/>
      <c r="C3126" s="2" t="n">
        <v>8306</v>
      </c>
      <c r="D3126" s="3" t="inlineStr">
        <is>
          <t>Свадьба старшего брата</t>
        </is>
      </c>
      <c r="E3126" s="2" t="n">
        <v>1985</v>
      </c>
      <c r="F3126" s="2" t="inlineStr">
        <is>
          <t>телефильм</t>
        </is>
      </c>
      <c r="G3126" s="2" t="n"/>
      <c r="H3126" s="2" t="n">
        <v>318</v>
      </c>
      <c r="I3126" s="2" t="inlineStr"/>
      <c r="J3126" s="2" t="inlineStr"/>
      <c r="K3126" s="3" t="inlineStr">
        <is>
          <t>По мотивам рассказа Н.Соротокиной "Свадьба". Любовный "треугольник" сложился в семье Полозовых. У старшего брата Бориса есть любимая девушка Надя, в которую влюблен первой, чистой любовью младший брат Костя. Он и принял горячее участие в судьбе девушки, когда казалось, что разрыв между Надей и Борисом стал неизбежен.</t>
        </is>
      </c>
      <c r="L3126" s="2" t="inlineStr">
        <is>
          <t>Кино_СССР сводный каталог.xlsx: список телефильмов</t>
        </is>
      </c>
      <c r="M3126" s="2">
        <f>HYPERLINK("https://ru.wikipedia.org/w/index.php?search=%D0%A1%D0%B2%D0%B0%D0%B4%D1%8C%D0%B1%D0%B0%20%D1%81%D1%82%D0%B0%D1%80%D1%88%D0%B5%D0%B3%D0%BE%20%D0%B1%D1%80%D0%B0%D1%82%D0%B0%201985%20%D1%84%D0%B8%D0%BB%D1%8C%D0%BC","искать")</f>
        <v/>
      </c>
      <c r="N3126" s="3" t="n"/>
      <c r="O3126" s="2" t="n"/>
    </row>
    <row r="3127">
      <c r="A3127" s="2" t="n">
        <v>3126</v>
      </c>
      <c r="B3127" s="2" t="inlineStr"/>
      <c r="C3127" s="2" t="n">
        <v>8543</v>
      </c>
      <c r="D3127" s="3" t="inlineStr">
        <is>
          <t>Часовщик и курица</t>
        </is>
      </c>
      <c r="E3127" s="2" t="n">
        <v>1989</v>
      </c>
      <c r="F3127" s="2" t="inlineStr">
        <is>
          <t>телефильм</t>
        </is>
      </c>
      <c r="G3127" s="2" t="n"/>
      <c r="H3127" s="2" t="n">
        <v>318</v>
      </c>
      <c r="I3127" s="2" t="inlineStr"/>
      <c r="J3127" s="2" t="inlineStr"/>
      <c r="K3127" s="3" t="inlineStr">
        <is>
          <t>По мотивам одноименной пьесы Ивана Кочерги. В 1913 году случай сводит на маленькой железнодорожной станции молодого учителя гимназии Юркевича, его первую любовь Лиду, богатого помещика Лундышева и немца-часовщика Карфункеля. Через семь лет, в начале двадцатых, а затем еще через семь лет герои встречаются здесь вновь.</t>
        </is>
      </c>
      <c r="L3127" s="2" t="inlineStr">
        <is>
          <t>Кино_СССР сводный каталог.xlsx: список телефильмов</t>
        </is>
      </c>
      <c r="M3127" s="2">
        <f>HYPERLINK("https://ru.wikipedia.org/w/index.php?search=%D0%A7%D0%B0%D1%81%D0%BE%D0%B2%D1%89%D0%B8%D0%BA%20%D0%B8%20%D0%BA%D1%83%D1%80%D0%B8%D1%86%D0%B0%201989%20%D1%84%D0%B8%D0%BB%D1%8C%D0%BC","искать")</f>
        <v/>
      </c>
      <c r="N3127" s="3" t="n"/>
      <c r="O3127" s="2" t="n"/>
    </row>
    <row r="3128">
      <c r="A3128" s="2" t="n">
        <v>3127</v>
      </c>
      <c r="B3128" s="2" t="inlineStr"/>
      <c r="C3128" s="2" t="n">
        <v>8602</v>
      </c>
      <c r="D3128" s="3" t="inlineStr">
        <is>
          <t>Эхо любви</t>
        </is>
      </c>
      <c r="E3128" s="2" t="n">
        <v>1974</v>
      </c>
      <c r="F3128" s="2" t="inlineStr">
        <is>
          <t>телефильм</t>
        </is>
      </c>
      <c r="G3128" s="2" t="n"/>
      <c r="H3128" s="2" t="n">
        <v>318</v>
      </c>
      <c r="I3128" s="2" t="inlineStr"/>
      <c r="J3128" s="2" t="inlineStr"/>
      <c r="K3128" s="3" t="inlineStr">
        <is>
          <t>Телефильм по рассказу Чингиза Айтматова «На реке Байдамтал». Недалеко от гидропоста в горах Киргизии находят потерявшего сознание студента Нурбека Алиева. Гидролог Асия вылечивает юношу. Вскоре выясняется, что Алиев занимался выведением новых сортов пшеницы, именно по его вине сгорело опытное поле и разбился комбайн.</t>
        </is>
      </c>
      <c r="L3128" s="2" t="inlineStr">
        <is>
          <t>Кино_СССР сводный каталог.xlsx: список телефильмов</t>
        </is>
      </c>
      <c r="M3128" s="2">
        <f>HYPERLINK("https://ru.wikipedia.org/w/index.php?search=%D0%AD%D1%85%D0%BE%20%D0%BB%D1%8E%D0%B1%D0%B2%D0%B8%201974%20%D1%84%D0%B8%D0%BB%D1%8C%D0%BC","искать")</f>
        <v/>
      </c>
      <c r="N3128" s="3" t="n"/>
      <c r="O3128" s="2" t="n"/>
    </row>
    <row r="3129">
      <c r="A3129" s="2" t="n">
        <v>3128</v>
      </c>
      <c r="B3129" s="2" t="inlineStr"/>
      <c r="C3129" s="2" t="n">
        <v>8674</v>
      </c>
      <c r="D3129" s="3" t="inlineStr">
        <is>
          <t>Выстрел в степи</t>
        </is>
      </c>
      <c r="E3129" s="2" t="n">
        <v>1990</v>
      </c>
      <c r="F3129" s="2" t="inlineStr">
        <is>
          <t>кинофильм</t>
        </is>
      </c>
      <c r="G3129" s="2" t="n"/>
      <c r="H3129" s="2" t="n">
        <v>318</v>
      </c>
      <c r="I3129" s="2" t="inlineStr"/>
      <c r="J3129" s="2" t="inlineStr"/>
      <c r="K3129" s="3" t="inlineStr">
        <is>
          <t>Вернулся на родину Сагын, устроился на работу, влюбился и получил такое наставление от родных: "Главнее всего в дружбе с Алмазом быть. У кого с ним отношения добрые, тот живет. А если обидется - хоть беги. Он привык, чтоб его все уважали, соглашались всегда с ним. Если попросит что-то, тут уж отказываться не вздумай.</t>
        </is>
      </c>
      <c r="L3129" s="2" t="inlineStr">
        <is>
          <t>Кино_СССР сводный каталог.xlsx: список фильмов (доп.)</t>
        </is>
      </c>
      <c r="M3129" s="2">
        <f>HYPERLINK("https://ru.wikipedia.org/w/index.php?search=%D0%92%D1%8B%D1%81%D1%82%D1%80%D0%B5%D0%BB%20%D0%B2%20%D1%81%D1%82%D0%B5%D0%BF%D0%B8%201990%20%D1%84%D0%B8%D0%BB%D1%8C%D0%BC","искать")</f>
        <v/>
      </c>
      <c r="N3129" s="3" t="n"/>
      <c r="O3129" s="2" t="n"/>
    </row>
    <row r="3130">
      <c r="A3130" s="2" t="n">
        <v>3129</v>
      </c>
      <c r="B3130" s="2" t="inlineStr"/>
      <c r="C3130" s="2" t="n">
        <v>9183</v>
      </c>
      <c r="D3130" s="3" t="inlineStr">
        <is>
          <t>Это было у моря</t>
        </is>
      </c>
      <c r="E3130" s="2" t="n">
        <v>1989</v>
      </c>
      <c r="F3130" s="2" t="inlineStr">
        <is>
          <t>кинофильм</t>
        </is>
      </c>
      <c r="G3130" s="2" t="n"/>
      <c r="H3130" s="2" t="n">
        <v>318</v>
      </c>
      <c r="I3130" s="2" t="inlineStr"/>
      <c r="J3130" s="2" t="inlineStr"/>
      <c r="K3130" s="3" t="inlineStr">
        <is>
          <t>Героини фильма - юные воспитанницы специнтерната для детей с больным позвоночником. Физическая энергия героев ищет выхода в болезненно жестокой схеме взаимных отношений. И находит - более сильный жесток и несправедлив к более слабому. События происходят в курортной зоне приморского южного города - красивого и чужого.</t>
        </is>
      </c>
      <c r="L3130" s="2" t="inlineStr">
        <is>
          <t>Кино_СССР сводный каталог.xlsx: список фильмов (доп.)</t>
        </is>
      </c>
      <c r="M3130" s="2">
        <f>HYPERLINK("https://ru.wikipedia.org/w/index.php?search=%D0%AD%D1%82%D0%BE%20%D0%B1%D1%8B%D0%BB%D0%BE%20%D1%83%20%D0%BC%D0%BE%D1%80%D1%8F%201989%20%D1%84%D0%B8%D0%BB%D1%8C%D0%BC","искать")</f>
        <v/>
      </c>
      <c r="N3130" s="3" t="n"/>
      <c r="O3130" s="2" t="n"/>
    </row>
    <row r="3131">
      <c r="A3131" s="2" t="n">
        <v>3130</v>
      </c>
      <c r="B3131" s="2" t="inlineStr"/>
      <c r="C3131" s="2" t="n">
        <v>9206</v>
      </c>
      <c r="D3131" s="3" t="inlineStr">
        <is>
          <t>Армавир</t>
        </is>
      </c>
      <c r="E3131" s="2" t="n">
        <v>1991</v>
      </c>
      <c r="F3131" s="2" t="inlineStr">
        <is>
          <t>кинофильм</t>
        </is>
      </c>
      <c r="G3131" s="2" t="n"/>
      <c r="H3131" s="2" t="n">
        <v>318</v>
      </c>
      <c r="I3131" s="2" t="inlineStr"/>
      <c r="J3131" s="2" t="inlineStr"/>
      <c r="K3131" s="3" t="inlineStr">
        <is>
          <t>После крушения пассажирского судна «Армавир» офицер Сёмин разыскивает дочь, которой нет ни среди спасённых, ни среди утонувших. В этих поисках ему почему-то помогает скрывающийся от следствия помощник капитана «Армавира». Происходит череда странных событий, каждое из которых то отнимает у отца надежду, то возвращает.</t>
        </is>
      </c>
      <c r="L3131" s="2" t="inlineStr">
        <is>
          <t>Кино_СССР сводный каталог.xlsx: список фильмов (доп.)</t>
        </is>
      </c>
      <c r="M3131" s="2">
        <f>HYPERLINK("https://ru.wikipedia.org/w/index.php?search=%D0%90%D1%80%D0%BC%D0%B0%D0%B2%D0%B8%D1%80%201991%20%D1%84%D0%B8%D0%BB%D1%8C%D0%BC","искать")</f>
        <v/>
      </c>
      <c r="N3131" s="3" t="n"/>
      <c r="O3131" s="2" t="n"/>
    </row>
    <row r="3132">
      <c r="A3132" s="2" t="n">
        <v>3131</v>
      </c>
      <c r="B3132" s="2" t="inlineStr"/>
      <c r="C3132" s="2" t="n">
        <v>9507</v>
      </c>
      <c r="D3132" s="3" t="inlineStr">
        <is>
          <t>Нечистая сила</t>
        </is>
      </c>
      <c r="E3132" s="2" t="n">
        <v>1989</v>
      </c>
      <c r="F3132" s="2" t="inlineStr">
        <is>
          <t>кинофильм</t>
        </is>
      </c>
      <c r="G3132" s="2" t="n"/>
      <c r="H3132" s="2" t="n">
        <v>318</v>
      </c>
      <c r="I3132" s="2" t="inlineStr"/>
      <c r="J3132" s="2" t="inlineStr"/>
      <c r="K3132" s="3" t="inlineStr">
        <is>
          <t>Иван Денисов, младший сотрудник НИИ леса, направляется на коллективную заготовку грибов. В лесу он встречает странную старуху, получает от нее в подарок серебряный рожок и волшебную дубинку, а спустя некоторое время попадает в тюрьму как фальшивомонетчик. На этом связи Денисова с таинственной старушкой не обрываются.</t>
        </is>
      </c>
      <c r="L3132" s="2" t="inlineStr">
        <is>
          <t>Кино_СССР сводный каталог.xlsx: список фильмов (доп.)</t>
        </is>
      </c>
      <c r="M3132" s="2">
        <f>HYPERLINK("https://ru.wikipedia.org/w/index.php?search=%D0%9D%D0%B5%D1%87%D0%B8%D1%81%D1%82%D0%B0%D1%8F%20%D1%81%D0%B8%D0%BB%D0%B0%201989%20%D1%84%D0%B8%D0%BB%D1%8C%D0%BC","искать")</f>
        <v/>
      </c>
      <c r="N3132" s="3" t="n"/>
      <c r="O3132" s="2" t="n"/>
    </row>
    <row r="3133">
      <c r="A3133" s="2" t="n">
        <v>3132</v>
      </c>
      <c r="B3133" s="2" t="inlineStr"/>
      <c r="C3133" s="2" t="n">
        <v>9823</v>
      </c>
      <c r="D3133" s="3" t="inlineStr">
        <is>
          <t>Сто первый</t>
        </is>
      </c>
      <c r="E3133" s="2" t="n">
        <v>1962</v>
      </c>
      <c r="F3133" s="2" t="inlineStr">
        <is>
          <t>телефильм</t>
        </is>
      </c>
      <c r="G3133" s="2" t="inlineStr">
        <is>
          <t>Центральное телевидение</t>
        </is>
      </c>
      <c r="H3133" s="2" t="n">
        <v>318</v>
      </c>
      <c r="I3133" s="2" t="inlineStr"/>
      <c r="J3133" s="2" t="inlineStr"/>
      <c r="K3133" s="3" t="inlineStr">
        <is>
          <t>По мотивам рассказа А.Коробицина.
В погоне за сенсацией американский фотограф поджидал самоубийцу на смотровой площадке одного из небоскребов Нью-Йорка. Удача улыбнулась ему, репортаж о сотом самоубийце обошел всю Америку. Счастливый автор и не предполагал, что фортуна повернется к нему спиной и он станет сто первым.</t>
        </is>
      </c>
      <c r="L3133" s="2" t="inlineStr">
        <is>
          <t>https://www.kino-teatr.ru/short/movie/sov/107360/annot/</t>
        </is>
      </c>
      <c r="M3133" s="2">
        <f>HYPERLINK("https://ru.wikipedia.org/w/index.php?search=%D0%A1%D1%82%D0%BE%20%D0%BF%D0%B5%D1%80%D0%B2%D1%8B%D0%B9%201962%20%D1%84%D0%B8%D0%BB%D1%8C%D0%BC","искать")</f>
        <v/>
      </c>
      <c r="N3133" s="3" t="n"/>
      <c r="O3133" s="2" t="n"/>
    </row>
    <row r="3134">
      <c r="A3134" s="2" t="n">
        <v>3133</v>
      </c>
      <c r="B3134" s="2" t="inlineStr"/>
      <c r="C3134" s="2" t="n">
        <v>7286</v>
      </c>
      <c r="D3134" s="3" t="inlineStr">
        <is>
          <t>Было у отца три сына</t>
        </is>
      </c>
      <c r="E3134" s="2" t="n">
        <v>1981</v>
      </c>
      <c r="F3134" s="2" t="inlineStr">
        <is>
          <t>телефильм</t>
        </is>
      </c>
      <c r="G3134" s="2" t="inlineStr">
        <is>
          <t>Мосфильм</t>
        </is>
      </c>
      <c r="H3134" s="2" t="n">
        <v>319</v>
      </c>
      <c r="I3134" s="2" t="inlineStr"/>
      <c r="J3134" s="2" t="inlineStr"/>
      <c r="K3134" s="3" t="inlineStr">
        <is>
          <t>У отца, капитана торгового флота, было три сына : Кирилл - художник, Юрий - моряк, Герка - музыкант. Казалось бы, ничто не может помешать их дружбе. Но старший и средний братья влюблены в одну девушку - Светлану. Соперничество делает их врагами. Юрий не может простить измены, и между братьями происходит крупная ссора.</t>
        </is>
      </c>
      <c r="L3134" s="2" t="inlineStr">
        <is>
          <t>Кино_СССР сводный каталог.xlsx: список телефильмов</t>
        </is>
      </c>
      <c r="M3134" s="2">
        <f>HYPERLINK("https://ru.wikipedia.org/w/index.php?search=%D0%91%D1%8B%D0%BB%D0%BE%20%D1%83%20%D0%BE%D1%82%D1%86%D0%B0%20%D1%82%D1%80%D0%B8%20%D1%81%D1%8B%D0%BD%D0%B0%201981%20%D1%84%D0%B8%D0%BB%D1%8C%D0%BC","искать")</f>
        <v/>
      </c>
      <c r="N3134" s="3" t="n"/>
      <c r="O3134" s="2" t="n"/>
    </row>
    <row r="3135">
      <c r="A3135" s="2" t="n">
        <v>3134</v>
      </c>
      <c r="B3135" s="2" t="inlineStr"/>
      <c r="C3135" s="2" t="n">
        <v>7465</v>
      </c>
      <c r="D3135" s="3" t="inlineStr">
        <is>
          <t>Грех</t>
        </is>
      </c>
      <c r="E3135" s="2" t="n">
        <v>1991</v>
      </c>
      <c r="F3135" s="2" t="inlineStr">
        <is>
          <t>телефильм</t>
        </is>
      </c>
      <c r="G3135" s="2" t="inlineStr">
        <is>
          <t>Укртелефильм</t>
        </is>
      </c>
      <c r="H3135" s="2" t="n">
        <v>319</v>
      </c>
      <c r="I3135" s="2" t="inlineStr"/>
      <c r="J3135" s="2" t="inlineStr"/>
      <c r="K3135" s="3" t="inlineStr">
        <is>
          <t>По мотивам одноименной повести Владимира Винниченко.
1916 год. Киев. Молодая женщина оказывается в круговороте событий накануне революции. Революционерка Мария Ляшковская считает, что в современном мире нет такого понятия, как «грех», что это пережитки «старого мира». Но со временем она вынуждена изменить своё мнение</t>
        </is>
      </c>
      <c r="L3135" s="2" t="inlineStr">
        <is>
          <t>Кино_СССР сводный каталог.xlsx: список телефильмов</t>
        </is>
      </c>
      <c r="M3135" s="2">
        <f>HYPERLINK("https://ru.wikipedia.org/w/index.php?search=%D0%93%D1%80%D0%B5%D1%85%201991%20%D1%84%D0%B8%D0%BB%D1%8C%D0%BC","искать")</f>
        <v/>
      </c>
      <c r="N3135" s="3" t="n"/>
      <c r="O3135" s="2" t="n"/>
    </row>
    <row r="3136">
      <c r="A3136" s="2" t="n">
        <v>3135</v>
      </c>
      <c r="B3136" s="2" t="inlineStr"/>
      <c r="C3136" s="2" t="n">
        <v>7584</v>
      </c>
      <c r="D3136" s="3" t="inlineStr">
        <is>
          <t>Железная принцесса</t>
        </is>
      </c>
      <c r="E3136" s="2" t="n">
        <v>1988</v>
      </c>
      <c r="F3136" s="2" t="inlineStr">
        <is>
          <t>телефильм</t>
        </is>
      </c>
      <c r="G3136" s="2" t="n"/>
      <c r="H3136" s="2" t="n">
        <v>319</v>
      </c>
      <c r="I3136" s="2" t="inlineStr"/>
      <c r="J3136" s="2" t="inlineStr"/>
      <c r="K3136" s="3" t="inlineStr">
        <is>
          <t>Музыкальный фильм-сказка для детей о том, как важно беречь сердце от равнодушия и лени и раскрывает современную проблему: чтобы что-то изменить, надо, прежде всего, перестроить себя. В этом героям сказки помогает мудрый, добрый Гном, который борется с Ржавчиной и Плесенью из-за права владеть мыслями и чувствами детей.</t>
        </is>
      </c>
      <c r="L3136" s="2" t="inlineStr">
        <is>
          <t>Кино_СССР сводный каталог.xlsx: список телефильмов</t>
        </is>
      </c>
      <c r="M3136" s="2">
        <f>HYPERLINK("https://ru.wikipedia.org/w/index.php?search=%D0%96%D0%B5%D0%BB%D0%B5%D0%B7%D0%BD%D0%B0%D1%8F%20%D0%BF%D1%80%D0%B8%D0%BD%D1%86%D0%B5%D1%81%D1%81%D0%B0%201988%20%D1%84%D0%B8%D0%BB%D1%8C%D0%BC","искать")</f>
        <v/>
      </c>
      <c r="N3136" s="3" t="n"/>
      <c r="O3136" s="2" t="n"/>
    </row>
    <row r="3137">
      <c r="A3137" s="2" t="n">
        <v>3136</v>
      </c>
      <c r="B3137" s="2" t="inlineStr"/>
      <c r="C3137" s="2" t="n">
        <v>7668</v>
      </c>
      <c r="D3137" s="3" t="inlineStr">
        <is>
          <t>Иван</t>
        </is>
      </c>
      <c r="E3137" s="2" t="n">
        <v>1982</v>
      </c>
      <c r="F3137" s="2" t="inlineStr">
        <is>
          <t>телефильм</t>
        </is>
      </c>
      <c r="G3137" s="2" t="n"/>
      <c r="H3137" s="2" t="n">
        <v>319</v>
      </c>
      <c r="I3137" s="2" t="inlineStr"/>
      <c r="J3137" s="2" t="inlineStr"/>
      <c r="K3137" s="3" t="inlineStr">
        <is>
          <t>Иван Климович в самом конце войны был представлен к ордену Красного Знамени, но награду не получил — был тяжело ранен, отлежался в госпитале и вернулся в родной колхоз плотничать. Прошло много лет и однажды, в канун праздника Дня Победы, вспомнили о давних подвигах старика и вызвали в военкомат, чтобы вручить награду.</t>
        </is>
      </c>
      <c r="L3137" s="2" t="inlineStr">
        <is>
          <t>Кино_СССР сводный каталог.xlsx: список телефильмов</t>
        </is>
      </c>
      <c r="M3137" s="2">
        <f>HYPERLINK("https://ru.wikipedia.org/w/index.php?search=%D0%98%D0%B2%D0%B0%D0%BD%201982%20%D1%84%D0%B8%D0%BB%D1%8C%D0%BC","искать")</f>
        <v/>
      </c>
      <c r="N3137" s="3" t="n"/>
      <c r="O3137" s="2" t="n"/>
    </row>
    <row r="3138">
      <c r="A3138" s="2" t="n">
        <v>3137</v>
      </c>
      <c r="B3138" s="2" t="inlineStr"/>
      <c r="C3138" s="2" t="n">
        <v>8069</v>
      </c>
      <c r="D3138" s="3" t="inlineStr">
        <is>
          <t>Отпуск за свой счёт</t>
        </is>
      </c>
      <c r="E3138" s="2" t="n">
        <v>1981</v>
      </c>
      <c r="F3138" s="2" t="inlineStr">
        <is>
          <t>телефильм</t>
        </is>
      </c>
      <c r="G3138" s="2" t="n"/>
      <c r="H3138" s="2" t="n">
        <v>319</v>
      </c>
      <c r="I3138" s="2" t="inlineStr"/>
      <c r="J3138" s="2" t="inlineStr"/>
      <c r="K3138" s="3" t="inlineStr">
        <is>
          <t>Телефильм. Молодая девушка из сибирского провинциального городка приезжает в Москву к своему любимому, с которым познакомилась во время его командировки. Он - проектировщик-испытатель автобусов и ему предстоит командировка в Венгрию. Именно к этому моменту и подгадала свой отпуск Катя. Но кажется ее не очень-то ждали.</t>
        </is>
      </c>
      <c r="L3138" s="2" t="inlineStr">
        <is>
          <t>Кино_СССР сводный каталог.xlsx: список телефильмов</t>
        </is>
      </c>
      <c r="M3138" s="2">
        <f>HYPERLINK("https://ru.wikipedia.org/w/index.php?search=%D0%9E%D1%82%D0%BF%D1%83%D1%81%D0%BA%20%D0%B7%D0%B0%20%D1%81%D0%B2%D0%BE%D0%B9%20%D1%81%D1%87%D1%91%D1%82%201981%20%D1%84%D0%B8%D0%BB%D1%8C%D0%BC","искать")</f>
        <v/>
      </c>
      <c r="N3138" s="3" t="n"/>
      <c r="O3138" s="2" t="n"/>
    </row>
    <row r="3139">
      <c r="A3139" s="2" t="n">
        <v>3138</v>
      </c>
      <c r="B3139" s="2" t="inlineStr"/>
      <c r="C3139" s="2" t="n">
        <v>8638</v>
      </c>
      <c r="D3139" s="3" t="inlineStr">
        <is>
          <t>Бу нима бу, или хара-кири против Кинг-Конга</t>
        </is>
      </c>
      <c r="E3139" s="2" t="n">
        <v>1990</v>
      </c>
      <c r="F3139" s="2" t="inlineStr">
        <is>
          <t>кинофильм</t>
        </is>
      </c>
      <c r="G3139" s="2" t="n"/>
      <c r="H3139" s="2" t="n">
        <v>319</v>
      </c>
      <c r="I3139" s="2" t="inlineStr"/>
      <c r="J3139" s="2" t="inlineStr"/>
      <c r="K3139" s="3" t="inlineStr">
        <is>
          <t>Музыкально-приключенческий фильм о двух братьях-близнецах, разлученных в раннем детстве. Случайно они останавливаются в одной гостинице. Но прежде чем братья встретятся, одному из них - певцу - придется драться на ринге, а другому - каратисту - спеть на эстраде. Да и любимые девушки внесут немалую смуту в эту встречу.</t>
        </is>
      </c>
      <c r="L3139" s="2" t="inlineStr">
        <is>
          <t>Кино_СССР сводный каталог.xlsx: список фильмов (доп.)</t>
        </is>
      </c>
      <c r="M3139" s="2">
        <f>HYPERLINK("https://ru.wikipedia.org/w/index.php?search=%D0%91%D1%83%20%D0%BD%D0%B8%D0%BC%D0%B0%20%D0%B1%D1%83%2C%20%D0%B8%D0%BB%D0%B8%20%D1%85%D0%B0%D1%80%D0%B0-%D0%BA%D0%B8%D1%80%D0%B8%20%D0%BF%D1%80%D0%BE%D1%82%D0%B8%D0%B2%20%D0%9A%D0%B8%D0%BD%D0%B3-%D0%9A%D0%BE%D0%BD%D0%B3%D0%B0%201990%20%D1%84%D0%B8%D0%BB%D1%8C%D0%BC","искать")</f>
        <v/>
      </c>
      <c r="N3139" s="3" t="n"/>
      <c r="O3139" s="2" t="n"/>
    </row>
    <row r="3140">
      <c r="A3140" s="2" t="n">
        <v>3139</v>
      </c>
      <c r="B3140" s="2" t="inlineStr"/>
      <c r="C3140" s="2" t="n">
        <v>8977</v>
      </c>
      <c r="D3140" s="3" t="inlineStr">
        <is>
          <t>Приключения Арслана</t>
        </is>
      </c>
      <c r="E3140" s="2" t="n">
        <v>1988</v>
      </c>
      <c r="F3140" s="2" t="inlineStr">
        <is>
          <t>кинофильм</t>
        </is>
      </c>
      <c r="G3140" s="2" t="n"/>
      <c r="H3140" s="2" t="n">
        <v>319</v>
      </c>
      <c r="I3140" s="2" t="inlineStr"/>
      <c r="J3140" s="2" t="inlineStr"/>
      <c r="K3140" s="3" t="inlineStr">
        <is>
          <t>Многих заколдовал с помощью волшебных четок колдун Карашах: охотника Шера превратил в свирепого пса, трудолюбивого хозяина Синих гор наделил ленью, его внучку Юлдуз - себялюбием, простодушного Лешака - хитростью и коварством. Но перед добрым и отважным мальчиком Арсланом злые чары не устояли, и добро восторжествовало.</t>
        </is>
      </c>
      <c r="L3140" s="2" t="inlineStr">
        <is>
          <t>Кино_СССР сводный каталог.xlsx: список фильмов (доп.)</t>
        </is>
      </c>
      <c r="M3140" s="2">
        <f>HYPERLINK("https://ru.wikipedia.org/w/index.php?search=%D0%9F%D1%80%D0%B8%D0%BA%D0%BB%D1%8E%D1%87%D0%B5%D0%BD%D0%B8%D1%8F%20%D0%90%D1%80%D1%81%D0%BB%D0%B0%D0%BD%D0%B0%201988%20%D1%84%D0%B8%D0%BB%D1%8C%D0%BC","искать")</f>
        <v/>
      </c>
      <c r="N3140" s="3" t="n"/>
      <c r="O3140" s="2" t="n"/>
    </row>
    <row r="3141">
      <c r="A3141" s="2" t="n">
        <v>3140</v>
      </c>
      <c r="B3141" s="2" t="inlineStr"/>
      <c r="C3141" s="2" t="n">
        <v>9436</v>
      </c>
      <c r="D3141" s="3" t="inlineStr">
        <is>
          <t>Кошмар в сумасшедшем доме</t>
        </is>
      </c>
      <c r="E3141" s="2" t="n">
        <v>1990</v>
      </c>
      <c r="F3141" s="2" t="inlineStr">
        <is>
          <t>кинофильм</t>
        </is>
      </c>
      <c r="G3141" s="2" t="n"/>
      <c r="H3141" s="2" t="n">
        <v>319</v>
      </c>
      <c r="I3141" s="2" t="inlineStr"/>
      <c r="J3141" s="2" t="inlineStr"/>
      <c r="K3141" s="3" t="inlineStr">
        <is>
          <t>По мотивам сюжета пьесы Эдуардо Скарпетта. Витя проиграл в карты большие деньги - и свои, и чужие. Теперь его босс, криминальный авторитет, требует срочно вернуть долг. У Вити одна надежда - на богатого дядю в Магадане. Но дядя ни копейки не даст просто так. И Витя просит его вложить деньги в бизнес – сумасшедший дом.</t>
        </is>
      </c>
      <c r="L3141" s="2" t="inlineStr">
        <is>
          <t>Кино_СССР сводный каталог.xlsx: список фильмов (доп.)</t>
        </is>
      </c>
      <c r="M3141" s="2">
        <f>HYPERLINK("https://ru.wikipedia.org/w/index.php?search=%D0%9A%D0%BE%D1%88%D0%BC%D0%B0%D1%80%20%D0%B2%20%D1%81%D1%83%D0%BC%D0%B0%D1%81%D1%88%D0%B5%D0%B4%D1%88%D0%B5%D0%BC%20%D0%B4%D0%BE%D0%BC%D0%B5%201990%20%D1%84%D0%B8%D0%BB%D1%8C%D0%BC","искать")</f>
        <v/>
      </c>
      <c r="N3141" s="3" t="n"/>
      <c r="O3141" s="2" t="n"/>
    </row>
    <row r="3142">
      <c r="A3142" s="2" t="n">
        <v>3141</v>
      </c>
      <c r="B3142" s="2" t="inlineStr"/>
      <c r="C3142" s="2" t="n">
        <v>9459</v>
      </c>
      <c r="D3142" s="3" t="inlineStr">
        <is>
          <t>Любовь</t>
        </is>
      </c>
      <c r="E3142" s="2" t="n">
        <v>1933</v>
      </c>
      <c r="F3142" s="2" t="inlineStr">
        <is>
          <t>кинофильм</t>
        </is>
      </c>
      <c r="G3142" s="2" t="n"/>
      <c r="H3142" s="2" t="n">
        <v>319</v>
      </c>
      <c r="I3142" s="2" t="inlineStr"/>
      <c r="J3142" s="2" t="inlineStr"/>
      <c r="K3142" s="3" t="inlineStr">
        <is>
          <t>Директор совхоза «Гигант» (Василий Зайчиков) влюбляется в журналистку (Раиса Есипова). Подруга героини (Тамара Адельгейм) — против этого романа. Героиня требует от героя полной самоотдачи в любви, но он не может уделить ей достаточно внимания, так как целиком предан своему делу. Фильм был закончен в черновом варианте.</t>
        </is>
      </c>
      <c r="L3142" s="2" t="inlineStr">
        <is>
          <t>Кино_СССР сводный каталог.xlsx: список фильмов (доп.)</t>
        </is>
      </c>
      <c r="M3142" s="2">
        <f>HYPERLINK("https://ru.wikipedia.org/w/index.php?search=%D0%9B%D1%8E%D0%B1%D0%BE%D0%B2%D1%8C%201933%20%D1%84%D0%B8%D0%BB%D1%8C%D0%BC","искать")</f>
        <v/>
      </c>
      <c r="N3142" s="3" t="n"/>
      <c r="O3142" s="2" t="n"/>
    </row>
    <row r="3143">
      <c r="A3143" s="2" t="n">
        <v>3142</v>
      </c>
      <c r="B3143" s="2" t="inlineStr"/>
      <c r="C3143" s="2" t="n">
        <v>9780</v>
      </c>
      <c r="D3143" s="3" t="inlineStr">
        <is>
          <t>Это было в Шугле</t>
        </is>
      </c>
      <c r="E3143" s="2" t="n">
        <v>1955</v>
      </c>
      <c r="F3143" s="2" t="inlineStr">
        <is>
          <t>кинофильм</t>
        </is>
      </c>
      <c r="G3143" s="2" t="n"/>
      <c r="H3143" s="2" t="n">
        <v>319</v>
      </c>
      <c r="I3143" s="2" t="inlineStr"/>
      <c r="J3143" s="2" t="inlineStr"/>
      <c r="K3143" s="3" t="inlineStr">
        <is>
          <t>В колхозе «Шугла» двадцать лет работает председателем Тельгара Темирбеков. Он организовал этот колхоз. Благодаря его стараниям и умению, колхоз экономически окреп, стал одним из передовых в районе. Но в последние годы Тельгара круто изменился: зазнался, перестал слушать и уважать колхозников, окружил себя подхалимами.</t>
        </is>
      </c>
      <c r="L3143" s="2" t="inlineStr">
        <is>
          <t>Кино_СССР сводный каталог.xlsx: список фильмов (доп.)</t>
        </is>
      </c>
      <c r="M3143" s="2">
        <f>HYPERLINK("https://ru.wikipedia.org/w/index.php?search=%D0%AD%D1%82%D0%BE%20%D0%B1%D1%8B%D0%BB%D0%BE%20%D0%B2%20%D0%A8%D1%83%D0%B3%D0%BB%D0%B5%201955%20%D1%84%D0%B8%D0%BB%D1%8C%D0%BC","искать")</f>
        <v/>
      </c>
      <c r="N3143" s="3" t="n"/>
      <c r="O3143" s="2" t="n"/>
    </row>
    <row r="3144">
      <c r="A3144" s="2" t="n">
        <v>3143</v>
      </c>
      <c r="B3144" s="2" t="inlineStr"/>
      <c r="C3144" s="2" t="n">
        <v>9852</v>
      </c>
      <c r="D3144" s="3" t="inlineStr">
        <is>
          <t>Серенада</t>
        </is>
      </c>
      <c r="E3144" s="2" t="n">
        <v>1968</v>
      </c>
      <c r="F3144" s="2" t="inlineStr">
        <is>
          <t>телефильм</t>
        </is>
      </c>
      <c r="G3144" s="2" t="inlineStr">
        <is>
          <t>Тбилисское телевидение</t>
        </is>
      </c>
      <c r="H3144" s="2" t="n">
        <v>319</v>
      </c>
      <c r="I3144" s="2" t="inlineStr"/>
      <c r="J3144" s="2" t="inlineStr"/>
      <c r="K3144" s="3" t="inlineStr">
        <is>
          <t>Авторы перенесли действие рассказа Михаила Зощенко в современную Грузию.
Кладовщик Зозо и "перспективный рабочий" Рамаз на протяжении всего фильма дерутся из-за табельщицы Лали. При этом слабый, которого безбожно лупцуют и который, конечно, побиваем в каждой драке, становится инициатором каждой следующей. И побеждает.</t>
        </is>
      </c>
      <c r="L3144" s="2" t="inlineStr">
        <is>
          <t>https://www.kino-teatr.ru/short/movie/sov/15824/annot/</t>
        </is>
      </c>
      <c r="M3144" s="2">
        <f>HYPERLINK("https://ru.wikipedia.org/w/index.php?search=%D0%A1%D0%B5%D1%80%D0%B5%D0%BD%D0%B0%D0%B4%D0%B0%201968%20%D1%84%D0%B8%D0%BB%D1%8C%D0%BC","искать")</f>
        <v/>
      </c>
      <c r="N3144" s="3" t="n"/>
      <c r="O3144" s="2" t="n"/>
    </row>
    <row r="3145">
      <c r="A3145" s="2" t="n">
        <v>3144</v>
      </c>
      <c r="B3145" s="2" t="inlineStr"/>
      <c r="C3145" s="2" t="n">
        <v>11130</v>
      </c>
      <c r="D3145" s="3" t="inlineStr">
        <is>
          <t>Равняется четырем Франциям</t>
        </is>
      </c>
      <c r="E3145" s="2" t="n">
        <v>1986</v>
      </c>
      <c r="F3145" s="2" t="inlineStr">
        <is>
          <t>фильм-спектакль</t>
        </is>
      </c>
      <c r="G3145" s="2" t="inlineStr">
        <is>
          <t>Творческое объединение "Экран"</t>
        </is>
      </c>
      <c r="H3145" s="2" t="n">
        <v>319</v>
      </c>
      <c r="I3145" s="2" t="inlineStr"/>
      <c r="J3145" s="2" t="inlineStr"/>
      <c r="K3145" s="3" t="inlineStr">
        <is>
          <t>По одноименной пьесе Александра Мишарина в постановке Московского драматического театра на Малой Бронной.
В экстремальных условиях проходит заседание бюро крайкома партии. Терпит бедствие сухогруз "Челюскинец". Под угрозой жизнь команды. В затянувшемся до утра заседании раскрываются подлинные характеры его участников.</t>
        </is>
      </c>
      <c r="L3145" s="2" t="inlineStr">
        <is>
          <t>https://www.kino-teatr.ru/teatr/movie/5901/annot/</t>
        </is>
      </c>
      <c r="M3145" s="2">
        <f>HYPERLINK("https://ru.wikipedia.org/w/index.php?search=%D0%A0%D0%B0%D0%B2%D0%BD%D1%8F%D0%B5%D1%82%D1%81%D1%8F%20%D1%87%D0%B5%D1%82%D1%8B%D1%80%D0%B5%D0%BC%20%D0%A4%D1%80%D0%B0%D0%BD%D1%86%D0%B8%D1%8F%D0%BC%201986%20%D1%84%D0%B8%D0%BB%D1%8C%D0%BC","искать")</f>
        <v/>
      </c>
      <c r="N3145" s="3" t="n"/>
      <c r="O3145" s="2" t="n"/>
    </row>
    <row r="3146">
      <c r="A3146" s="2" t="n">
        <v>3145</v>
      </c>
      <c r="B3146" s="2" t="inlineStr"/>
      <c r="C3146" s="2" t="n">
        <v>11373</v>
      </c>
      <c r="D3146" s="3" t="inlineStr">
        <is>
          <t>Запорожец за Дунаем</t>
        </is>
      </c>
      <c r="E3146" s="2" t="n">
        <v>1986</v>
      </c>
      <c r="F3146" s="2" t="inlineStr">
        <is>
          <t>фильм-опера/балет</t>
        </is>
      </c>
      <c r="G3146" s="2" t="n"/>
      <c r="H3146" s="2" t="n">
        <v>319</v>
      </c>
      <c r="I3146" s="2" t="inlineStr"/>
      <c r="J3146" s="2" t="inlineStr"/>
      <c r="K3146" s="3" t="inlineStr">
        <is>
          <t>Экранизация оперы украинского композитора Семёна Гулака-Артемовского. Тяжело живется украинскому казачеству на чужбине под турецким игом. Грустит молодая девушка Оксана - сирота, которая нашла убежище в семье запорожца Ивана Карася. Как бы она хотела вместе со своим любимым, казаком Андреем, вернуться на родную землю.</t>
        </is>
      </c>
      <c r="L3146" s="2" t="inlineStr">
        <is>
          <t>Кино_СССР телефильмы и пропуски включить в базу.xlsx</t>
        </is>
      </c>
      <c r="M3146" s="2">
        <f>HYPERLINK("https://ru.wikipedia.org/w/index.php?search=%D0%97%D0%B0%D0%BF%D0%BE%D1%80%D0%BE%D0%B6%D0%B5%D1%86%20%D0%B7%D0%B0%20%D0%94%D1%83%D0%BD%D0%B0%D0%B5%D0%BC%201986%20%D1%84%D0%B8%D0%BB%D1%8C%D0%BC","искать")</f>
        <v/>
      </c>
      <c r="N3146" s="3" t="n"/>
      <c r="O3146" s="2" t="n"/>
    </row>
    <row r="3147">
      <c r="A3147" s="2" t="n">
        <v>3146</v>
      </c>
      <c r="B3147" s="2" t="inlineStr"/>
      <c r="C3147" s="2" t="n">
        <v>7213</v>
      </c>
      <c r="D3147" s="3" t="inlineStr">
        <is>
          <t>Антонина Брагина</t>
        </is>
      </c>
      <c r="E3147" s="2" t="n">
        <v>1978</v>
      </c>
      <c r="F3147" s="2" t="inlineStr">
        <is>
          <t>телефильм</t>
        </is>
      </c>
      <c r="G3147" s="2" t="n"/>
      <c r="H3147" s="2" t="n">
        <v>320</v>
      </c>
      <c r="I3147" s="2" t="inlineStr"/>
      <c r="J3147" s="2" t="inlineStr"/>
      <c r="K3147" s="3" t="inlineStr">
        <is>
          <t>По мотивам романа Арнольда Каштанова "Заводской район". О жизни и работе минских автомобилестроителей. Антонина Брагина работает мастером в литейном цехе. Опытный специалист, добрый и чуткий человек, она пользуется большим уважением у товарищей по работе. Но ее личная жизнь не сложилась, муж - Степан - уходит из семьи.</t>
        </is>
      </c>
      <c r="L3147" s="2" t="inlineStr">
        <is>
          <t>Кино_СССР сводный каталог.xlsx: список телефильмов</t>
        </is>
      </c>
      <c r="M3147" s="2">
        <f>HYPERLINK("https://ru.wikipedia.org/w/index.php?search=%D0%90%D0%BD%D1%82%D0%BE%D0%BD%D0%B8%D0%BD%D0%B0%20%D0%91%D1%80%D0%B0%D0%B3%D0%B8%D0%BD%D0%B0%201978%20%D1%84%D0%B8%D0%BB%D1%8C%D0%BC","искать")</f>
        <v/>
      </c>
      <c r="N3147" s="3" t="n"/>
      <c r="O3147" s="2" t="n"/>
    </row>
    <row r="3148">
      <c r="A3148" s="2" t="n">
        <v>3147</v>
      </c>
      <c r="B3148" s="2" t="inlineStr"/>
      <c r="C3148" s="2" t="n">
        <v>7285</v>
      </c>
      <c r="D3148" s="3" t="inlineStr">
        <is>
          <t>Была не была</t>
        </is>
      </c>
      <c r="E3148" s="2" t="n">
        <v>1986</v>
      </c>
      <c r="F3148" s="2" t="inlineStr">
        <is>
          <t>телефильм</t>
        </is>
      </c>
      <c r="G3148" s="2" t="n"/>
      <c r="H3148" s="2" t="n">
        <v>320</v>
      </c>
      <c r="I3148" s="2" t="inlineStr"/>
      <c r="J3148" s="2" t="inlineStr"/>
      <c r="K3148" s="3" t="inlineStr">
        <is>
          <t>Старшеклассник Василий Серов - трудный подросток, одинаково способный и на хорошие и на плохие поступки, влюбляется в дочь директора школы Ирину Звягинцеву. Дружба с Ирой обостряет в нем чувства справедливости, благородства. Однажды Вася случайно попадает в неприятности. С приятелем Лёхой он отобрал на пляже кроссовки.</t>
        </is>
      </c>
      <c r="L3148" s="2" t="inlineStr">
        <is>
          <t>Кино_СССР сводный каталог.xlsx: список телефильмов</t>
        </is>
      </c>
      <c r="M3148" s="2">
        <f>HYPERLINK("https://ru.wikipedia.org/w/index.php?search=%D0%91%D1%8B%D0%BB%D0%B0%20%D0%BD%D0%B5%20%D0%B1%D1%8B%D0%BB%D0%B0%201986%20%D1%84%D0%B8%D0%BB%D1%8C%D0%BC","искать")</f>
        <v/>
      </c>
      <c r="N3148" s="3" t="n"/>
      <c r="O3148" s="2" t="n"/>
    </row>
    <row r="3149">
      <c r="A3149" s="2" t="n">
        <v>3148</v>
      </c>
      <c r="B3149" s="2" t="inlineStr"/>
      <c r="C3149" s="2" t="n">
        <v>7684</v>
      </c>
      <c r="D3149" s="3" t="inlineStr">
        <is>
          <t>Инспектор Гулл</t>
        </is>
      </c>
      <c r="E3149" s="2" t="n">
        <v>1979</v>
      </c>
      <c r="F3149" s="2" t="inlineStr">
        <is>
          <t>телефильм</t>
        </is>
      </c>
      <c r="G3149" s="2" t="n"/>
      <c r="H3149" s="2" t="n">
        <v>320</v>
      </c>
      <c r="I3149" s="2" t="inlineStr"/>
      <c r="J3149" s="2" t="inlineStr"/>
      <c r="K3149" s="3" t="inlineStr">
        <is>
          <t>По мотивам пьесы Дж.Б.Пристли "Он пришел" ("Инспектор пришел"). В титрах фильма - название пьесы "Он пришел". В доме Артура Берлинга, богатого промышленника, семейное торжество – помолвка. Но семейный праздник прерван неожиданным визитом инспектора Гулла. Инспектор рассказывает, что под колесами поезда погибла девушка.</t>
        </is>
      </c>
      <c r="L3149" s="2" t="inlineStr">
        <is>
          <t>Кино_СССР сводный каталог.xlsx: список телефильмов</t>
        </is>
      </c>
      <c r="M3149" s="2">
        <f>HYPERLINK("https://ru.wikipedia.org/w/index.php?search=%D0%98%D0%BD%D1%81%D0%BF%D0%B5%D0%BA%D1%82%D0%BE%D1%80%20%D0%93%D1%83%D0%BB%D0%BB%201979%20%D1%84%D0%B8%D0%BB%D1%8C%D0%BC","искать")</f>
        <v/>
      </c>
      <c r="N3149" s="3" t="n"/>
      <c r="O3149" s="2" t="n"/>
    </row>
    <row r="3150">
      <c r="A3150" s="2" t="n">
        <v>3149</v>
      </c>
      <c r="B3150" s="2" t="inlineStr"/>
      <c r="C3150" s="2" t="n">
        <v>7892</v>
      </c>
      <c r="D3150" s="3" t="inlineStr">
        <is>
          <t>Мой нежно любимый детектив</t>
        </is>
      </c>
      <c r="E3150" s="2" t="n">
        <v>1986</v>
      </c>
      <c r="F3150" s="2" t="inlineStr">
        <is>
          <t>телефильм</t>
        </is>
      </c>
      <c r="G3150" s="2" t="n"/>
      <c r="H3150" s="2" t="n">
        <v>320</v>
      </c>
      <c r="I3150" s="2" t="inlineStr"/>
      <c r="J3150" s="2" t="inlineStr"/>
      <c r="K3150" s="3" t="inlineStr">
        <is>
          <t>Героини фильма - две молодые женщины из частного сыскного агентства - мисс Холмс и мисс Ватсон, применяя дедуктивный метод Шерлока Холмса, успешно раскрывают, казалось бы, безнадежно запутанное дело. Это вызывает недовольство британской полиции. Скотлэнд-Ярд разрабатывает коварный план, чтобы избавиться от конкурентов.</t>
        </is>
      </c>
      <c r="L3150" s="2" t="inlineStr">
        <is>
          <t>Кино_СССР сводный каталог.xlsx: список телефильмов</t>
        </is>
      </c>
      <c r="M3150" s="2">
        <f>HYPERLINK("https://ru.wikipedia.org/w/index.php?search=%D0%9C%D0%BE%D0%B9%20%D0%BD%D0%B5%D0%B6%D0%BD%D0%BE%20%D0%BB%D1%8E%D0%B1%D0%B8%D0%BC%D1%8B%D0%B9%20%D0%B4%D0%B5%D1%82%D0%B5%D0%BA%D1%82%D0%B8%D0%B2%201986%20%D1%84%D0%B8%D0%BB%D1%8C%D0%BC","искать")</f>
        <v/>
      </c>
      <c r="N3150" s="3" t="n"/>
      <c r="O3150" s="2" t="n"/>
    </row>
    <row r="3151">
      <c r="A3151" s="2" t="n">
        <v>3150</v>
      </c>
      <c r="B3151" s="2" t="inlineStr"/>
      <c r="C3151" s="2" t="n">
        <v>8178</v>
      </c>
      <c r="D3151" s="3" t="inlineStr">
        <is>
          <t>Поцелуй</t>
        </is>
      </c>
      <c r="E3151" s="2" t="n">
        <v>1983</v>
      </c>
      <c r="F3151" s="2" t="inlineStr">
        <is>
          <t>телефильм</t>
        </is>
      </c>
      <c r="G3151" s="2" t="n"/>
      <c r="H3151" s="2" t="n">
        <v>320</v>
      </c>
      <c r="I3151" s="2" t="inlineStr"/>
      <c r="J3151" s="2" t="inlineStr"/>
      <c r="K3151" s="3" t="inlineStr">
        <is>
          <t>Телефильм создан по мотивам одноименного рассказа Антона Павловича Чехова. Артиллерийская бригада заночевала в маленькой деревне. Господа офицеры приглашены на чай местным помещиком, отставным генерал-майором фон Раббеком. Во время торжественного чаепития (съехались к фон Раббеку и другие помещики с женами и дочерьми).</t>
        </is>
      </c>
      <c r="L3151" s="2" t="inlineStr">
        <is>
          <t>Кино_СССР сводный каталог.xlsx: список телефильмов</t>
        </is>
      </c>
      <c r="M3151" s="2">
        <f>HYPERLINK("https://ru.wikipedia.org/w/index.php?search=%D0%9F%D0%BE%D1%86%D0%B5%D0%BB%D1%83%D0%B9%201983%20%D1%84%D0%B8%D0%BB%D1%8C%D0%BC","искать")</f>
        <v/>
      </c>
      <c r="N3151" s="3" t="n"/>
      <c r="O3151" s="2" t="n"/>
    </row>
    <row r="3152">
      <c r="A3152" s="2" t="n">
        <v>3151</v>
      </c>
      <c r="B3152" s="2" t="inlineStr"/>
      <c r="C3152" s="2" t="n">
        <v>8256</v>
      </c>
      <c r="D3152" s="3" t="inlineStr">
        <is>
          <t>Раненые камни</t>
        </is>
      </c>
      <c r="E3152" s="2" t="n">
        <v>1987</v>
      </c>
      <c r="F3152" s="2" t="inlineStr">
        <is>
          <t>телефильм</t>
        </is>
      </c>
      <c r="G3152" s="2" t="n"/>
      <c r="H3152" s="2" t="n">
        <v>320</v>
      </c>
      <c r="I3152" s="2" t="inlineStr"/>
      <c r="J3152" s="2" t="inlineStr"/>
      <c r="K3152" s="3" t="inlineStr">
        <is>
          <t>Телесериал рассказывает о зарождении революционного движения на Северном Кавказе в 1905 году. После окончания русско-японской войны в родной балкарский аул возвращается солдат Аскер. Он узнает, что его отца убили бандиты, собирающие дань для князя Солтанбека. Аскер поднимает крестьян на борьбу против своих угнетателей.</t>
        </is>
      </c>
      <c r="L3152" s="2" t="inlineStr">
        <is>
          <t>Кино_СССР сводный каталог.xlsx: список телефильмов</t>
        </is>
      </c>
      <c r="M3152" s="2">
        <f>HYPERLINK("https://ru.wikipedia.org/w/index.php?search=%D0%A0%D0%B0%D0%BD%D0%B5%D0%BD%D1%8B%D0%B5%20%D0%BA%D0%B0%D0%BC%D0%BD%D0%B8%201987%20%D1%84%D0%B8%D0%BB%D1%8C%D0%BC","искать")</f>
        <v/>
      </c>
      <c r="N3152" s="3" t="n"/>
      <c r="O3152" s="2" t="n"/>
    </row>
    <row r="3153">
      <c r="A3153" s="2" t="n">
        <v>3152</v>
      </c>
      <c r="B3153" s="2" t="inlineStr"/>
      <c r="C3153" s="2" t="n">
        <v>8343</v>
      </c>
      <c r="D3153" s="3" t="inlineStr">
        <is>
          <t>Сильва</t>
        </is>
      </c>
      <c r="E3153" s="2" t="n">
        <v>1981</v>
      </c>
      <c r="F3153" s="2" t="inlineStr">
        <is>
          <t>телефильм</t>
        </is>
      </c>
      <c r="G3153" s="2" t="n"/>
      <c r="H3153" s="2" t="n">
        <v>320</v>
      </c>
      <c r="I3153" s="2" t="inlineStr"/>
      <c r="J3153" s="2" t="inlineStr"/>
      <c r="K3153" s="3" t="inlineStr">
        <is>
          <t>Телефильм. Экранизация одноименной оперетты Имре Кальмана. По мотивам либретто Л.Штейна и Б.Йенбаха. Будущий князь фон Веллергейм, а ныне просто молодой офицер по имени Эдвин и певица Сильва Вареску полюбили друг друга. Эдвин даже готов пойти наперекор воле знатных родителей и жениться - несмотря на неизбежный скандал.</t>
        </is>
      </c>
      <c r="L3153" s="2" t="inlineStr">
        <is>
          <t>Кино_СССР сводный каталог.xlsx: список телефильмов</t>
        </is>
      </c>
      <c r="M3153" s="2">
        <f>HYPERLINK("https://ru.wikipedia.org/w/index.php?search=%D0%A1%D0%B8%D0%BB%D1%8C%D0%B2%D0%B0%201981%20%D1%84%D0%B8%D0%BB%D1%8C%D0%BC","искать")</f>
        <v/>
      </c>
      <c r="N3153" s="3" t="n"/>
      <c r="O3153" s="2" t="n"/>
    </row>
    <row r="3154">
      <c r="A3154" s="2" t="n">
        <v>3153</v>
      </c>
      <c r="B3154" s="2" t="inlineStr"/>
      <c r="C3154" s="2" t="n">
        <v>8402</v>
      </c>
      <c r="D3154" s="3" t="inlineStr">
        <is>
          <t>Старый Новый год</t>
        </is>
      </c>
      <c r="E3154" s="2" t="n">
        <v>1980</v>
      </c>
      <c r="F3154" s="2" t="inlineStr">
        <is>
          <t>телефильм</t>
        </is>
      </c>
      <c r="G3154" s="2" t="inlineStr">
        <is>
          <t>Мосфильм. Творческое объединение телевизионных фильмов</t>
        </is>
      </c>
      <c r="H3154" s="2" t="n">
        <v>320</v>
      </c>
      <c r="I3154" s="2" t="inlineStr"/>
      <c r="J3154" s="2" t="inlineStr"/>
      <c r="K3154" s="3" t="inlineStr">
        <is>
          <t>Сатирическая комедия по пьесе М. Рощина. В недавно заселенном доме идет новогодняя гульба. Две соседствующие семьи имеют, при всех различиях одно сходство: в обеих есть недовольный жизнью муж. Вскоре оба неудачника, хлопнув дверьми, покидают свои новые квартиры – чтобы вскоре найти успокоение в тесной мужской компании.</t>
        </is>
      </c>
      <c r="L3154" s="2" t="inlineStr">
        <is>
          <t>Кино_СССР сводный каталог.xlsx: список телефильмов</t>
        </is>
      </c>
      <c r="M3154" s="2">
        <f>HYPERLINK("https://ru.wikipedia.org/w/index.php?search=%D0%A1%D1%82%D0%B0%D1%80%D1%8B%D0%B9%20%D0%9D%D0%BE%D0%B2%D1%8B%D0%B9%20%D0%B3%D0%BE%D0%B4%201980%20%D1%84%D0%B8%D0%BB%D1%8C%D0%BC","искать")</f>
        <v/>
      </c>
      <c r="N3154" s="3" t="n"/>
      <c r="O3154" s="2" t="n"/>
    </row>
    <row r="3155">
      <c r="A3155" s="2" t="n">
        <v>3154</v>
      </c>
      <c r="B3155" s="2" t="inlineStr"/>
      <c r="C3155" s="2" t="n">
        <v>9284</v>
      </c>
      <c r="D3155" s="3" t="inlineStr">
        <is>
          <t>Восхождение на Фудзияму</t>
        </is>
      </c>
      <c r="E3155" s="2" t="n">
        <v>1988</v>
      </c>
      <c r="F3155" s="2" t="inlineStr">
        <is>
          <t>кинофильм</t>
        </is>
      </c>
      <c r="G3155" s="2" t="n"/>
      <c r="H3155" s="2" t="n">
        <v>320</v>
      </c>
      <c r="I3155" s="2" t="inlineStr"/>
      <c r="J3155" s="2" t="inlineStr"/>
      <c r="K3155" s="3" t="inlineStr">
        <is>
          <t>По мотивам одноименной пьесы К.Мухамеджанова и Ч.Айтматова. Пятеро друзей — Мамбет, Досберген, Иосиф, Исабек и Сабыл - вместе учились в школе. Вместе ушли на фронт, вместе воевали. Но, когда Сабыл написал поэму, не соответствующую канонам официальной идеологии, кто-то из друзей предал его, и Сабыл оказался за решеткой.</t>
        </is>
      </c>
      <c r="L3155" s="2" t="inlineStr">
        <is>
          <t>Кино_СССР сводный каталог.xlsx: список фильмов (доп.)</t>
        </is>
      </c>
      <c r="M3155" s="2">
        <f>HYPERLINK("https://ru.wikipedia.org/w/index.php?search=%D0%92%D0%BE%D1%81%D1%85%D0%BE%D0%B6%D0%B4%D0%B5%D0%BD%D0%B8%D0%B5%20%D0%BD%D0%B0%20%D0%A4%D1%83%D0%B4%D0%B7%D0%B8%D1%8F%D0%BC%D1%83%201988%20%D1%84%D0%B8%D0%BB%D1%8C%D0%BC","искать")</f>
        <v/>
      </c>
      <c r="N3155" s="3" t="n"/>
      <c r="O3155" s="2" t="n"/>
    </row>
    <row r="3156">
      <c r="A3156" s="2" t="n">
        <v>3155</v>
      </c>
      <c r="B3156" s="2" t="inlineStr"/>
      <c r="C3156" s="2" t="n">
        <v>10080</v>
      </c>
      <c r="D3156" s="3" t="inlineStr">
        <is>
          <t>Пенсия</t>
        </is>
      </c>
      <c r="E3156" s="2" t="n">
        <v>1960</v>
      </c>
      <c r="F3156" s="2" t="inlineStr">
        <is>
          <t>фильм-спектакль</t>
        </is>
      </c>
      <c r="G3156" s="2" t="inlineStr">
        <is>
          <t>Центральное телевидение</t>
        </is>
      </c>
      <c r="H3156" s="2" t="n">
        <v>320</v>
      </c>
      <c r="I3156" s="2" t="inlineStr"/>
      <c r="J3156" s="2" t="inlineStr"/>
      <c r="K3156" s="3" t="inlineStr">
        <is>
          <t>По одноименному рассказу Луи Мэмета.
Действие происходит в США. Рабочему завода Папу Хильдеру осталось полгода до пенсии. Неожиданно его переводят с привычного рабочего места на станок, который за год искалечил пятерых человек. И никто не мог установить причину аварий. Хильдер не выдержал напряжения и покончил с собой.</t>
        </is>
      </c>
      <c r="L3156" s="2" t="inlineStr">
        <is>
          <t>https://www.kino-teatr.ru/teatr/movie/104717/annot/</t>
        </is>
      </c>
      <c r="M3156" s="2">
        <f>HYPERLINK("https://ru.wikipedia.org/w/index.php?search=%D0%9F%D0%B5%D0%BD%D1%81%D0%B8%D1%8F%201960%20%D1%84%D0%B8%D0%BB%D1%8C%D0%BC","искать")</f>
        <v/>
      </c>
      <c r="N3156" s="3" t="n"/>
      <c r="O3156" s="2" t="n"/>
    </row>
    <row r="3157">
      <c r="A3157" s="2" t="n">
        <v>3156</v>
      </c>
      <c r="B3157" s="2" t="inlineStr"/>
      <c r="C3157" s="2" t="n">
        <v>7322</v>
      </c>
      <c r="D3157" s="3" t="inlineStr">
        <is>
          <t>Весёлая хроника опасного путешествия</t>
        </is>
      </c>
      <c r="E3157" s="2" t="n">
        <v>1986</v>
      </c>
      <c r="F3157" s="2" t="inlineStr">
        <is>
          <t>телефильм</t>
        </is>
      </c>
      <c r="G3157" s="2" t="inlineStr">
        <is>
          <t>ТО «Экран»</t>
        </is>
      </c>
      <c r="H3157" s="2" t="n">
        <v>321</v>
      </c>
      <c r="I3157" s="2" t="inlineStr"/>
      <c r="J3157" s="2" t="inlineStr"/>
      <c r="K3157" s="3" t="inlineStr">
        <is>
          <t>Фильм-ревю в жанре музыкальной комедии. Современная версия сюжета из древнегреческих мифов о путешествии Аргонавтов из Эллады в Колхиду за золотым руном... В фильме звучат песни – «Арго», «Дуэт Язона и Медеи», «Ария Медеи», «Ария Аэта». Один из лучших фильмов в истории музыкальных творений в отечественной киноиндустрии.</t>
        </is>
      </c>
      <c r="L3157" s="2" t="inlineStr">
        <is>
          <t>Кино_СССР сводный каталог.xlsx: список телефильмов</t>
        </is>
      </c>
      <c r="M3157" s="2">
        <f>HYPERLINK("https://ru.wikipedia.org/w/index.php?search=%D0%92%D0%B5%D1%81%D1%91%D0%BB%D0%B0%D1%8F%20%D1%85%D1%80%D0%BE%D0%BD%D0%B8%D0%BA%D0%B0%20%D0%BE%D0%BF%D0%B0%D1%81%D0%BD%D0%BE%D0%B3%D0%BE%20%D0%BF%D1%83%D1%82%D0%B5%D1%88%D0%B5%D1%81%D1%82%D0%B2%D0%B8%D1%8F%201986%20%D1%84%D0%B8%D0%BB%D1%8C%D0%BC","искать")</f>
        <v/>
      </c>
      <c r="N3157" s="3" t="n"/>
      <c r="O3157" s="2" t="n"/>
    </row>
    <row r="3158">
      <c r="A3158" s="2" t="n">
        <v>3157</v>
      </c>
      <c r="B3158" s="2" t="inlineStr"/>
      <c r="C3158" s="2" t="n">
        <v>7773</v>
      </c>
      <c r="D3158" s="3" t="inlineStr">
        <is>
          <t>Крепкий мужик</t>
        </is>
      </c>
      <c r="E3158" s="2" t="n">
        <v>1991</v>
      </c>
      <c r="F3158" s="2" t="inlineStr">
        <is>
          <t>телефильм</t>
        </is>
      </c>
      <c r="G3158" s="2" t="n"/>
      <c r="H3158" s="2" t="n">
        <v>321</v>
      </c>
      <c r="I3158" s="2" t="inlineStr"/>
      <c r="J3158" s="2" t="inlineStr"/>
      <c r="K3158" s="3" t="inlineStr">
        <is>
          <t>По мотивам рассказов В.Шукшина «Крепкий мужик», «Верую», «Сураз». Пришел человек в русскую баню. Попарился, переоделся во все чистое и сел на мостки – вспомнить все, что с ним произошло. А произошло следующее. Шофер Спиридон Расторгуев привез со станции семейную пару учителей, которые приехали в деревню провести отпуск.</t>
        </is>
      </c>
      <c r="L3158" s="2" t="inlineStr">
        <is>
          <t>Кино_СССР сводный каталог.xlsx: список телефильмов</t>
        </is>
      </c>
      <c r="M3158" s="2">
        <f>HYPERLINK("https://ru.wikipedia.org/w/index.php?search=%D0%9A%D1%80%D0%B5%D0%BF%D0%BA%D0%B8%D0%B9%20%D0%BC%D1%83%D0%B6%D0%B8%D0%BA%201991%20%D1%84%D0%B8%D0%BB%D1%8C%D0%BC","искать")</f>
        <v/>
      </c>
      <c r="N3158" s="3" t="n"/>
      <c r="O3158" s="2" t="n"/>
    </row>
    <row r="3159">
      <c r="A3159" s="2" t="n">
        <v>3158</v>
      </c>
      <c r="B3159" s="2" t="inlineStr"/>
      <c r="C3159" s="2" t="n">
        <v>8054</v>
      </c>
      <c r="D3159" s="3" t="inlineStr">
        <is>
          <t>Осень моего детства</t>
        </is>
      </c>
      <c r="E3159" s="2" t="n">
        <v>1977</v>
      </c>
      <c r="F3159" s="2" t="inlineStr">
        <is>
          <t>телефильм</t>
        </is>
      </c>
      <c r="G3159" s="2" t="n"/>
      <c r="H3159" s="2" t="n">
        <v>321</v>
      </c>
      <c r="I3159" s="2" t="inlineStr"/>
      <c r="J3159" s="2" t="inlineStr"/>
      <c r="K3159" s="3" t="inlineStr">
        <is>
          <t>Этот фильм - поэтический взгляд в мир детства. Бенас - ещё не взрослый, но уже не ребёнок. Как раз в этот переломный момент он знакомится с молодыми девушками Вилией и Милдой, которые приехали в его родную деревню на практику. Бенас и Вилия симпатизируют друг другу.Однажды, стоя во время дождя под деревом, они целуются.</t>
        </is>
      </c>
      <c r="L3159" s="2" t="inlineStr">
        <is>
          <t>Кино_СССР сводный каталог.xlsx: список телефильмов</t>
        </is>
      </c>
      <c r="M3159" s="2">
        <f>HYPERLINK("https://ru.wikipedia.org/w/index.php?search=%D0%9E%D1%81%D0%B5%D0%BD%D1%8C%20%D0%BC%D0%BE%D0%B5%D0%B3%D0%BE%20%D0%B4%D0%B5%D1%82%D1%81%D1%82%D0%B2%D0%B0%201977%20%D1%84%D0%B8%D0%BB%D1%8C%D0%BC","искать")</f>
        <v/>
      </c>
      <c r="N3159" s="3" t="n"/>
      <c r="O3159" s="2" t="n"/>
    </row>
    <row r="3160">
      <c r="A3160" s="2" t="n">
        <v>3159</v>
      </c>
      <c r="B3160" s="2" t="inlineStr"/>
      <c r="C3160" s="2" t="n">
        <v>8317</v>
      </c>
      <c r="D3160" s="3" t="inlineStr">
        <is>
          <t>Святая Сусанна, или Школа мастеров</t>
        </is>
      </c>
      <c r="E3160" s="2" t="n">
        <v>1983</v>
      </c>
      <c r="F3160" s="2" t="inlineStr">
        <is>
          <t>телефильм</t>
        </is>
      </c>
      <c r="G3160" s="2" t="n"/>
      <c r="H3160" s="2" t="n">
        <v>321</v>
      </c>
      <c r="I3160" s="2" t="inlineStr"/>
      <c r="J3160" s="2" t="inlineStr"/>
      <c r="K3160" s="3" t="inlineStr">
        <is>
          <t>По мотивам одноименной пьесы эстонского советского писателя и драматурга Энн Ветемаа. Остросатирическая абсурдистская комедия о закулисной жизни советской театральной труппы, пытающейся поставить спектакль и на телевидении, и в колхозе "высокой культуры" Более или менее известные актеры и режиссер столицы едут в колхоз.</t>
        </is>
      </c>
      <c r="L3160" s="2" t="inlineStr">
        <is>
          <t>Кино_СССР сводный каталог.xlsx: список телефильмов</t>
        </is>
      </c>
      <c r="M3160" s="2">
        <f>HYPERLINK("https://ru.wikipedia.org/w/index.php?search=%D0%A1%D0%B2%D1%8F%D1%82%D0%B0%D1%8F%20%D0%A1%D1%83%D1%81%D0%B0%D0%BD%D0%BD%D0%B0%2C%20%D0%B8%D0%BB%D0%B8%20%D0%A8%D0%BA%D0%BE%D0%BB%D0%B0%20%D0%BC%D0%B0%D1%81%D1%82%D0%B5%D1%80%D0%BE%D0%B2%201983%20%D1%84%D0%B8%D0%BB%D1%8C%D0%BC","искать")</f>
        <v/>
      </c>
      <c r="N3160" s="3" t="n"/>
      <c r="O3160" s="2" t="n"/>
    </row>
    <row r="3161">
      <c r="A3161" s="2" t="n">
        <v>3160</v>
      </c>
      <c r="B3161" s="2" t="inlineStr"/>
      <c r="C3161" s="2" t="n">
        <v>8475</v>
      </c>
      <c r="D3161" s="3" t="inlineStr">
        <is>
          <t>Три дня в июле</t>
        </is>
      </c>
      <c r="E3161" s="2" t="n">
        <v>1977</v>
      </c>
      <c r="F3161" s="2" t="inlineStr">
        <is>
          <t>телефильм</t>
        </is>
      </c>
      <c r="G3161" s="2" t="n"/>
      <c r="H3161" s="2" t="n">
        <v>321</v>
      </c>
      <c r="I3161" s="2" t="inlineStr"/>
      <c r="J3161" s="2" t="inlineStr"/>
      <c r="K3161" s="3" t="inlineStr">
        <is>
          <t>По рассказу А. Джакыпбекова «Салима». Встреча Алыма и Салимы воскресила в памяти их полудетскую любовь. Сейчас это разные люди. Салима счастлива: у нее семья, любимая работа. У Алыма не все ладно. Встреча с Салимой, воспоминание о детстве, ощущение дыхания юности заставило понять Алыма, что как личность он не состоялся.</t>
        </is>
      </c>
      <c r="L3161" s="2" t="inlineStr">
        <is>
          <t>Кино_СССР сводный каталог.xlsx: список телефильмов</t>
        </is>
      </c>
      <c r="M3161" s="2">
        <f>HYPERLINK("https://ru.wikipedia.org/w/index.php?search=%D0%A2%D1%80%D0%B8%20%D0%B4%D0%BD%D1%8F%20%D0%B2%20%D0%B8%D1%8E%D0%BB%D0%B5%201977%20%D1%84%D0%B8%D0%BB%D1%8C%D0%BC","искать")</f>
        <v/>
      </c>
      <c r="N3161" s="3" t="n"/>
      <c r="O3161" s="2" t="n"/>
    </row>
    <row r="3162">
      <c r="A3162" s="2" t="n">
        <v>3161</v>
      </c>
      <c r="B3162" s="2" t="inlineStr"/>
      <c r="C3162" s="2" t="n">
        <v>8538</v>
      </c>
      <c r="D3162" s="3" t="inlineStr">
        <is>
          <t>Цыганский барон</t>
        </is>
      </c>
      <c r="E3162" s="2" t="n">
        <v>1988</v>
      </c>
      <c r="F3162" s="2" t="inlineStr">
        <is>
          <t>телефильм</t>
        </is>
      </c>
      <c r="G3162" s="2" t="n"/>
      <c r="H3162" s="2" t="n">
        <v>321</v>
      </c>
      <c r="I3162" s="2" t="inlineStr"/>
      <c r="J3162" s="2" t="inlineStr"/>
      <c r="K3162" s="3" t="inlineStr">
        <is>
          <t>Телефильм по одноименной оперетте Йоганна Штрауса. В основу сценария положена пьеса известного комедиографа Василия Шкваркина. Возвратившийся из странствий на родину барон Шандор Баринкай влюбляется в прекрасную цыганку Саффи. Но, оказывается, Саффи - не цыганка, а его кузина, богатая наследница знатного графского рода.</t>
        </is>
      </c>
      <c r="L3162" s="2" t="inlineStr">
        <is>
          <t>Кино_СССР сводный каталог.xlsx: список телефильмов</t>
        </is>
      </c>
      <c r="M3162" s="2">
        <f>HYPERLINK("https://ru.wikipedia.org/w/index.php?search=%D0%A6%D1%8B%D0%B3%D0%B0%D0%BD%D1%81%D0%BA%D0%B8%D0%B9%20%D0%B1%D0%B0%D1%80%D0%BE%D0%BD%201988%20%D1%84%D0%B8%D0%BB%D1%8C%D0%BC","искать")</f>
        <v/>
      </c>
      <c r="N3162" s="3" t="n"/>
      <c r="O3162" s="2" t="n"/>
    </row>
    <row r="3163">
      <c r="A3163" s="2" t="n">
        <v>3162</v>
      </c>
      <c r="B3163" s="2" t="inlineStr"/>
      <c r="C3163" s="2" t="n">
        <v>8760</v>
      </c>
      <c r="D3163" s="3" t="inlineStr">
        <is>
          <t>Карпатское золото</t>
        </is>
      </c>
      <c r="E3163" s="2" t="n">
        <v>1991</v>
      </c>
      <c r="F3163" s="2" t="inlineStr">
        <is>
          <t>кинофильм</t>
        </is>
      </c>
      <c r="G3163" s="2" t="n"/>
      <c r="H3163" s="2" t="n">
        <v>321</v>
      </c>
      <c r="I3163" s="2" t="inlineStr"/>
      <c r="J3163" s="2" t="inlineStr"/>
      <c r="K3163" s="3" t="inlineStr">
        <is>
          <t>О трагических событиях, происходивших в послевоенных Карпатах. Сложная судьба постигла главного героя ленты - молодого лесничего Крапивича, служившего в войсках СС, а потом в ОУН. Конец 40-х. В НКВД поступает шифровка: группа немецких диверсантов ищет карпатское золото. С целью опередить врага чекисты вербуют лесничего.</t>
        </is>
      </c>
      <c r="L3163" s="2" t="inlineStr">
        <is>
          <t>Кино_СССР сводный каталог.xlsx: список фильмов (доп.)</t>
        </is>
      </c>
      <c r="M3163" s="2">
        <f>HYPERLINK("https://ru.wikipedia.org/w/index.php?search=%D0%9A%D0%B0%D1%80%D0%BF%D0%B0%D1%82%D1%81%D0%BA%D0%BE%D0%B5%20%D0%B7%D0%BE%D0%BB%D0%BE%D1%82%D0%BE%201991%20%D1%84%D0%B8%D0%BB%D1%8C%D0%BC","искать")</f>
        <v/>
      </c>
      <c r="N3163" s="3" t="n"/>
      <c r="O3163" s="2" t="n"/>
    </row>
    <row r="3164">
      <c r="A3164" s="2" t="n">
        <v>3163</v>
      </c>
      <c r="B3164" s="2" t="inlineStr"/>
      <c r="C3164" s="2" t="n">
        <v>9031</v>
      </c>
      <c r="D3164" s="3" t="inlineStr">
        <is>
          <t>Светик</t>
        </is>
      </c>
      <c r="E3164" s="2" t="n">
        <v>1989</v>
      </c>
      <c r="F3164" s="2" t="inlineStr">
        <is>
          <t>кинофильм</t>
        </is>
      </c>
      <c r="G3164" s="2" t="n"/>
      <c r="H3164" s="2" t="n">
        <v>321</v>
      </c>
      <c r="I3164" s="2" t="inlineStr"/>
      <c r="J3164" s="2" t="inlineStr"/>
      <c r="K3164" s="3" t="inlineStr">
        <is>
          <t>По мотивам повести Владимира Маканина "Старые книги". Приехав в Москву, молодая энергичная провинциалка быстро входит в круг книготорговцев. Очаровав своего начальника, Светик устроилась в отдел антикварной литературы. Но вскоре она сама влюбилась, и доверчивый библиоман становится повелителем ее нерастраченной энергии.</t>
        </is>
      </c>
      <c r="L3164" s="2" t="inlineStr">
        <is>
          <t>Кино_СССР сводный каталог.xlsx: список фильмов (доп.)</t>
        </is>
      </c>
      <c r="M3164" s="2">
        <f>HYPERLINK("https://ru.wikipedia.org/w/index.php?search=%D0%A1%D0%B2%D0%B5%D1%82%D0%B8%D0%BA%201989%20%D1%84%D0%B8%D0%BB%D1%8C%D0%BC","искать")</f>
        <v/>
      </c>
      <c r="N3164" s="3" t="n"/>
      <c r="O3164" s="2" t="n"/>
    </row>
    <row r="3165">
      <c r="A3165" s="2" t="n">
        <v>3164</v>
      </c>
      <c r="B3165" s="2" t="inlineStr"/>
      <c r="C3165" s="2" t="n">
        <v>9316</v>
      </c>
      <c r="D3165" s="3" t="inlineStr">
        <is>
          <t>Государственный преступник</t>
        </is>
      </c>
      <c r="E3165" s="2" t="n">
        <v>1964</v>
      </c>
      <c r="F3165" s="2" t="inlineStr">
        <is>
          <t>кинофильм</t>
        </is>
      </c>
      <c r="G3165" s="2" t="n"/>
      <c r="H3165" s="2" t="n">
        <v>321</v>
      </c>
      <c r="I3165" s="2" t="inlineStr"/>
      <c r="J3165" s="2" t="inlineStr"/>
      <c r="K3165" s="3" t="inlineStr">
        <is>
          <t>1960-е годы.... По стране прокатилась волна процессов над военными преступниками, которым удалось скрыться от правосудия после окончания войны. Молодой сотрудник КГБ Андрей Поликанов (А.Демьяненко) расследует дело о массовых казнях советских людей, в которых участвовал некто Юрий Золотицкий, перешедший на сторону врага.</t>
        </is>
      </c>
      <c r="L3165" s="2" t="inlineStr">
        <is>
          <t>Кино_СССР сводный каталог.xlsx: список фильмов (доп.)</t>
        </is>
      </c>
      <c r="M3165" s="2">
        <f>HYPERLINK("https://ru.wikipedia.org/w/index.php?search=%D0%93%D0%BE%D1%81%D1%83%D0%B4%D0%B0%D1%80%D1%81%D1%82%D0%B2%D0%B5%D0%BD%D0%BD%D1%8B%D0%B9%20%D0%BF%D1%80%D0%B5%D1%81%D1%82%D1%83%D0%BF%D0%BD%D0%B8%D0%BA%201964%20%D1%84%D0%B8%D0%BB%D1%8C%D0%BC","искать")</f>
        <v/>
      </c>
      <c r="N3165" s="3" t="n"/>
      <c r="O3165" s="2" t="n"/>
    </row>
    <row r="3166">
      <c r="A3166" s="2" t="n">
        <v>3165</v>
      </c>
      <c r="B3166" s="2" t="inlineStr"/>
      <c r="C3166" s="2" t="n">
        <v>7426</v>
      </c>
      <c r="D3166" s="3" t="inlineStr">
        <is>
          <t>Гадание на бараньей лопатке</t>
        </is>
      </c>
      <c r="E3166" s="2" t="n">
        <v>1988</v>
      </c>
      <c r="F3166" s="2" t="inlineStr">
        <is>
          <t>телефильм</t>
        </is>
      </c>
      <c r="G3166" s="2" t="inlineStr">
        <is>
          <t>Рижская к/с</t>
        </is>
      </c>
      <c r="H3166" s="2" t="n">
        <v>322</v>
      </c>
      <c r="I3166" s="2" t="inlineStr"/>
      <c r="J3166" s="2" t="inlineStr"/>
      <c r="K3166" s="3" t="inlineStr">
        <is>
          <t>Действие фильма происходит в начале 50-х годов в небольшой сибирской деревушке, где пересеклись пути и судьбы сосланных латышей, калмыков, русских... Мальчик-калмык Лиджи живет с дедушкой, который ходит в тайгу, собирает травы, лечит односельчан. Однажды дедушку арестовали по ложному обвинению в убийстве и поджоге фермы.</t>
        </is>
      </c>
      <c r="L3166" s="2" t="inlineStr">
        <is>
          <t>Кино_СССР сводный каталог.xlsx: список телефильмов</t>
        </is>
      </c>
      <c r="M3166" s="2">
        <f>HYPERLINK("https://ru.wikipedia.org/w/index.php?search=%D0%93%D0%B0%D0%B4%D0%B0%D0%BD%D0%B8%D0%B5%20%D0%BD%D0%B0%20%D0%B1%D0%B0%D1%80%D0%B0%D0%BD%D1%8C%D0%B5%D0%B9%20%D0%BB%D0%BE%D0%BF%D0%B0%D1%82%D0%BA%D0%B5%201988%20%D1%84%D0%B8%D0%BB%D1%8C%D0%BC","искать")</f>
        <v/>
      </c>
      <c r="N3166" s="3" t="n"/>
      <c r="O3166" s="2" t="n"/>
    </row>
    <row r="3167">
      <c r="A3167" s="2" t="n">
        <v>3166</v>
      </c>
      <c r="B3167" s="2" t="inlineStr"/>
      <c r="C3167" s="2" t="n">
        <v>7439</v>
      </c>
      <c r="D3167" s="3" t="inlineStr">
        <is>
          <t>Главный конструктор</t>
        </is>
      </c>
      <c r="E3167" s="2" t="n">
        <v>1980</v>
      </c>
      <c r="F3167" s="2" t="inlineStr">
        <is>
          <t>телефильм</t>
        </is>
      </c>
      <c r="G3167" s="2" t="n"/>
      <c r="H3167" s="2" t="n">
        <v>322</v>
      </c>
      <c r="I3167" s="2" t="inlineStr"/>
      <c r="J3167" s="2" t="inlineStr"/>
      <c r="K3167" s="3" t="inlineStr">
        <is>
          <t>Телефильм по книге Я. Резника «Сотворение брони». История создания в предвоенные годы советским конструктором М.И.Кошкиным танка «Т-34». В декабре 1936 года начальником танкового КБ Харьковского паровозостроительного завода (с 1937 г. – «завод №183») назначен М.И. Кошкин – человек с большим опытом организационной работы.</t>
        </is>
      </c>
      <c r="L3167" s="2" t="inlineStr">
        <is>
          <t>Кино_СССР сводный каталог.xlsx: список телефильмов</t>
        </is>
      </c>
      <c r="M3167" s="2">
        <f>HYPERLINK("https://ru.wikipedia.org/w/index.php?search=%D0%93%D0%BB%D0%B0%D0%B2%D0%BD%D1%8B%D0%B9%20%D0%BA%D0%BE%D0%BD%D1%81%D1%82%D1%80%D1%83%D0%BA%D1%82%D0%BE%D1%80%201980%20%D1%84%D0%B8%D0%BB%D1%8C%D0%BC","искать")</f>
        <v/>
      </c>
      <c r="N3167" s="3" t="n"/>
      <c r="O3167" s="2" t="n"/>
    </row>
    <row r="3168">
      <c r="A3168" s="2" t="n">
        <v>3167</v>
      </c>
      <c r="B3168" s="2" t="inlineStr"/>
      <c r="C3168" s="2" t="n">
        <v>7599</v>
      </c>
      <c r="D3168" s="3" t="inlineStr">
        <is>
          <t>Жизнь и приключения четырёх друзей</t>
        </is>
      </c>
      <c r="E3168" s="2" t="n">
        <v>1980</v>
      </c>
      <c r="F3168" s="2" t="inlineStr">
        <is>
          <t>телефильм</t>
        </is>
      </c>
      <c r="G3168" s="2" t="n"/>
      <c r="H3168" s="2" t="n">
        <v>322</v>
      </c>
      <c r="I3168" s="2" t="inlineStr"/>
      <c r="J3168" s="2" t="inlineStr"/>
      <c r="K3168" s="3" t="inlineStr">
        <is>
          <t>Удивительные похождения четырех друзей - трех собак: овчарки Фрамы, эрделя Бубрика, дворняги Тошки и кота Светофора. Хозяин овчарки Фрама и эрделя Бубрика уезжает в командировку на Север. Двум друзьям-псам приходится переехать на время к дворняжке Тошке и коту Светофору, которые не очень любезно принимают вначале гостей.</t>
        </is>
      </c>
      <c r="L3168" s="2" t="inlineStr">
        <is>
          <t>Кино_СССР сводный каталог.xlsx: список телефильмов</t>
        </is>
      </c>
      <c r="M3168" s="2">
        <f>HYPERLINK("https://ru.wikipedia.org/w/index.php?search=%D0%96%D0%B8%D0%B7%D0%BD%D1%8C%20%D0%B8%20%D0%BF%D1%80%D0%B8%D0%BA%D0%BB%D1%8E%D1%87%D0%B5%D0%BD%D0%B8%D1%8F%20%D1%87%D0%B5%D1%82%D1%8B%D1%80%D1%91%D1%85%20%D0%B4%D1%80%D1%83%D0%B7%D0%B5%D0%B9%201980%20%D1%84%D0%B8%D0%BB%D1%8C%D0%BC","искать")</f>
        <v/>
      </c>
      <c r="N3168" s="3" t="n"/>
      <c r="O3168" s="2" t="n"/>
    </row>
    <row r="3169">
      <c r="A3169" s="2" t="n">
        <v>3168</v>
      </c>
      <c r="B3169" s="2" t="inlineStr"/>
      <c r="C3169" s="2" t="n">
        <v>7850</v>
      </c>
      <c r="D3169" s="3" t="inlineStr">
        <is>
          <t>Марица</t>
        </is>
      </c>
      <c r="E3169" s="2" t="n">
        <v>1985</v>
      </c>
      <c r="F3169" s="2" t="inlineStr">
        <is>
          <t>телефильм</t>
        </is>
      </c>
      <c r="G3169" s="2" t="n"/>
      <c r="H3169" s="2" t="n">
        <v>322</v>
      </c>
      <c r="I3169" s="2" t="inlineStr"/>
      <c r="J3169" s="2" t="inlineStr"/>
      <c r="K3169" s="3" t="inlineStr">
        <is>
          <t>Телефильм по одноименной оперетте Имре Кальмана. Молодая состоятельная вдова Марица – лакомый кусочек для охотников за богатыми невестами. Чтобы раз и навсегда отвадить "женихов", Марица называет женихом первое попавшееся имя . Но оказывается, что человек с таким именем уже есть, и вот он уже радостно спешит к "невесте".</t>
        </is>
      </c>
      <c r="L3169" s="2" t="inlineStr">
        <is>
          <t>Кино_СССР сводный каталог.xlsx: список телефильмов</t>
        </is>
      </c>
      <c r="M3169" s="2">
        <f>HYPERLINK("https://ru.wikipedia.org/w/index.php?search=%D0%9C%D0%B0%D1%80%D0%B8%D1%86%D0%B0%201985%20%D1%84%D0%B8%D0%BB%D1%8C%D0%BC","искать")</f>
        <v/>
      </c>
      <c r="N3169" s="3" t="n"/>
      <c r="O3169" s="2" t="n"/>
    </row>
    <row r="3170">
      <c r="A3170" s="2" t="n">
        <v>3169</v>
      </c>
      <c r="B3170" s="2" t="inlineStr"/>
      <c r="C3170" s="2" t="n">
        <v>8102</v>
      </c>
      <c r="D3170" s="3" t="inlineStr">
        <is>
          <t>Перикола</t>
        </is>
      </c>
      <c r="E3170" s="2" t="n">
        <v>1984</v>
      </c>
      <c r="F3170" s="2" t="inlineStr">
        <is>
          <t>фильм-опера/балет</t>
        </is>
      </c>
      <c r="G3170" s="2" t="n"/>
      <c r="H3170" s="2" t="n">
        <v>322</v>
      </c>
      <c r="I3170" s="2" t="inlineStr"/>
      <c r="J3170" s="2" t="inlineStr"/>
      <c r="K3170" s="3" t="inlineStr">
        <is>
          <t>Телефильм по одноименной опере-буфф Жака Оффенбаха. Действие происходит в ХVIII веке в южноамериканской стране Перу, завоеванной испанцами. Уличные артисты Перикола и Пикильо играют и поют прямо на площади. Они спят где придется, едят что попало. Они по существу нищие. Вице-король Перу дон Андреас-Рибейра не блещет умом.</t>
        </is>
      </c>
      <c r="L3170" s="2" t="inlineStr">
        <is>
          <t>Кино_СССР сводный каталог.xlsx: список телефильмов</t>
        </is>
      </c>
      <c r="M3170" s="2">
        <f>HYPERLINK("https://ru.wikipedia.org/w/index.php?search=%D0%9F%D0%B5%D1%80%D0%B8%D0%BA%D0%BE%D0%BB%D0%B0%201984%20%D1%84%D0%B8%D0%BB%D1%8C%D0%BC","искать")</f>
        <v/>
      </c>
      <c r="N3170" s="3" t="n"/>
      <c r="O3170" s="2" t="n"/>
    </row>
    <row r="3171">
      <c r="A3171" s="2" t="n">
        <v>3170</v>
      </c>
      <c r="B3171" s="2" t="inlineStr"/>
      <c r="C3171" s="2" t="n">
        <v>8271</v>
      </c>
      <c r="D3171" s="3" t="inlineStr">
        <is>
          <t>Репетитор</t>
        </is>
      </c>
      <c r="E3171" s="2" t="n">
        <v>1987</v>
      </c>
      <c r="F3171" s="2" t="inlineStr">
        <is>
          <t>телефильм</t>
        </is>
      </c>
      <c r="G3171" s="2" t="n"/>
      <c r="H3171" s="2" t="n">
        <v>322</v>
      </c>
      <c r="I3171" s="2" t="inlineStr"/>
      <c r="J3171" s="2" t="inlineStr"/>
      <c r="K3171" s="3" t="inlineStr">
        <is>
          <t>По одноименной пьесе Георгия Полонского. Действие фильма происходит в небольшом приморском городке. Юная Катя Батистова работает матросом на спасательной станции. Здесь и происходит ее знакомство с 26-летним философом из Москвы Евгением, который отдыхает в Доме творчества вместе с бабушкой, знаменитой в прошлом актрисой.</t>
        </is>
      </c>
      <c r="L3171" s="2" t="inlineStr">
        <is>
          <t>Кино_СССР сводный каталог.xlsx: список телефильмов</t>
        </is>
      </c>
      <c r="M3171" s="2">
        <f>HYPERLINK("https://ru.wikipedia.org/w/index.php?search=%D0%A0%D0%B5%D0%BF%D0%B5%D1%82%D0%B8%D1%82%D0%BE%D1%80%201987%20%D1%84%D0%B8%D0%BB%D1%8C%D0%BC","искать")</f>
        <v/>
      </c>
      <c r="N3171" s="3" t="n"/>
      <c r="O3171" s="2" t="n"/>
    </row>
    <row r="3172">
      <c r="A3172" s="2" t="n">
        <v>3171</v>
      </c>
      <c r="B3172" s="2" t="inlineStr"/>
      <c r="C3172" s="2" t="n">
        <v>8342</v>
      </c>
      <c r="D3172" s="3" t="inlineStr">
        <is>
          <t>Сибирь</t>
        </is>
      </c>
      <c r="E3172" s="2" t="n">
        <v>1976</v>
      </c>
      <c r="F3172" s="2" t="inlineStr">
        <is>
          <t>телефильм</t>
        </is>
      </c>
      <c r="G3172" s="2" t="n"/>
      <c r="H3172" s="2" t="n">
        <v>322</v>
      </c>
      <c r="I3172" s="2" t="inlineStr"/>
      <c r="J3172" s="2" t="inlineStr"/>
      <c r="K3172" s="3" t="inlineStr">
        <is>
          <t>Телесериал по одноименному роману Георгия Маркова. 1914-й год. Молодой ученый – Иван Акимов, племянник профессора Лихачева – бежит из нарымской ссылки. Интересы дела требуют от него незамедлительной поездки в Стокгольм, чтобы уберечь для будущего России уникальные труды Лихачева об использовании богатств сибирского края.</t>
        </is>
      </c>
      <c r="L3172" s="2" t="inlineStr">
        <is>
          <t>Кино_СССР сводный каталог.xlsx: список телефильмов</t>
        </is>
      </c>
      <c r="M3172" s="2">
        <f>HYPERLINK("https://ru.wikipedia.org/w/index.php?search=%D0%A1%D0%B8%D0%B1%D0%B8%D1%80%D1%8C%201976%20%D1%84%D0%B8%D0%BB%D1%8C%D0%BC","искать")</f>
        <v/>
      </c>
      <c r="N3172" s="3" t="n"/>
      <c r="O3172" s="2" t="n"/>
    </row>
    <row r="3173">
      <c r="A3173" s="2" t="n">
        <v>3172</v>
      </c>
      <c r="B3173" s="2" t="inlineStr"/>
      <c r="C3173" s="2" t="n">
        <v>8519</v>
      </c>
      <c r="D3173" s="3" t="inlineStr">
        <is>
          <t>Фуфель</t>
        </is>
      </c>
      <c r="E3173" s="2" t="n">
        <v>1990</v>
      </c>
      <c r="F3173" s="2" t="inlineStr">
        <is>
          <t>телефильм</t>
        </is>
      </c>
      <c r="G3173" s="2" t="inlineStr">
        <is>
          <t>Укртелефильм; ВТО «Лыбидь»</t>
        </is>
      </c>
      <c r="H3173" s="2" t="n">
        <v>322</v>
      </c>
      <c r="I3173" s="2" t="inlineStr"/>
      <c r="J3173" s="2" t="inlineStr"/>
      <c r="K3173" s="3" t="inlineStr">
        <is>
          <t>Действие фильма происходит в 90-е годы, в одном из тех городов, которые было принято называть "всесоюзными здравницами". Выйдя из тюрьмы, где он сидел за изготовление "фуфелей" (копий картин), парень решает начать честную жизнь. Но мафия не хочет терять хорошего специалиста и знакомит его с танцовщицей из ночного кабаре.</t>
        </is>
      </c>
      <c r="L3173" s="2" t="inlineStr">
        <is>
          <t>Кино_СССР сводный каталог.xlsx: список телефильмов</t>
        </is>
      </c>
      <c r="M3173" s="2">
        <f>HYPERLINK("https://ru.wikipedia.org/w/index.php?search=%D0%A4%D1%83%D1%84%D0%B5%D0%BB%D1%8C%201990%20%D1%84%D0%B8%D0%BB%D1%8C%D0%BC","искать")</f>
        <v/>
      </c>
      <c r="N3173" s="3" t="n"/>
      <c r="O3173" s="2" t="n"/>
    </row>
    <row r="3174">
      <c r="A3174" s="2" t="n">
        <v>3173</v>
      </c>
      <c r="B3174" s="2" t="inlineStr"/>
      <c r="C3174" s="2" t="n">
        <v>9005</v>
      </c>
      <c r="D3174" s="3" t="inlineStr">
        <is>
          <t>Разлучница</t>
        </is>
      </c>
      <c r="E3174" s="2" t="n">
        <v>1991</v>
      </c>
      <c r="F3174" s="2" t="inlineStr">
        <is>
          <t>кинофильм</t>
        </is>
      </c>
      <c r="G3174" s="2" t="n"/>
      <c r="H3174" s="2" t="n">
        <v>322</v>
      </c>
      <c r="I3174" s="2" t="inlineStr"/>
      <c r="J3174" s="2" t="inlineStr"/>
      <c r="K3174" s="3" t="inlineStr">
        <is>
          <t>Сюжетную канву фильма составляет драматический конфликт между двумя братьями. Адиль влюбляется в девушку, которую любит его старший брат Рустем. Эля отвечает взаимностью Адилю. Сложные душевные переживания и внутренняя психологическая борьба в «треугольнике» завершается трагически: старший брат убивает свою возлюбленную.</t>
        </is>
      </c>
      <c r="L3174" s="2" t="inlineStr">
        <is>
          <t>Кино_СССР сводный каталог.xlsx: список фильмов (доп.)</t>
        </is>
      </c>
      <c r="M3174" s="2">
        <f>HYPERLINK("https://ru.wikipedia.org/w/index.php?search=%D0%A0%D0%B0%D0%B7%D0%BB%D1%83%D1%87%D0%BD%D0%B8%D1%86%D0%B0%201991%20%D1%84%D0%B8%D0%BB%D1%8C%D0%BC","искать")</f>
        <v/>
      </c>
      <c r="N3174" s="3" t="n"/>
      <c r="O3174" s="2" t="n"/>
    </row>
    <row r="3175">
      <c r="A3175" s="2" t="n">
        <v>3174</v>
      </c>
      <c r="B3175" s="2" t="inlineStr"/>
      <c r="C3175" s="2" t="n">
        <v>9404</v>
      </c>
      <c r="D3175" s="3" t="inlineStr">
        <is>
          <t>Как живёте, караси?</t>
        </is>
      </c>
      <c r="E3175" s="2" t="n">
        <v>1991</v>
      </c>
      <c r="F3175" s="2" t="inlineStr">
        <is>
          <t>кинофильм</t>
        </is>
      </c>
      <c r="G3175" s="2" t="n"/>
      <c r="H3175" s="2" t="n">
        <v>322</v>
      </c>
      <c r="I3175" s="2" t="inlineStr"/>
      <c r="J3175" s="2" t="inlineStr"/>
      <c r="K3175" s="3" t="inlineStr">
        <is>
          <t>Отставной полковник КГБ, собрав на своей даче картотеку людей, сотрудничавших в прежние годы с Комитетом, снова вызывает их, перестроившихся, к себе и заставляет выполнять определенные поручения. Но и на него находятся акулы покрупнее — представители мафии, догадавшиеся, какой куш можно теперь содрать с бывших «карасей».</t>
        </is>
      </c>
      <c r="L3175" s="2" t="inlineStr">
        <is>
          <t>Кино_СССР сводный каталог.xlsx: список фильмов (доп.)</t>
        </is>
      </c>
      <c r="M3175" s="2">
        <f>HYPERLINK("https://ru.wikipedia.org/w/index.php?search=%D0%9A%D0%B0%D0%BA%20%D0%B6%D0%B8%D0%B2%D1%91%D1%82%D0%B5%2C%20%D0%BA%D0%B0%D1%80%D0%B0%D1%81%D0%B8%3F%201991%20%D1%84%D0%B8%D0%BB%D1%8C%D0%BC","искать")</f>
        <v/>
      </c>
      <c r="N3175" s="3" t="n"/>
      <c r="O3175" s="2" t="n"/>
    </row>
    <row r="3176">
      <c r="A3176" s="2" t="n">
        <v>3175</v>
      </c>
      <c r="B3176" s="2" t="inlineStr"/>
      <c r="C3176" s="2" t="n">
        <v>9791</v>
      </c>
      <c r="D3176" s="3" t="inlineStr">
        <is>
          <t>Загадка Н.Ф.И.</t>
        </is>
      </c>
      <c r="E3176" s="2" t="n">
        <v>1959</v>
      </c>
      <c r="F3176" s="2" t="inlineStr">
        <is>
          <t>телефильм</t>
        </is>
      </c>
      <c r="G3176" s="2" t="inlineStr">
        <is>
          <t>Ленфильм</t>
        </is>
      </c>
      <c r="H3176" s="2" t="n">
        <v>322</v>
      </c>
      <c r="I3176" s="2" t="inlineStr"/>
      <c r="J3176" s="2" t="inlineStr"/>
      <c r="K3176" s="3" t="inlineStr">
        <is>
          <t>Выдающийся исследователь и ученый Ираклий Андроников рассказывает в телефильме о своих поисках лермонтовских мест на Кавказе и имени женщины, которой под инициалами Н.Ф.И. Лермонтов посвятил много стихотворений. Ею оказалась Наталья Фёдоровна Иванова, в замужестве Обрескова, в которую был страстно влюблён 17-летний поэт.</t>
        </is>
      </c>
      <c r="L3176" s="2" t="inlineStr">
        <is>
          <t>https://www.kino-teatr.ru/kino/movie/sov/84274/annot/</t>
        </is>
      </c>
      <c r="M3176" s="2">
        <f>HYPERLINK("https://ru.wikipedia.org/w/index.php?search=%D0%97%D0%B0%D0%B3%D0%B0%D0%B4%D0%BA%D0%B0%20%D0%9D.%D0%A4.%D0%98.%201959%20%D1%84%D0%B8%D0%BB%D1%8C%D0%BC","искать")</f>
        <v/>
      </c>
      <c r="N3176" s="3" t="n"/>
      <c r="O3176" s="2" t="n"/>
    </row>
    <row r="3177">
      <c r="A3177" s="2" t="n">
        <v>3176</v>
      </c>
      <c r="B3177" s="2" t="inlineStr"/>
      <c r="C3177" s="2" t="n">
        <v>9983</v>
      </c>
      <c r="D3177" s="3" t="inlineStr">
        <is>
          <t>Геометрия для малышей (1981-1983)</t>
        </is>
      </c>
      <c r="E3177" s="2" t="n">
        <v>1981</v>
      </c>
      <c r="F3177" s="2" t="inlineStr">
        <is>
          <t>не игровое</t>
        </is>
      </c>
      <c r="G3177" s="2" t="inlineStr">
        <is>
          <t>Новосибирсктелефильм</t>
        </is>
      </c>
      <c r="H3177" s="2" t="n">
        <v>322</v>
      </c>
      <c r="I3177" s="2" t="inlineStr"/>
      <c r="J3177" s="2" t="inlineStr"/>
      <c r="K3177" s="3" t="inlineStr">
        <is>
          <t>Цикл короткометражных телефильмов «Геометрия для малышей» в легкой игровой форме рассказывает малышам об основных понятиях раздела математики - геометрии, науке древней и очень необходимой в жизни. На простых примерах малышам объяснят основные понятия геометрии, потому что в действительности она присутствует повсеместно.</t>
        </is>
      </c>
      <c r="L3177" s="2" t="inlineStr">
        <is>
          <t>https://www.kino-teatr.ru/short/movie/sov/175393/annot/</t>
        </is>
      </c>
      <c r="M3177" s="2">
        <f>HYPERLINK("https://ru.wikipedia.org/w/index.php?search=%D0%93%D0%B5%D0%BE%D0%BC%D0%B5%D1%82%D1%80%D0%B8%D1%8F%20%D0%B4%D0%BB%D1%8F%20%D0%BC%D0%B0%D0%BB%D1%8B%D1%88%D0%B5%D0%B9%20%281981-1983%29%201981%20%D1%84%D0%B8%D0%BB%D1%8C%D0%BC","искать")</f>
        <v/>
      </c>
      <c r="N3177" s="3" t="n"/>
      <c r="O3177" s="2" t="n"/>
    </row>
    <row r="3178">
      <c r="A3178" s="2" t="n">
        <v>3177</v>
      </c>
      <c r="B3178" s="2" t="inlineStr"/>
      <c r="C3178" s="2" t="n">
        <v>7421</v>
      </c>
      <c r="D3178" s="3" t="inlineStr">
        <is>
          <t>Вылет задерживается</t>
        </is>
      </c>
      <c r="E3178" s="2" t="n">
        <v>1974</v>
      </c>
      <c r="F3178" s="2" t="inlineStr">
        <is>
          <t>телефильм</t>
        </is>
      </c>
      <c r="G3178" s="2" t="n"/>
      <c r="H3178" s="2" t="n">
        <v>323</v>
      </c>
      <c r="I3178" s="2" t="inlineStr"/>
      <c r="J3178" s="2" t="inlineStr"/>
      <c r="K3178" s="3" t="inlineStr">
        <is>
          <t>По мотивам пьесы Веры Пановой «Сколько лет, сколько зим!» Случайная встреча Ольги и Сергея возвращает их к минувшим дням молодости. Во время войны они любили друг друга, но, демобилизовавшись из армии, Сергей не захотел связывать себя женитьбой, полагая, что это может помешать ему закончить институт и утвердиться в жизни.</t>
        </is>
      </c>
      <c r="L3178" s="2" t="inlineStr">
        <is>
          <t>Кино_СССР сводный каталог.xlsx: список телефильмов</t>
        </is>
      </c>
      <c r="M3178" s="2">
        <f>HYPERLINK("https://ru.wikipedia.org/w/index.php?search=%D0%92%D1%8B%D0%BB%D0%B5%D1%82%20%D0%B7%D0%B0%D0%B4%D0%B5%D1%80%D0%B6%D0%B8%D0%B2%D0%B0%D0%B5%D1%82%D1%81%D1%8F%201974%20%D1%84%D0%B8%D0%BB%D1%8C%D0%BC","искать")</f>
        <v/>
      </c>
      <c r="N3178" s="3" t="n"/>
      <c r="O3178" s="2" t="n"/>
    </row>
    <row r="3179">
      <c r="A3179" s="2" t="n">
        <v>3178</v>
      </c>
      <c r="B3179" s="2" t="inlineStr"/>
      <c r="C3179" s="2" t="n">
        <v>7867</v>
      </c>
      <c r="D3179" s="3" t="inlineStr">
        <is>
          <t>Мера пресечения</t>
        </is>
      </c>
      <c r="E3179" s="2" t="n">
        <v>1983</v>
      </c>
      <c r="F3179" s="2" t="inlineStr">
        <is>
          <t>телефильм</t>
        </is>
      </c>
      <c r="G3179" s="2" t="inlineStr">
        <is>
          <t>«Лентелефильм»</t>
        </is>
      </c>
      <c r="H3179" s="2" t="n">
        <v>323</v>
      </c>
      <c r="I3179" s="2" t="inlineStr"/>
      <c r="J3179" s="2" t="inlineStr"/>
      <c r="K3179" s="3" t="inlineStr">
        <is>
          <t>По мотивам одноименной повести В.Добровольского. Идет судебное заседание. Разбираются факты нарушений и хищений на небольшом комбинате. Всю вину на себя берет главный инженер предприятия Чистухин. Директор комбината, на первый взгляд, кажется непричастной к преступлению. Постепенно мы понимаем, что она – не чиста на руку.</t>
        </is>
      </c>
      <c r="L3179" s="2" t="inlineStr">
        <is>
          <t>Кино_СССР сводный каталог.xlsx: список телефильмов</t>
        </is>
      </c>
      <c r="M3179" s="2">
        <f>HYPERLINK("https://ru.wikipedia.org/w/index.php?search=%D0%9C%D0%B5%D1%80%D0%B0%20%D0%BF%D1%80%D0%B5%D1%81%D0%B5%D1%87%D0%B5%D0%BD%D0%B8%D1%8F%201983%20%D1%84%D0%B8%D0%BB%D1%8C%D0%BC","искать")</f>
        <v/>
      </c>
      <c r="N3179" s="3" t="n"/>
      <c r="O3179" s="2" t="n"/>
    </row>
    <row r="3180">
      <c r="A3180" s="2" t="n">
        <v>3179</v>
      </c>
      <c r="B3180" s="2" t="inlineStr"/>
      <c r="C3180" s="2" t="n">
        <v>7944</v>
      </c>
      <c r="D3180" s="3" t="inlineStr">
        <is>
          <t>Найди свой дом</t>
        </is>
      </c>
      <c r="E3180" s="2" t="n">
        <v>1982</v>
      </c>
      <c r="F3180" s="2" t="inlineStr">
        <is>
          <t>телефильм</t>
        </is>
      </c>
      <c r="G3180" s="2" t="n"/>
      <c r="H3180" s="2" t="n">
        <v>323</v>
      </c>
      <c r="I3180" s="2" t="inlineStr"/>
      <c r="J3180" s="2" t="inlineStr"/>
      <c r="K3180" s="3" t="inlineStr">
        <is>
          <t>Телефильм. Бесшабашный студент ПТУ Сеня Башкин направляется на практику в то самое село, где он воспитывался в детском доме. Парень пытается разыскать родных, и, хотя эти поиски не увенчались успехом, Сеня встречает добрых и отзывчивых людей, получает хороший жизненный урок и возвращается на учебу совсем другим человеком.</t>
        </is>
      </c>
      <c r="L3180" s="2" t="inlineStr">
        <is>
          <t>Кино_СССР сводный каталог.xlsx: список телефильмов</t>
        </is>
      </c>
      <c r="M3180" s="2">
        <f>HYPERLINK("https://ru.wikipedia.org/w/index.php?search=%D0%9D%D0%B0%D0%B9%D0%B4%D0%B8%20%D1%81%D0%B2%D0%BE%D0%B9%20%D0%B4%D0%BE%D0%BC%201982%20%D1%84%D0%B8%D0%BB%D1%8C%D0%BC","искать")</f>
        <v/>
      </c>
      <c r="N3180" s="3" t="n"/>
      <c r="O3180" s="2" t="n"/>
    </row>
    <row r="3181">
      <c r="A3181" s="2" t="n">
        <v>3180</v>
      </c>
      <c r="B3181" s="2" t="inlineStr"/>
      <c r="C3181" s="2" t="n">
        <v>8318</v>
      </c>
      <c r="D3181" s="3" t="inlineStr">
        <is>
          <t>Сеанс одновременной игры</t>
        </is>
      </c>
      <c r="E3181" s="2" t="n">
        <v>1982</v>
      </c>
      <c r="F3181" s="2" t="inlineStr">
        <is>
          <t>телефильм</t>
        </is>
      </c>
      <c r="G3181" s="2" t="n"/>
      <c r="H3181" s="2" t="n">
        <v>323</v>
      </c>
      <c r="I3181" s="2" t="inlineStr"/>
      <c r="J3181" s="2" t="inlineStr"/>
      <c r="K3181" s="3" t="inlineStr">
        <is>
          <t>Молодому шофёру такси, Фоме Багрову, подвернулось выгодное дельце: перегнать на Кавказ новую "Волгу". Обманув своего начальника, Фома оформляет несколько дней за свой счет, и отправляется в путешествие. По дороге, рискуя жизнью, он спасает от катастрофы автобус с детьми, но при этом "Волга" получает серьёзные повреждения.</t>
        </is>
      </c>
      <c r="L3181" s="2" t="inlineStr">
        <is>
          <t>Кино_СССР сводный каталог.xlsx: список телефильмов</t>
        </is>
      </c>
      <c r="M3181" s="2">
        <f>HYPERLINK("https://ru.wikipedia.org/w/index.php?search=%D0%A1%D0%B5%D0%B0%D0%BD%D1%81%20%D0%BE%D0%B4%D0%BD%D0%BE%D0%B2%D1%80%D0%B5%D0%BC%D0%B5%D0%BD%D0%BD%D0%BE%D0%B9%20%D0%B8%D0%B3%D1%80%D1%8B%201982%20%D1%84%D0%B8%D0%BB%D1%8C%D0%BC","искать")</f>
        <v/>
      </c>
      <c r="N3181" s="3" t="n"/>
      <c r="O3181" s="2" t="n"/>
    </row>
    <row r="3182">
      <c r="A3182" s="2" t="n">
        <v>3181</v>
      </c>
      <c r="B3182" s="2" t="inlineStr"/>
      <c r="C3182" s="2" t="n">
        <v>8546</v>
      </c>
      <c r="D3182" s="3" t="inlineStr">
        <is>
          <t>Человек в проходном дворе</t>
        </is>
      </c>
      <c r="E3182" s="2" t="n">
        <v>1971</v>
      </c>
      <c r="F3182" s="2" t="inlineStr">
        <is>
          <t>телефильм</t>
        </is>
      </c>
      <c r="G3182" s="2" t="n"/>
      <c r="H3182" s="2" t="n">
        <v>323</v>
      </c>
      <c r="I3182" s="2" t="inlineStr"/>
      <c r="J3182" s="2" t="inlineStr"/>
      <c r="K3182" s="3" t="inlineStr">
        <is>
          <t>По одноименной повести Дмитрия Тарасенкова. Убитого в проходном дворе Григория Михайловича Юшкова считали погибшим в годы Великой Отечественной войны. В те же годы при странных обстоятельствах был уничтожен партизанский отряд и все городское подполье. Их предал человек по кличке "Кентавр", которого так и не удалось найти.</t>
        </is>
      </c>
      <c r="L3182" s="2" t="inlineStr">
        <is>
          <t>Кино_СССР сводный каталог.xlsx: список телефильмов</t>
        </is>
      </c>
      <c r="M3182" s="2">
        <f>HYPERLINK("https://ru.wikipedia.org/w/index.php?search=%D0%A7%D0%B5%D0%BB%D0%BE%D0%B2%D0%B5%D0%BA%20%D0%B2%20%D0%BF%D1%80%D0%BE%D1%85%D0%BE%D0%B4%D0%BD%D0%BE%D0%BC%20%D0%B4%D0%B2%D0%BE%D1%80%D0%B5%201971%20%D1%84%D0%B8%D0%BB%D1%8C%D0%BC","искать")</f>
        <v/>
      </c>
      <c r="N3182" s="3" t="n"/>
      <c r="O3182" s="2" t="n"/>
    </row>
    <row r="3183">
      <c r="A3183" s="2" t="n">
        <v>3182</v>
      </c>
      <c r="B3183" s="2" t="inlineStr"/>
      <c r="C3183" s="2" t="n">
        <v>9086</v>
      </c>
      <c r="D3183" s="3" t="inlineStr">
        <is>
          <t>Тайна золотого брегета</t>
        </is>
      </c>
      <c r="E3183" s="2" t="n">
        <v>1988</v>
      </c>
      <c r="F3183" s="2" t="inlineStr">
        <is>
          <t>кинофильм</t>
        </is>
      </c>
      <c r="G3183" s="2" t="n"/>
      <c r="H3183" s="2" t="n">
        <v>323</v>
      </c>
      <c r="I3183" s="2" t="inlineStr"/>
      <c r="J3183" s="2" t="inlineStr"/>
      <c r="K3183" s="3" t="inlineStr">
        <is>
          <t>Действие фильма происходит во время гражданской войны. Отряд красноармейцев попадает в засаду, откуда выбраться может только мальчик Ашот. Комиссар дает ему ответственное поручение - перебраться через горный перевал и передать часовщику золотой брегет с шифровкой. Ашот, преодолев все опасности, с честью выполняет задание.</t>
        </is>
      </c>
      <c r="L3183" s="2" t="inlineStr">
        <is>
          <t>Кино_СССР сводный каталог.xlsx: список фильмов (доп.)</t>
        </is>
      </c>
      <c r="M3183" s="2">
        <f>HYPERLINK("https://ru.wikipedia.org/w/index.php?search=%D0%A2%D0%B0%D0%B9%D0%BD%D0%B0%20%D0%B7%D0%BE%D0%BB%D0%BE%D1%82%D0%BE%D0%B3%D0%BE%20%D0%B1%D1%80%D0%B5%D0%B3%D0%B5%D1%82%D0%B0%201988%20%D1%84%D0%B8%D0%BB%D1%8C%D0%BC","искать")</f>
        <v/>
      </c>
      <c r="N3183" s="3" t="n"/>
      <c r="O3183" s="2" t="n"/>
    </row>
    <row r="3184">
      <c r="A3184" s="2" t="n">
        <v>3183</v>
      </c>
      <c r="B3184" s="2" t="inlineStr"/>
      <c r="C3184" s="2" t="n">
        <v>9224</v>
      </c>
      <c r="D3184" s="3" t="inlineStr">
        <is>
          <t>Без правосудия</t>
        </is>
      </c>
      <c r="E3184" s="2" t="n">
        <v>1991</v>
      </c>
      <c r="F3184" s="2" t="inlineStr">
        <is>
          <t>кинофильм</t>
        </is>
      </c>
      <c r="G3184" s="2" t="inlineStr">
        <is>
          <t>Киностудия им. Горького, киностудия «Зодиак»</t>
        </is>
      </c>
      <c r="H3184" s="2" t="n">
        <v>323</v>
      </c>
      <c r="I3184" s="2" t="inlineStr"/>
      <c r="J3184" s="2" t="inlineStr"/>
      <c r="K3184" s="3" t="inlineStr">
        <is>
          <t>По роману Инны Булгаковой "Соня, бессонница, сон или Призраки Мыльного переулка". Субботним утром в своей квартире были зверски убиты мать и дочь. С последней убийца обошелся жестоко - ее лицо было изуродовано до неузнаваемости. Пропавшая вещь - старинный крест с черным жемчугом - была найдена у одного из знакомых убитой.</t>
        </is>
      </c>
      <c r="L3184" s="2" t="inlineStr">
        <is>
          <t>Кино_СССР сводный каталог.xlsx: список фильмов (доп.)</t>
        </is>
      </c>
      <c r="M3184" s="2">
        <f>HYPERLINK("https://ru.wikipedia.org/w/index.php?search=%D0%91%D0%B5%D0%B7%20%D0%BF%D1%80%D0%B0%D0%B2%D0%BE%D1%81%D1%83%D0%B4%D0%B8%D1%8F%201991%20%D1%84%D0%B8%D0%BB%D1%8C%D0%BC","искать")</f>
        <v/>
      </c>
      <c r="N3184" s="3" t="n"/>
      <c r="O3184" s="2" t="n"/>
    </row>
    <row r="3185">
      <c r="A3185" s="2" t="n">
        <v>3184</v>
      </c>
      <c r="B3185" s="2" t="inlineStr"/>
      <c r="C3185" s="2" t="n">
        <v>9328</v>
      </c>
      <c r="D3185" s="3" t="inlineStr">
        <is>
          <t>Делай - раз!</t>
        </is>
      </c>
      <c r="E3185" s="2" t="n">
        <v>1990</v>
      </c>
      <c r="F3185" s="2" t="inlineStr">
        <is>
          <t>кинофильм</t>
        </is>
      </c>
      <c r="G3185" s="2" t="n"/>
      <c r="H3185" s="2" t="n">
        <v>323</v>
      </c>
      <c r="I3185" s="2" t="inlineStr"/>
      <c r="J3185" s="2" t="inlineStr"/>
      <c r="K3185" s="3" t="inlineStr">
        <is>
          <t>Новобранец Алексей попадает в часть, где все подчиняются законам "дедовщины". Но он не желает уступать тупой силе. У Алексея появляется единомышленник. Не сумев сломить строптивцев, "деды" избивают его друга. В ответ на это Алексей крадет ключи от оружейного склада и с оружием в руках заставляет их выполнять свои приказы.</t>
        </is>
      </c>
      <c r="L3185" s="2" t="inlineStr">
        <is>
          <t>Кино_СССР сводный каталог.xlsx: список фильмов (доп.)</t>
        </is>
      </c>
      <c r="M3185" s="2">
        <f>HYPERLINK("https://ru.wikipedia.org/w/index.php?search=%D0%94%D0%B5%D0%BB%D0%B0%D0%B9%20-%20%D1%80%D0%B0%D0%B7%21%201990%20%D1%84%D0%B8%D0%BB%D1%8C%D0%BC","искать")</f>
        <v/>
      </c>
      <c r="N3185" s="3" t="n"/>
      <c r="O3185" s="2" t="n"/>
    </row>
    <row r="3186">
      <c r="A3186" s="2" t="n">
        <v>3185</v>
      </c>
      <c r="B3186" s="2" t="inlineStr"/>
      <c r="C3186" s="2" t="n">
        <v>9369</v>
      </c>
      <c r="D3186" s="3" t="inlineStr">
        <is>
          <t>Заложница</t>
        </is>
      </c>
      <c r="E3186" s="2" t="n">
        <v>1990</v>
      </c>
      <c r="F3186" s="2" t="inlineStr">
        <is>
          <t>кинофильм</t>
        </is>
      </c>
      <c r="G3186" s="2" t="n"/>
      <c r="H3186" s="2" t="n">
        <v>323</v>
      </c>
      <c r="I3186" s="2" t="inlineStr"/>
      <c r="J3186" s="2" t="inlineStr"/>
      <c r="K3186" s="3" t="inlineStr">
        <is>
          <t>Бежавший из колонии преступник захватывает в качестве заложницы девушку и вместе с ней направляется к границе. Но пока милиция не успокоится, он решает на какое-то время затаиться в охотничьем домике, находящемся в горной лощине. Проходит время -и она начинает видеть в нем не преступника, а отчаявшегося близкого человека.</t>
        </is>
      </c>
      <c r="L3186" s="2" t="inlineStr">
        <is>
          <t>Кино_СССР сводный каталог.xlsx: список фильмов (доп.)</t>
        </is>
      </c>
      <c r="M3186" s="2">
        <f>HYPERLINK("https://ru.wikipedia.org/w/index.php?search=%D0%97%D0%B0%D0%BB%D0%BE%D0%B6%D0%BD%D0%B8%D1%86%D0%B0%201990%20%D1%84%D0%B8%D0%BB%D1%8C%D0%BC","искать")</f>
        <v/>
      </c>
      <c r="N3186" s="3" t="n"/>
      <c r="O3186" s="2" t="n"/>
    </row>
    <row r="3187">
      <c r="A3187" s="2" t="n">
        <v>3186</v>
      </c>
      <c r="B3187" s="2" t="inlineStr"/>
      <c r="C3187" s="2" t="n">
        <v>9453</v>
      </c>
      <c r="D3187" s="3" t="inlineStr">
        <is>
          <t>Лестница</t>
        </is>
      </c>
      <c r="E3187" s="2" t="n">
        <v>1989</v>
      </c>
      <c r="F3187" s="2" t="inlineStr">
        <is>
          <t>кинофильм</t>
        </is>
      </c>
      <c r="G3187" s="2" t="n"/>
      <c r="H3187" s="2" t="n">
        <v>323</v>
      </c>
      <c r="I3187" s="2" t="inlineStr"/>
      <c r="J3187" s="2" t="inlineStr"/>
      <c r="K3187" s="3" t="inlineStr">
        <is>
          <t>По повести Александра Житинского. Герой фильма Владимир Пирошников в поисках выхода из жизненного тупика мучительно решает вечные вопросы смысла жизни. В конце концов, оказавшись на крыше, он делает одно неосторожное движение - и зависает на уровне пятого этажа... В фильме использована картина Владислава Ждана "Гулливер".</t>
        </is>
      </c>
      <c r="L3187" s="2" t="inlineStr">
        <is>
          <t>Кино_СССР сводный каталог.xlsx: список фильмов (доп.)</t>
        </is>
      </c>
      <c r="M3187" s="2">
        <f>HYPERLINK("https://ru.wikipedia.org/w/index.php?search=%D0%9B%D0%B5%D1%81%D1%82%D0%BD%D0%B8%D1%86%D0%B0%201989%20%D1%84%D0%B8%D0%BB%D1%8C%D0%BC","искать")</f>
        <v/>
      </c>
      <c r="N3187" s="3" t="n"/>
      <c r="O3187" s="2" t="n"/>
    </row>
    <row r="3188">
      <c r="A3188" s="2" t="n">
        <v>3187</v>
      </c>
      <c r="B3188" s="2" t="inlineStr"/>
      <c r="C3188" s="2" t="n">
        <v>9472</v>
      </c>
      <c r="D3188" s="3" t="inlineStr">
        <is>
          <t>Метичара - зверь морской</t>
        </is>
      </c>
      <c r="E3188" s="2" t="n">
        <v>1988</v>
      </c>
      <c r="F3188" s="2" t="inlineStr">
        <is>
          <t>кинофильм</t>
        </is>
      </c>
      <c r="G3188" s="2" t="n"/>
      <c r="H3188" s="2" t="n">
        <v>323</v>
      </c>
      <c r="I3188" s="2" t="inlineStr"/>
      <c r="J3188" s="2" t="inlineStr"/>
      <c r="K3188" s="3" t="inlineStr">
        <is>
          <t>Одиннадцатилетняя Нинико живет с матерью и отчимом в отдельном добротном доме. В школу ее часто подвозят на «Волге». Однажды девочке разрешают навестить отца, который живет на берегу моря. Он ютится в перенаселенном доме, где все заботливы и внимательны друг к другу. У отца есть друг — умная и озорная дельфиниха Метичара.</t>
        </is>
      </c>
      <c r="L3188" s="2" t="inlineStr">
        <is>
          <t>Кино_СССР сводный каталог.xlsx: список фильмов (доп.)</t>
        </is>
      </c>
      <c r="M3188" s="2">
        <f>HYPERLINK("https://ru.wikipedia.org/w/index.php?search=%D0%9C%D0%B5%D1%82%D0%B8%D1%87%D0%B0%D1%80%D0%B0%20-%20%D0%B7%D0%B2%D0%B5%D1%80%D1%8C%20%D0%BC%D0%BE%D1%80%D1%81%D0%BA%D0%BE%D0%B9%201988%20%D1%84%D0%B8%D0%BB%D1%8C%D0%BC","искать")</f>
        <v/>
      </c>
      <c r="N3188" s="3" t="n"/>
      <c r="O3188" s="2" t="n"/>
    </row>
    <row r="3189">
      <c r="A3189" s="2" t="n">
        <v>3188</v>
      </c>
      <c r="B3189" s="2" t="inlineStr"/>
      <c r="C3189" s="2" t="n">
        <v>9551</v>
      </c>
      <c r="D3189" s="3" t="inlineStr">
        <is>
          <t>Пиры Валтасара, или Ночь со Сталиным</t>
        </is>
      </c>
      <c r="E3189" s="2" t="n">
        <v>1989</v>
      </c>
      <c r="F3189" s="2" t="inlineStr">
        <is>
          <t>кинофильм</t>
        </is>
      </c>
      <c r="G3189" s="2" t="n"/>
      <c r="H3189" s="2" t="n">
        <v>323</v>
      </c>
      <c r="I3189" s="2" t="inlineStr"/>
      <c r="J3189" s="2" t="inlineStr"/>
      <c r="K3189" s="3" t="inlineStr">
        <is>
          <t>Экранизация новеллы из романа Фазиля Искандера "Сандро из Чегема" об одном из ночных кутежей Сталина и его присных, где в качестве солиста абхазского ансамбля выступил Сандро из Чегема. После работы (обычной для артиста) он возвращается домой, и вскоре начинаются репрессии - исчезают артисты, побывавшие на последнем пиру.</t>
        </is>
      </c>
      <c r="L3189" s="2" t="inlineStr">
        <is>
          <t>Кино_СССР сводный каталог.xlsx: список фильмов (доп.)</t>
        </is>
      </c>
      <c r="M3189" s="2">
        <f>HYPERLINK("https://ru.wikipedia.org/w/index.php?search=%D0%9F%D0%B8%D1%80%D1%8B%20%D0%92%D0%B0%D0%BB%D1%82%D0%B0%D1%81%D0%B0%D1%80%D0%B0%2C%20%D0%B8%D0%BB%D0%B8%20%D0%9D%D0%BE%D1%87%D1%8C%20%D1%81%D0%BE%20%D0%A1%D1%82%D0%B0%D0%BB%D0%B8%D0%BD%D1%8B%D0%BC%201989%20%D1%84%D0%B8%D0%BB%D1%8C%D0%BC","искать")</f>
        <v/>
      </c>
      <c r="N3189" s="3" t="n"/>
      <c r="O3189" s="2" t="n"/>
    </row>
    <row r="3190">
      <c r="A3190" s="2" t="n">
        <v>3189</v>
      </c>
      <c r="B3190" s="2" t="inlineStr"/>
      <c r="C3190" s="2" t="n">
        <v>9578</v>
      </c>
      <c r="D3190" s="3" t="inlineStr">
        <is>
          <t>Похороны на втором этаже</t>
        </is>
      </c>
      <c r="E3190" s="2" t="n">
        <v>1991</v>
      </c>
      <c r="F3190" s="2" t="inlineStr">
        <is>
          <t>кинофильм</t>
        </is>
      </c>
      <c r="G3190" s="2" t="n"/>
      <c r="H3190" s="2" t="n">
        <v>323</v>
      </c>
      <c r="I3190" s="2" t="inlineStr"/>
      <c r="J3190" s="2" t="inlineStr"/>
      <c r="K3190" s="3" t="inlineStr">
        <is>
          <t>Остросюжетный фильм о расследовании преступления, в котором замешаны коррумпированные слои из высшего состава КГБ. Август 1991 года. Герой фильма подполковник Ершов в исполнении Анатолия Хостикоева знаком зрителям по фильму «Штемп». Сценарист и режиссёр-дебютант фильма Александр Сташков долгие годы работал в аппарате МВД.</t>
        </is>
      </c>
      <c r="L3190" s="2" t="inlineStr">
        <is>
          <t>Кино_СССР сводный каталог.xlsx: список фильмов (доп.)</t>
        </is>
      </c>
      <c r="M3190" s="2">
        <f>HYPERLINK("https://ru.wikipedia.org/w/index.php?search=%D0%9F%D0%BE%D1%85%D0%BE%D1%80%D0%BE%D0%BD%D1%8B%20%D0%BD%D0%B0%20%D0%B2%D1%82%D0%BE%D1%80%D0%BE%D0%BC%20%D1%8D%D1%82%D0%B0%D0%B6%D0%B5%201991%20%D1%84%D0%B8%D0%BB%D1%8C%D0%BC","искать")</f>
        <v/>
      </c>
      <c r="N3190" s="3" t="n"/>
      <c r="O3190" s="2" t="n"/>
    </row>
    <row r="3191">
      <c r="A3191" s="2" t="n">
        <v>3190</v>
      </c>
      <c r="B3191" s="2" t="inlineStr"/>
      <c r="C3191" s="2" t="n">
        <v>10961</v>
      </c>
      <c r="D3191" s="3" t="inlineStr">
        <is>
          <t>Проездом</t>
        </is>
      </c>
      <c r="E3191" s="2" t="n">
        <v>1982</v>
      </c>
      <c r="F3191" s="2" t="inlineStr">
        <is>
          <t>фильм-спектакль</t>
        </is>
      </c>
      <c r="G3191" s="2" t="inlineStr">
        <is>
          <t>Главная редакция литературно-драматический программ ЦТ</t>
        </is>
      </c>
      <c r="H3191" s="2" t="n">
        <v>323</v>
      </c>
      <c r="I3191" s="2" t="inlineStr"/>
      <c r="J3191" s="2" t="inlineStr"/>
      <c r="K3191" s="3" t="inlineStr">
        <is>
          <t>Из цикла "По Вашему письму".
Крупный ученый Андрей Логинов приезжает в город своей юности, всего лишь на один день, проездом. Здесь он встречает женщину, которую когда-то любил. Воспоминания о днях давно минувших, о людях там оставшихся, оказываются не таким уж простым делом.
"Думал проездом, а оно вон как обернулось...".</t>
        </is>
      </c>
      <c r="L3191" s="2" t="inlineStr">
        <is>
          <t>https://www.kino-teatr.ru/teatr/movie/9174/annot/</t>
        </is>
      </c>
      <c r="M3191" s="2">
        <f>HYPERLINK("https://ru.wikipedia.org/w/index.php?search=%D0%9F%D1%80%D0%BE%D0%B5%D0%B7%D0%B4%D0%BE%D0%BC%201982%20%D1%84%D0%B8%D0%BB%D1%8C%D0%BC","искать")</f>
        <v/>
      </c>
      <c r="N3191" s="3" t="n"/>
      <c r="O3191" s="2" t="n"/>
    </row>
    <row r="3192">
      <c r="A3192" s="2" t="n">
        <v>3191</v>
      </c>
      <c r="B3192" s="2" t="inlineStr"/>
      <c r="C3192" s="2" t="n">
        <v>7478</v>
      </c>
      <c r="D3192" s="3" t="inlineStr">
        <is>
          <t>Двадцать минут с ангелом</t>
        </is>
      </c>
      <c r="E3192" s="2" t="n">
        <v>1989</v>
      </c>
      <c r="F3192" s="2" t="inlineStr">
        <is>
          <t>телефильм</t>
        </is>
      </c>
      <c r="G3192" s="2" t="inlineStr">
        <is>
          <t>Лентелефильм</t>
        </is>
      </c>
      <c r="H3192" s="2" t="n">
        <v>324</v>
      </c>
      <c r="I3192" s="2" t="inlineStr"/>
      <c r="J3192" s="2" t="inlineStr"/>
      <c r="K3192" s="3" t="inlineStr">
        <is>
          <t>По произведениям А.Вампилова. Действие фильма происходит в гостинице. В одном из номеров - влюбленная пара, в другом скрипач. В третьем - двое парней просыпаются с похмелья. Видимо изрядно приняв накануне, они встают с одним желанием - выпить. Но выпить нечего, да и не на что. И знакомых тоже нет, так что занять не у кого.</t>
        </is>
      </c>
      <c r="L3192" s="2" t="inlineStr">
        <is>
          <t>Кино_СССР сводный каталог.xlsx: список телефильмов</t>
        </is>
      </c>
      <c r="M3192" s="2">
        <f>HYPERLINK("https://ru.wikipedia.org/w/index.php?search=%D0%94%D0%B2%D0%B0%D0%B4%D1%86%D0%B0%D1%82%D1%8C%20%D0%BC%D0%B8%D0%BD%D1%83%D1%82%20%D1%81%20%D0%B0%D0%BD%D0%B3%D0%B5%D0%BB%D0%BE%D0%BC%201989%20%D1%84%D0%B8%D0%BB%D1%8C%D0%BC","искать")</f>
        <v/>
      </c>
      <c r="N3192" s="3" t="n"/>
      <c r="O3192" s="2" t="n"/>
    </row>
    <row r="3193">
      <c r="A3193" s="2" t="n">
        <v>3192</v>
      </c>
      <c r="B3193" s="2" t="inlineStr"/>
      <c r="C3193" s="2" t="n">
        <v>7539</v>
      </c>
      <c r="D3193" s="3" t="inlineStr">
        <is>
          <t>Дом на Фонтанке</t>
        </is>
      </c>
      <c r="E3193" s="2" t="n">
        <v>1972</v>
      </c>
      <c r="F3193" s="2" t="inlineStr">
        <is>
          <t>телефильм</t>
        </is>
      </c>
      <c r="G3193" s="2" t="n"/>
      <c r="H3193" s="2" t="n">
        <v>324</v>
      </c>
      <c r="I3193" s="2" t="inlineStr"/>
      <c r="J3193" s="2" t="inlineStr"/>
      <c r="K3193" s="3" t="inlineStr">
        <is>
          <t>По книге Даниила Гранина. Пожилой человек едет в электричке. Кругом - молодые лица. О чем думает этот пожилой человек, смотрящий в окно? Он - ученый, который работает в лаборатории. Опыты подходят к концу, надо запускать серию, но его открытие морально устарело. Он решает начать все с начала, несмотря на возражения коллег.</t>
        </is>
      </c>
      <c r="L3193" s="2" t="inlineStr">
        <is>
          <t>Кино_СССР сводный каталог.xlsx: список телефильмов</t>
        </is>
      </c>
      <c r="M3193" s="2">
        <f>HYPERLINK("https://ru.wikipedia.org/w/index.php?search=%D0%94%D0%BE%D0%BC%20%D0%BD%D0%B0%20%D0%A4%D0%BE%D0%BD%D1%82%D0%B0%D0%BD%D0%BA%D0%B5%201972%20%D1%84%D0%B8%D0%BB%D1%8C%D0%BC","искать")</f>
        <v/>
      </c>
      <c r="N3193" s="3" t="n"/>
      <c r="O3193" s="2" t="n"/>
    </row>
    <row r="3194">
      <c r="A3194" s="2" t="n">
        <v>3193</v>
      </c>
      <c r="B3194" s="2" t="inlineStr"/>
      <c r="C3194" s="2" t="n">
        <v>7566</v>
      </c>
      <c r="D3194" s="3" t="inlineStr">
        <is>
          <t>Душечка</t>
        </is>
      </c>
      <c r="E3194" s="2" t="n">
        <v>1966</v>
      </c>
      <c r="F3194" s="2" t="inlineStr">
        <is>
          <t>телефильм</t>
        </is>
      </c>
      <c r="G3194" s="2" t="n"/>
      <c r="H3194" s="2" t="n">
        <v>324</v>
      </c>
      <c r="I3194" s="2" t="inlineStr"/>
      <c r="J3194" s="2" t="inlineStr"/>
      <c r="K3194" s="3" t="inlineStr">
        <is>
          <t>Телефильм по одноименному рассказу А. П. Чехова. Ольга Семеновна, Оленька, душечка (Касаткина) вышла замуж за Ивана Петровича, антерпренера местного провинциального театра, где бездарные актеры ставили ужасающие пьесы. Зрители театр не жаловали, и Иван Петрович публику презирал - ведь ей нужны были лишь балаган и пошлость.</t>
        </is>
      </c>
      <c r="L3194" s="2" t="inlineStr">
        <is>
          <t>Кино_СССР сводный каталог.xlsx: список телефильмов</t>
        </is>
      </c>
      <c r="M3194" s="2">
        <f>HYPERLINK("https://ru.wikipedia.org/w/index.php?search=%D0%94%D1%83%D1%88%D0%B5%D1%87%D0%BA%D0%B0%201966%20%D1%84%D0%B8%D0%BB%D1%8C%D0%BC","искать")</f>
        <v/>
      </c>
      <c r="N3194" s="3" t="n"/>
      <c r="O3194" s="2" t="n"/>
    </row>
    <row r="3195">
      <c r="A3195" s="2" t="n">
        <v>3194</v>
      </c>
      <c r="B3195" s="2" t="inlineStr"/>
      <c r="C3195" s="2" t="n">
        <v>7729</v>
      </c>
      <c r="D3195" s="3" t="inlineStr">
        <is>
          <t>Клоун</t>
        </is>
      </c>
      <c r="E3195" s="2" t="n">
        <v>1980</v>
      </c>
      <c r="F3195" s="2" t="inlineStr">
        <is>
          <t>телефильм</t>
        </is>
      </c>
      <c r="G3195" s="2" t="n"/>
      <c r="H3195" s="2" t="n">
        <v>324</v>
      </c>
      <c r="I3195" s="2" t="inlineStr"/>
      <c r="J3195" s="2" t="inlineStr"/>
      <c r="K3195" s="3" t="inlineStr">
        <is>
          <t>Трагикомедия по мотивам повести Виктора Драгунского "Сегодня и ежедневно". Известный клоун Николай Ветров, возвращается после длительных гастролей в Московский цирк, где работал долгие годы. Время многое изменило, и прошлые связи восстановить не просто. Случайно он узнаёт, что его любимая собирается выйти замуж за другого.</t>
        </is>
      </c>
      <c r="L3195" s="2" t="inlineStr">
        <is>
          <t>Кино_СССР сводный каталог.xlsx: список телефильмов</t>
        </is>
      </c>
      <c r="M3195" s="2">
        <f>HYPERLINK("https://ru.wikipedia.org/w/index.php?search=%D0%9A%D0%BB%D0%BE%D1%83%D0%BD%201980%20%D1%84%D0%B8%D0%BB%D1%8C%D0%BC","искать")</f>
        <v/>
      </c>
      <c r="N3195" s="3" t="n"/>
      <c r="O3195" s="2" t="n"/>
    </row>
    <row r="3196">
      <c r="A3196" s="2" t="n">
        <v>3195</v>
      </c>
      <c r="B3196" s="2" t="inlineStr"/>
      <c r="C3196" s="2" t="n">
        <v>8644</v>
      </c>
      <c r="D3196" s="3" t="inlineStr">
        <is>
          <t>Ванька-Встанька</t>
        </is>
      </c>
      <c r="E3196" s="2" t="n">
        <v>1989</v>
      </c>
      <c r="F3196" s="2" t="inlineStr">
        <is>
          <t>кинофильм</t>
        </is>
      </c>
      <c r="G3196" s="2" t="n"/>
      <c r="H3196" s="2" t="n">
        <v>324</v>
      </c>
      <c r="I3196" s="2" t="inlineStr"/>
      <c r="J3196" s="2" t="inlineStr"/>
      <c r="K3196" s="3" t="inlineStr">
        <is>
          <t>Летом 1941 года мальчик Васька пытается научиться летать - делает себе крылья, прыгает с обрыва и ломает ногу. Когда начинается война, Васька лежит дома в гипсе. Старшего брата забирают в армию, среднего - работать на свиноферме. Не выдержав "позора", Васька встает на костыли и идет помогать стрелочнику на железной дороге.</t>
        </is>
      </c>
      <c r="L3196" s="2" t="inlineStr">
        <is>
          <t>Кино_СССР сводный каталог.xlsx: список фильмов (доп.)</t>
        </is>
      </c>
      <c r="M3196" s="2">
        <f>HYPERLINK("https://ru.wikipedia.org/w/index.php?search=%D0%92%D0%B0%D0%BD%D1%8C%D0%BA%D0%B0-%D0%92%D1%81%D1%82%D0%B0%D0%BD%D1%8C%D0%BA%D0%B0%201989%20%D1%84%D0%B8%D0%BB%D1%8C%D0%BC","искать")</f>
        <v/>
      </c>
      <c r="N3196" s="3" t="n"/>
      <c r="O3196" s="2" t="n"/>
    </row>
    <row r="3197">
      <c r="A3197" s="2" t="n">
        <v>3196</v>
      </c>
      <c r="B3197" s="2" t="inlineStr"/>
      <c r="C3197" s="2" t="n">
        <v>8651</v>
      </c>
      <c r="D3197" s="3" t="inlineStr">
        <is>
          <t>Веселей нас нет</t>
        </is>
      </c>
      <c r="E3197" s="2" t="n">
        <v>1940</v>
      </c>
      <c r="F3197" s="2" t="inlineStr">
        <is>
          <t>кинофильм</t>
        </is>
      </c>
      <c r="G3197" s="2" t="n"/>
      <c r="H3197" s="2" t="n">
        <v>324</v>
      </c>
      <c r="I3197" s="2" t="inlineStr"/>
      <c r="J3197" s="2" t="inlineStr"/>
      <c r="K3197" s="3" t="inlineStr">
        <is>
          <t>Молодой человек, русский по национальности, едет к невесте-узбечке в далекий приграничный кишлак, не зная, что его многочисленная семья решает сделать ему сюрприз и также отправляется в Узбекистан для знакомства с невестой и ее родителями. Цепь комических недоразумений завершается эпизодом стычки на границе с диверсантами.</t>
        </is>
      </c>
      <c r="L3197" s="2" t="inlineStr">
        <is>
          <t>Кино_СССР сводный каталог.xlsx: список фильмов (доп.)</t>
        </is>
      </c>
      <c r="M3197" s="2">
        <f>HYPERLINK("https://ru.wikipedia.org/w/index.php?search=%D0%92%D0%B5%D1%81%D0%B5%D0%BB%D0%B5%D0%B9%20%D0%BD%D0%B0%D1%81%20%D0%BD%D0%B5%D1%82%201940%20%D1%84%D0%B8%D0%BB%D1%8C%D0%BC","искать")</f>
        <v/>
      </c>
      <c r="N3197" s="3" t="n"/>
      <c r="O3197" s="2" t="n"/>
    </row>
    <row r="3198">
      <c r="A3198" s="2" t="n">
        <v>3197</v>
      </c>
      <c r="B3198" s="2" t="inlineStr"/>
      <c r="C3198" s="2" t="n">
        <v>8795</v>
      </c>
      <c r="D3198" s="3" t="inlineStr">
        <is>
          <t>Ленинград. Ноябрь</t>
        </is>
      </c>
      <c r="E3198" s="2" t="n">
        <v>1990</v>
      </c>
      <c r="F3198" s="2" t="inlineStr">
        <is>
          <t>кинофильм</t>
        </is>
      </c>
      <c r="G3198" s="2" t="n"/>
      <c r="H3198" s="2" t="n">
        <v>324</v>
      </c>
      <c r="I3198" s="2" t="inlineStr"/>
      <c r="J3198" s="2" t="inlineStr"/>
      <c r="K3198" s="3" t="inlineStr">
        <is>
          <t>Узнав о тяжелой болезни отца, Макс приезжает из Кельна в Ленинград и очень надеется на то, что отец простит ему женитьбу на немке. Но пережив войну, блокаду, смерть близких, отец не в состоянии понять сына. Похоронив отца, Макс в последний раз встречается с друзьями, в последний раз видит родной город - осенний и холодный.</t>
        </is>
      </c>
      <c r="L3198" s="2" t="inlineStr">
        <is>
          <t>Кино_СССР сводный каталог.xlsx: список фильмов (доп.)</t>
        </is>
      </c>
      <c r="M3198" s="2">
        <f>HYPERLINK("https://ru.wikipedia.org/w/index.php?search=%D0%9B%D0%B5%D0%BD%D0%B8%D0%BD%D0%B3%D1%80%D0%B0%D0%B4.%20%D0%9D%D0%BE%D1%8F%D0%B1%D1%80%D1%8C%201990%20%D1%84%D0%B8%D0%BB%D1%8C%D0%BC","искать")</f>
        <v/>
      </c>
      <c r="N3198" s="3" t="n"/>
      <c r="O3198" s="2" t="n"/>
    </row>
    <row r="3199">
      <c r="A3199" s="2" t="n">
        <v>3198</v>
      </c>
      <c r="B3199" s="2" t="inlineStr"/>
      <c r="C3199" s="2" t="n">
        <v>8901</v>
      </c>
      <c r="D3199" s="3" t="inlineStr">
        <is>
          <t>Осада Венеции</t>
        </is>
      </c>
      <c r="E3199" s="2" t="n">
        <v>1991</v>
      </c>
      <c r="F3199" s="2" t="inlineStr">
        <is>
          <t>телефильм</t>
        </is>
      </c>
      <c r="G3199" s="2" t="inlineStr">
        <is>
          <t>Киностудия «Время»; Мосфильм; «Эксцельсиорфильм ТВ»; «Уджис Ф. Э.»; Чинечитта; Rai Due; Canal+; А/О «Луч»</t>
        </is>
      </c>
      <c r="H3199" s="2" t="n">
        <v>324</v>
      </c>
      <c r="I3199" s="2" t="inlineStr"/>
      <c r="J3199" s="2" t="inlineStr"/>
      <c r="K3199" s="3" t="inlineStr">
        <is>
          <t>Героиня зашла в церковь невестой, а вышла вдовой - престарелый муж умер у алтаря, оставив ей несметные богатства. Инквизиторы, понимают, что лишатся крутой части своих доходов, если она выйдет замуж за иностранца, и принимают меры. Они заставляют сердцееда, назло которому она и вышла за богача, "осадить" ее и взять в жены.</t>
        </is>
      </c>
      <c r="L3199" s="2" t="inlineStr">
        <is>
          <t>Кино_СССР сводный каталог.xlsx: список фильмов (доп.)</t>
        </is>
      </c>
      <c r="M3199" s="2">
        <f>HYPERLINK("https://ru.wikipedia.org/w/index.php?search=%D0%9E%D1%81%D0%B0%D0%B4%D0%B0%20%D0%92%D0%B5%D0%BD%D0%B5%D1%86%D0%B8%D0%B8%201991%20%D1%84%D0%B8%D0%BB%D1%8C%D0%BC","искать")</f>
        <v/>
      </c>
      <c r="N3199" s="3" t="n"/>
      <c r="O3199" s="2" t="n"/>
    </row>
    <row r="3200">
      <c r="A3200" s="2" t="n">
        <v>3199</v>
      </c>
      <c r="B3200" s="2" t="inlineStr"/>
      <c r="C3200" s="2" t="n">
        <v>9023</v>
      </c>
      <c r="D3200" s="3" t="inlineStr">
        <is>
          <t>Рыжая фея</t>
        </is>
      </c>
      <c r="E3200" s="2" t="n">
        <v>1987</v>
      </c>
      <c r="F3200" s="2" t="inlineStr">
        <is>
          <t>кинофильм</t>
        </is>
      </c>
      <c r="G3200" s="2" t="n"/>
      <c r="H3200" s="2" t="n">
        <v>324</v>
      </c>
      <c r="I3200" s="2" t="inlineStr"/>
      <c r="J3200" s="2" t="inlineStr"/>
      <c r="K3200" s="3" t="inlineStr">
        <is>
          <t>Маленький больной лосенок, которого нашел Минька в лесу, вырос и превратился в сильную и красивую лосиху, Рыжую Фею. Ребенок и животное очень привыкли друг к другу, а когда Минька надолго уезжал, лосиха скучала и даже плакала о нём. А потом она исчезла. Мальчик нигде не мог ее найти. Родители торопились переехать в город .</t>
        </is>
      </c>
      <c r="L3200" s="2" t="inlineStr">
        <is>
          <t>Кино_СССР сводный каталог.xlsx: список фильмов (доп.)</t>
        </is>
      </c>
      <c r="M3200" s="2">
        <f>HYPERLINK("https://ru.wikipedia.org/w/index.php?search=%D0%A0%D1%8B%D0%B6%D0%B0%D1%8F%20%D1%84%D0%B5%D1%8F%201987%20%D1%84%D0%B8%D0%BB%D1%8C%D0%BC","искать")</f>
        <v/>
      </c>
      <c r="N3200" s="3" t="n"/>
      <c r="O3200" s="2" t="n"/>
    </row>
    <row r="3201">
      <c r="A3201" s="2" t="n">
        <v>3200</v>
      </c>
      <c r="B3201" s="2" t="inlineStr"/>
      <c r="C3201" s="2" t="n">
        <v>9446</v>
      </c>
      <c r="D3201" s="3" t="inlineStr">
        <is>
          <t>Куколка</t>
        </is>
      </c>
      <c r="E3201" s="2" t="n">
        <v>1988</v>
      </c>
      <c r="F3201" s="2" t="inlineStr">
        <is>
          <t>кинофильм</t>
        </is>
      </c>
      <c r="G3201" s="2" t="n"/>
      <c r="H3201" s="2" t="n">
        <v>324</v>
      </c>
      <c r="I3201" s="2" t="inlineStr"/>
      <c r="J3201" s="2" t="inlineStr"/>
      <c r="K3201" s="3" t="inlineStr">
        <is>
          <t>Получив серьёзную травму, юная гимнастка вынуждена прекратить выступления. Однако большой спорт травмировал её не только физически, но и нравственно. Бывшая чемпионка, избалованная славой, не может сжиться с мыслью, что теперь она обычная школьница. Стремление самоутвердиться толкает её на необдуманные и жестокие поступки.</t>
        </is>
      </c>
      <c r="L3201" s="2" t="inlineStr">
        <is>
          <t>Кино_СССР сводный каталог.xlsx: список фильмов (доп.)</t>
        </is>
      </c>
      <c r="M3201" s="2">
        <f>HYPERLINK("https://ru.wikipedia.org/w/index.php?search=%D0%9A%D1%83%D0%BA%D0%BE%D0%BB%D0%BA%D0%B0%201988%20%D1%84%D0%B8%D0%BB%D1%8C%D0%BC","искать")</f>
        <v/>
      </c>
      <c r="N3201" s="3" t="n"/>
      <c r="O3201" s="2" t="n"/>
    </row>
    <row r="3202">
      <c r="A3202" s="2" t="n">
        <v>3201</v>
      </c>
      <c r="B3202" s="2" t="inlineStr"/>
      <c r="C3202" s="2" t="n">
        <v>11014</v>
      </c>
      <c r="D3202" s="3" t="inlineStr">
        <is>
          <t>Убийце - Гонкуровская премия</t>
        </is>
      </c>
      <c r="E3202" s="2" t="n">
        <v>1983</v>
      </c>
      <c r="F3202" s="2" t="inlineStr">
        <is>
          <t>фильм-спектакль</t>
        </is>
      </c>
      <c r="G3202" s="2" t="inlineStr">
        <is>
          <t>Ленинградское телевидение</t>
        </is>
      </c>
      <c r="H3202" s="2" t="n">
        <v>324</v>
      </c>
      <c r="I3202" s="2" t="inlineStr"/>
      <c r="J3202" s="2" t="inlineStr"/>
      <c r="K3202" s="3" t="inlineStr">
        <is>
          <t>По роману Пьера Гамарра.
Никому не известный писатель Поль Дубуа получает за свой роман престижную Гонкуровскую премию. На вручение премии автор не приходит, а затем довольно скоро выясняется: убийство, описанное в романе, произошло на самом деле. Репортер Жозе Робен проводит свое расследование и вычисляет автора и убийцу.</t>
        </is>
      </c>
      <c r="L3202" s="2" t="inlineStr">
        <is>
          <t>https://www.kino-teatr.ru/teatr/movie/86186/annot/</t>
        </is>
      </c>
      <c r="M3202" s="2">
        <f>HYPERLINK("https://ru.wikipedia.org/w/index.php?search=%D0%A3%D0%B1%D0%B8%D0%B9%D1%86%D0%B5%20-%20%D0%93%D0%BE%D0%BD%D0%BA%D1%83%D1%80%D0%BE%D0%B2%D1%81%D0%BA%D0%B0%D1%8F%20%D0%BF%D1%80%D0%B5%D0%BC%D0%B8%D1%8F%201983%20%D1%84%D0%B8%D0%BB%D1%8C%D0%BC","искать")</f>
        <v/>
      </c>
      <c r="N3202" s="3" t="n"/>
      <c r="O3202" s="2" t="n"/>
    </row>
    <row r="3203">
      <c r="A3203" s="2" t="n">
        <v>3202</v>
      </c>
      <c r="B3203" s="2" t="inlineStr"/>
      <c r="C3203" s="2" t="n">
        <v>7386</v>
      </c>
      <c r="D3203" s="3" t="inlineStr">
        <is>
          <t>Впереди океан</t>
        </is>
      </c>
      <c r="E3203" s="2" t="n">
        <v>1983</v>
      </c>
      <c r="F3203" s="2" t="inlineStr">
        <is>
          <t>телефильм</t>
        </is>
      </c>
      <c r="G3203" s="2" t="n"/>
      <c r="H3203" s="2" t="n">
        <v>325</v>
      </c>
      <c r="I3203" s="2" t="inlineStr"/>
      <c r="J3203" s="2" t="inlineStr"/>
      <c r="K3203" s="3" t="inlineStr">
        <is>
          <t>Бригада проходчиков сооружает тоннель на БАМе. Главный герой фильма бригадир Константин Басаргин - личность известная, авторитетная, его имя известно далеко за пределами стройки. Но слава вскружила ему голову. В забое происходит авария, вызванная землетрясением, а в это время Басаргин берет отпуск и уезжает по личным делам.</t>
        </is>
      </c>
      <c r="L3203" s="2" t="inlineStr">
        <is>
          <t>Кино_СССР сводный каталог.xlsx: список телефильмов</t>
        </is>
      </c>
      <c r="M3203" s="2">
        <f>HYPERLINK("https://ru.wikipedia.org/w/index.php?search=%D0%92%D0%BF%D0%B5%D1%80%D0%B5%D0%B4%D0%B8%20%D0%BE%D0%BA%D0%B5%D0%B0%D0%BD%201983%20%D1%84%D0%B8%D0%BB%D1%8C%D0%BC","искать")</f>
        <v/>
      </c>
      <c r="N3203" s="3" t="n"/>
      <c r="O3203" s="2" t="n"/>
    </row>
    <row r="3204">
      <c r="A3204" s="2" t="n">
        <v>3203</v>
      </c>
      <c r="B3204" s="2" t="inlineStr"/>
      <c r="C3204" s="2" t="n">
        <v>7445</v>
      </c>
      <c r="D3204" s="3" t="inlineStr">
        <is>
          <t>Голубой карбункул</t>
        </is>
      </c>
      <c r="E3204" s="2" t="n">
        <v>1979</v>
      </c>
      <c r="F3204" s="2" t="inlineStr">
        <is>
          <t>телефильм</t>
        </is>
      </c>
      <c r="G3204" s="2" t="n"/>
      <c r="H3204" s="2" t="n">
        <v>325</v>
      </c>
      <c r="I3204" s="2" t="inlineStr"/>
      <c r="J3204" s="2" t="inlineStr"/>
      <c r="K3204" s="3" t="inlineStr">
        <is>
          <t>Телефильм создан в жанре музыкального детектива-комедии по мотивам рассказов Артура Конан Дойля о Шерлоке Холмсе и докторе Ватсоне. В основе история о бриллианте, носящем имя «Голубой карбункул». Здесь есть все – таинственные обстоятельства «Ограбления века», любовные интриги, сверкающие драгоценности, колоритнейшие фигуры.</t>
        </is>
      </c>
      <c r="L3204" s="2" t="inlineStr">
        <is>
          <t>Кино_СССР сводный каталог.xlsx: список телефильмов</t>
        </is>
      </c>
      <c r="M3204" s="2">
        <f>HYPERLINK("https://ru.wikipedia.org/w/index.php?search=%D0%93%D0%BE%D0%BB%D1%83%D0%B1%D0%BE%D0%B9%20%D0%BA%D0%B0%D1%80%D0%B1%D1%83%D0%BD%D0%BA%D1%83%D0%BB%201979%20%D1%84%D0%B8%D0%BB%D1%8C%D0%BC","искать")</f>
        <v/>
      </c>
      <c r="N3204" s="3" t="n"/>
      <c r="O3204" s="2" t="n"/>
    </row>
    <row r="3205">
      <c r="A3205" s="2" t="n">
        <v>3204</v>
      </c>
      <c r="B3205" s="2" t="inlineStr"/>
      <c r="C3205" s="2" t="n">
        <v>7692</v>
      </c>
      <c r="D3205" s="3" t="inlineStr">
        <is>
          <t>Ищите женщину</t>
        </is>
      </c>
      <c r="E3205" s="2" t="n">
        <v>1982</v>
      </c>
      <c r="F3205" s="2" t="inlineStr">
        <is>
          <t>телефильм</t>
        </is>
      </c>
      <c r="G3205" s="2" t="inlineStr">
        <is>
          <t>Киностудия «Мосфильм»; Творческое объединение телевизионных фильмов</t>
        </is>
      </c>
      <c r="H3205" s="2" t="n">
        <v>325</v>
      </c>
      <c r="I3205" s="2" t="inlineStr"/>
      <c r="J3205" s="2" t="inlineStr"/>
      <c r="K3205" s="3" t="inlineStr">
        <is>
          <t>Телефильм по мотивам пьесы французского драматурга Робера Тома "Попугаиха и цыплёнок / La Perruche et le Poulet", которая является адаптацией пьесы британского драматурга Джека Поплуэлла "Миссис Пайпер ведёт следствие (название русского перевода / Busybody (Хлопотунья)". В нотариальной конторе мэтра Роше обнаружен покойник.</t>
        </is>
      </c>
      <c r="L3205" s="2" t="inlineStr">
        <is>
          <t>Кино_СССР сводный каталог.xlsx: список телефильмов</t>
        </is>
      </c>
      <c r="M3205" s="2">
        <f>HYPERLINK("https://ru.wikipedia.org/w/index.php?search=%D0%98%D1%89%D0%B8%D1%82%D0%B5%20%D0%B6%D0%B5%D0%BD%D1%89%D0%B8%D0%BD%D1%83%201982%20%D1%84%D0%B8%D0%BB%D1%8C%D0%BC","искать")</f>
        <v/>
      </c>
      <c r="N3205" s="3" t="n"/>
      <c r="O3205" s="2" t="n"/>
    </row>
    <row r="3206">
      <c r="A3206" s="2" t="n">
        <v>3205</v>
      </c>
      <c r="B3206" s="2" t="inlineStr"/>
      <c r="C3206" s="2" t="n">
        <v>7782</v>
      </c>
      <c r="D3206" s="3" t="inlineStr">
        <is>
          <t>Кукушкины дети</t>
        </is>
      </c>
      <c r="E3206" s="2" t="n">
        <v>1991</v>
      </c>
      <c r="F3206" s="2" t="inlineStr">
        <is>
          <t>телефильм</t>
        </is>
      </c>
      <c r="G3206" s="2" t="n"/>
      <c r="H3206" s="2" t="n">
        <v>325</v>
      </c>
      <c r="I3206" s="2" t="inlineStr"/>
      <c r="J3206" s="2" t="inlineStr"/>
      <c r="K3206" s="3" t="inlineStr">
        <is>
          <t>О тяжелой судьбе советских детдомовских детей, которых во время войны гитлеровцы вывозили в Германию для обучения диверсантской деятельности на территории СССР... В 1943 г. в Гемфурте под Касселем (Германия) при Абверкоманде-203 была создана школа для советских подростков, которых вывозили из детских домов Смоленска и Орши.</t>
        </is>
      </c>
      <c r="L3206" s="2" t="inlineStr">
        <is>
          <t>Кино_СССР сводный каталог.xlsx: список телефильмов</t>
        </is>
      </c>
      <c r="M3206" s="2">
        <f>HYPERLINK("https://ru.wikipedia.org/w/index.php?search=%D0%9A%D1%83%D0%BA%D1%83%D1%88%D0%BA%D0%B8%D0%BD%D1%8B%20%D0%B4%D0%B5%D1%82%D0%B8%201991%20%D1%84%D0%B8%D0%BB%D1%8C%D0%BC","искать")</f>
        <v/>
      </c>
      <c r="N3206" s="3" t="n"/>
      <c r="O3206" s="2" t="n"/>
    </row>
    <row r="3207">
      <c r="A3207" s="2" t="n">
        <v>3206</v>
      </c>
      <c r="B3207" s="2" t="inlineStr"/>
      <c r="C3207" s="2" t="n">
        <v>7836</v>
      </c>
      <c r="D3207" s="3" t="inlineStr">
        <is>
          <t>Люся</t>
        </is>
      </c>
      <c r="E3207" s="2" t="n">
        <v>1977</v>
      </c>
      <c r="F3207" s="2" t="inlineStr">
        <is>
          <t>телефильм</t>
        </is>
      </c>
      <c r="G3207" s="2" t="n"/>
      <c r="H3207" s="2" t="n">
        <v>325</v>
      </c>
      <c r="I3207" s="2" t="inlineStr"/>
      <c r="J3207" s="2" t="inlineStr"/>
      <c r="K3207" s="3" t="inlineStr">
        <is>
          <t>Студент геологического института, Юра Лагунин, едет на практику в Центральные Кара-Кумы. Он уговаривает свою любимую девушку, Люсю, поехать вместе с ним. Но не всем под силу выдержать тяжелые условия экспедиции, а Юра оказывается человеком слабым и ненадежным. Завершается практика, молодые люди порознь возвращаются в город.</t>
        </is>
      </c>
      <c r="L3207" s="2" t="inlineStr">
        <is>
          <t>Кино_СССР сводный каталог.xlsx: список телефильмов</t>
        </is>
      </c>
      <c r="M3207" s="2">
        <f>HYPERLINK("https://ru.wikipedia.org/w/index.php?search=%D0%9B%D1%8E%D1%81%D1%8F%201977%20%D1%84%D0%B8%D0%BB%D1%8C%D0%BC","искать")</f>
        <v/>
      </c>
      <c r="N3207" s="3" t="n"/>
      <c r="O3207" s="2" t="n"/>
    </row>
    <row r="3208">
      <c r="A3208" s="2" t="n">
        <v>3207</v>
      </c>
      <c r="B3208" s="2" t="inlineStr"/>
      <c r="C3208" s="2" t="n">
        <v>8046</v>
      </c>
      <c r="D3208" s="3" t="inlineStr">
        <is>
          <t>Опасный человек</t>
        </is>
      </c>
      <c r="E3208" s="2" t="n">
        <v>1988</v>
      </c>
      <c r="F3208" s="2" t="inlineStr">
        <is>
          <t>телефильм</t>
        </is>
      </c>
      <c r="G3208" s="2" t="n"/>
      <c r="H3208" s="2" t="n">
        <v>325</v>
      </c>
      <c r="I3208" s="2" t="inlineStr"/>
      <c r="J3208" s="2" t="inlineStr"/>
      <c r="K3208" s="3" t="inlineStr">
        <is>
          <t>По мотивам рассказа Е.Каплинской "Коробки, коробочки". Жил-был снабженец Павлов. Отправили его как-то в командировку в соседний город за комплектующими деталями - золотниками. Производящий их завод отказался посодействовать. Однако Павлова голыми руками не возьмешь – про таких людей на Руси говорят, что на них мир держится.</t>
        </is>
      </c>
      <c r="L3208" s="2" t="inlineStr">
        <is>
          <t>Кино_СССР сводный каталог.xlsx: список телефильмов</t>
        </is>
      </c>
      <c r="M3208" s="2">
        <f>HYPERLINK("https://ru.wikipedia.org/w/index.php?search=%D0%9E%D0%BF%D0%B0%D1%81%D0%BD%D1%8B%D0%B9%20%D1%87%D0%B5%D0%BB%D0%BE%D0%B2%D0%B5%D0%BA%201988%20%D1%84%D0%B8%D0%BB%D1%8C%D0%BC","искать")</f>
        <v/>
      </c>
      <c r="N3208" s="3" t="n"/>
      <c r="O3208" s="2" t="n"/>
    </row>
    <row r="3209">
      <c r="A3209" s="2" t="n">
        <v>3208</v>
      </c>
      <c r="B3209" s="2" t="inlineStr"/>
      <c r="C3209" s="2" t="n">
        <v>8232</v>
      </c>
      <c r="D3209" s="3" t="inlineStr">
        <is>
          <t>Прости нас, мачеха Россия</t>
        </is>
      </c>
      <c r="E3209" s="2" t="n">
        <v>1990</v>
      </c>
      <c r="F3209" s="2" t="inlineStr">
        <is>
          <t>телефильм</t>
        </is>
      </c>
      <c r="G3209" s="2" t="n"/>
      <c r="H3209" s="2" t="n">
        <v>325</v>
      </c>
      <c r="I3209" s="2" t="inlineStr"/>
      <c r="J3209" s="2" t="inlineStr"/>
      <c r="K3209" s="3" t="inlineStr">
        <is>
          <t>Заключенный Русаков (Юозас Будрайтис) несправедливо обвинен в измене Родине. Во время хрущевской оттепели в лагерь присылают нового следователя (Людмила Гурченко) для повторного расследования. Ей удается доказать невиновность осужденного, но в это время к власти приходит Брежнев и доследование по делу Русакова прекращается.</t>
        </is>
      </c>
      <c r="L3209" s="2" t="inlineStr">
        <is>
          <t>Кино_СССР сводный каталог.xlsx: список телефильмов</t>
        </is>
      </c>
      <c r="M3209" s="2">
        <f>HYPERLINK("https://ru.wikipedia.org/w/index.php?search=%D0%9F%D1%80%D0%BE%D1%81%D1%82%D0%B8%20%D0%BD%D0%B0%D1%81%2C%20%D0%BC%D0%B0%D1%87%D0%B5%D1%85%D0%B0%20%D0%A0%D0%BE%D1%81%D1%81%D0%B8%D1%8F%201990%20%D1%84%D0%B8%D0%BB%D1%8C%D0%BC","искать")</f>
        <v/>
      </c>
      <c r="N3209" s="3" t="n"/>
      <c r="O3209" s="2" t="n"/>
    </row>
    <row r="3210">
      <c r="A3210" s="2" t="n">
        <v>3209</v>
      </c>
      <c r="B3210" s="2" t="inlineStr"/>
      <c r="C3210" s="2" t="n">
        <v>8670</v>
      </c>
      <c r="D3210" s="3" t="inlineStr">
        <is>
          <t>Все кого-то любят...</t>
        </is>
      </c>
      <c r="E3210" s="2" t="n">
        <v>1988</v>
      </c>
      <c r="F3210" s="2" t="inlineStr">
        <is>
          <t>кинофильм</t>
        </is>
      </c>
      <c r="G3210" s="2" t="inlineStr">
        <is>
          <t>Беларусьфильм, студия им. Ю. Тарича</t>
        </is>
      </c>
      <c r="H3210" s="2" t="n">
        <v>325</v>
      </c>
      <c r="I3210" s="2" t="inlineStr"/>
      <c r="J3210" s="2" t="inlineStr"/>
      <c r="K3210" s="3" t="inlineStr">
        <is>
          <t>По рассказам И.Кашафутдинова. Григорий уже много лет работает водолазом на Охотском море. Он очень тоскует по своему шестилетнему сыну Димке и решает вернуться в родной город, чтобы предложить бывшей жене Кате попробовать как-то наладить совместную жизнь. Приехав, он узнает, что у Кати новый муж, и она ждет от него ребенка.</t>
        </is>
      </c>
      <c r="L3210" s="2" t="inlineStr">
        <is>
          <t>Кино_СССР сводный каталог.xlsx: список фильмов (доп.)</t>
        </is>
      </c>
      <c r="M3210" s="2">
        <f>HYPERLINK("https://ru.wikipedia.org/w/index.php?search=%D0%92%D1%81%D0%B5%20%D0%BA%D0%BE%D0%B3%D0%BE-%D1%82%D0%BE%20%D0%BB%D1%8E%D0%B1%D1%8F%D1%82...%201988%20%D1%84%D0%B8%D0%BB%D1%8C%D0%BC","искать")</f>
        <v/>
      </c>
      <c r="N3210" s="3" t="n"/>
      <c r="O3210" s="2" t="n"/>
    </row>
    <row r="3211">
      <c r="A3211" s="2" t="n">
        <v>3210</v>
      </c>
      <c r="B3211" s="2" t="inlineStr"/>
      <c r="C3211" s="2" t="n">
        <v>9108</v>
      </c>
      <c r="D3211" s="3" t="inlineStr">
        <is>
          <t>Транти-Ванти</t>
        </is>
      </c>
      <c r="E3211" s="2" t="n">
        <v>1990</v>
      </c>
      <c r="F3211" s="2" t="inlineStr">
        <is>
          <t>кинофильм</t>
        </is>
      </c>
      <c r="G3211" s="2" t="n"/>
      <c r="H3211" s="2" t="n">
        <v>325</v>
      </c>
      <c r="I3211" s="2" t="inlineStr"/>
      <c r="J3211" s="2" t="inlineStr"/>
      <c r="K3211" s="3" t="inlineStr">
        <is>
          <t>По повести Ирины Христолюбовой "Колокольчики мои". Первоклассник Егор Тарантин из поселка Верхняя Курья - большой выдумщик. Ему до всего есть дело, и он все время придумывает невероятные истории. Однажды ему показалось, что работающий в соседнем доме отдыха массовиком-затейником студент Костя Хохолков - пришелец из космоса.</t>
        </is>
      </c>
      <c r="L3211" s="2" t="inlineStr">
        <is>
          <t>Кино_СССР сводный каталог.xlsx: список фильмов (доп.)</t>
        </is>
      </c>
      <c r="M3211" s="2">
        <f>HYPERLINK("https://ru.wikipedia.org/w/index.php?search=%D0%A2%D1%80%D0%B0%D0%BD%D1%82%D0%B8-%D0%92%D0%B0%D0%BD%D1%82%D0%B8%201990%20%D1%84%D0%B8%D0%BB%D1%8C%D0%BC","искать")</f>
        <v/>
      </c>
      <c r="N3211" s="3" t="n"/>
      <c r="O3211" s="2" t="n"/>
    </row>
    <row r="3212">
      <c r="A3212" s="2" t="n">
        <v>3211</v>
      </c>
      <c r="B3212" s="2" t="inlineStr"/>
      <c r="C3212" s="2" t="n">
        <v>9696</v>
      </c>
      <c r="D3212" s="3" t="inlineStr">
        <is>
          <t>Третья планета</t>
        </is>
      </c>
      <c r="E3212" s="2" t="n">
        <v>1991</v>
      </c>
      <c r="F3212" s="2" t="inlineStr">
        <is>
          <t>кинофильм</t>
        </is>
      </c>
      <c r="G3212" s="2" t="n"/>
      <c r="H3212" s="2" t="n">
        <v>325</v>
      </c>
      <c r="I3212" s="2" t="inlineStr"/>
      <c r="J3212" s="2" t="inlineStr"/>
      <c r="K3212" s="3" t="inlineStr">
        <is>
          <t>Пятнадцатилетнюю дочь Алену, страдающую тяжелым недугом, в очередной раз без улучшений выписывают теперь уже из заграничной клиники. Ее отец решает попытать счастья в зоне - так называется место, где много лет назад произошла атомная катастрофа. Теперь там живут люди-мутанты. Они - сверхцелители, на них - последняя надежда.</t>
        </is>
      </c>
      <c r="L3212" s="2" t="inlineStr">
        <is>
          <t>Кино_СССР сводный каталог.xlsx: список фильмов (доп.)</t>
        </is>
      </c>
      <c r="M3212" s="2">
        <f>HYPERLINK("https://ru.wikipedia.org/w/index.php?search=%D0%A2%D1%80%D0%B5%D1%82%D1%8C%D1%8F%20%D0%BF%D0%BB%D0%B0%D0%BD%D0%B5%D1%82%D0%B0%201991%20%D1%84%D0%B8%D0%BB%D1%8C%D0%BC","искать")</f>
        <v/>
      </c>
      <c r="N3212" s="3" t="n"/>
      <c r="O3212" s="2" t="n"/>
    </row>
    <row r="3213">
      <c r="A3213" s="2" t="n">
        <v>3212</v>
      </c>
      <c r="B3213" s="2" t="inlineStr"/>
      <c r="C3213" s="2" t="n">
        <v>9768</v>
      </c>
      <c r="D3213" s="3" t="inlineStr">
        <is>
          <t>Шок</t>
        </is>
      </c>
      <c r="E3213" s="2" t="n">
        <v>1989</v>
      </c>
      <c r="F3213" s="2" t="inlineStr">
        <is>
          <t>кинофильм</t>
        </is>
      </c>
      <c r="G3213" s="2" t="n"/>
      <c r="H3213" s="2" t="n">
        <v>325</v>
      </c>
      <c r="I3213" s="2" t="inlineStr"/>
      <c r="J3213" s="2" t="inlineStr"/>
      <c r="K3213" s="3" t="inlineStr">
        <is>
          <t>Телевариант под названием "С любовью и болью" (4 серии). Журналист Мурад Якубов написал фельетон о взяточнике и клеветнике Нуриеве, воспользовавшись материалами парткомиссии. Но позже, изучив другие материалы, герой пришел к выводу, что оклеветал человека, пытавшегося изобличить мафию во главе с секретарем обкома Назировым.</t>
        </is>
      </c>
      <c r="L3213" s="2" t="inlineStr">
        <is>
          <t>Кино_СССР сводный каталог.xlsx: список фильмов (доп.)</t>
        </is>
      </c>
      <c r="M3213" s="2">
        <f>HYPERLINK("https://ru.wikipedia.org/w/index.php?search=%D0%A8%D0%BE%D0%BA%201989%20%D1%84%D0%B8%D0%BB%D1%8C%D0%BC","искать")</f>
        <v/>
      </c>
      <c r="N3213" s="3" t="n"/>
      <c r="O3213" s="2" t="n"/>
    </row>
    <row r="3214">
      <c r="A3214" s="2" t="n">
        <v>3213</v>
      </c>
      <c r="B3214" s="2" t="inlineStr"/>
      <c r="C3214" s="2" t="n">
        <v>7415</v>
      </c>
      <c r="D3214" s="3" t="inlineStr">
        <is>
          <t>Второе рождение</t>
        </is>
      </c>
      <c r="E3214" s="2" t="n">
        <v>1980</v>
      </c>
      <c r="F3214" s="2" t="inlineStr">
        <is>
          <t>телефильм</t>
        </is>
      </c>
      <c r="G3214" s="2" t="n"/>
      <c r="H3214" s="2" t="n">
        <v>326</v>
      </c>
      <c r="I3214" s="2" t="inlineStr"/>
      <c r="J3214" s="2" t="inlineStr"/>
      <c r="K3214" s="3" t="inlineStr">
        <is>
          <t>Телефильм по мотивам романа Юрия Васильева "Карьера Геннадия Русанова". Хороший парень из благополучной семьи Гена Русанов учится в институте, любит девушку и уже готов жениться. Невеста счастлива и тоже ждет не дождется свадьбы. И вдруг с Геной что-то произошло. Он начинает пить водку и очень быстро опускается на самое дно.</t>
        </is>
      </c>
      <c r="L3214" s="2" t="inlineStr">
        <is>
          <t>Кино_СССР сводный каталог.xlsx: список телефильмов</t>
        </is>
      </c>
      <c r="M3214" s="2">
        <f>HYPERLINK("https://ru.wikipedia.org/w/index.php?search=%D0%92%D1%82%D0%BE%D1%80%D0%BE%D0%B5%20%D1%80%D0%BE%D0%B6%D0%B4%D0%B5%D0%BD%D0%B8%D0%B5%201980%20%D1%84%D0%B8%D0%BB%D1%8C%D0%BC","искать")</f>
        <v/>
      </c>
      <c r="N3214" s="3" t="n"/>
      <c r="O3214" s="2" t="n"/>
    </row>
    <row r="3215">
      <c r="A3215" s="2" t="n">
        <v>3214</v>
      </c>
      <c r="B3215" s="2" t="inlineStr"/>
      <c r="C3215" s="2" t="n">
        <v>7851</v>
      </c>
      <c r="D3215" s="3" t="inlineStr">
        <is>
          <t>Марк Твен против...</t>
        </is>
      </c>
      <c r="E3215" s="2" t="n">
        <v>1976</v>
      </c>
      <c r="F3215" s="2" t="inlineStr">
        <is>
          <t>телефильм</t>
        </is>
      </c>
      <c r="G3215" s="2" t="n"/>
      <c r="H3215" s="2" t="n">
        <v>326</v>
      </c>
      <c r="I3215" s="2" t="inlineStr"/>
      <c r="J3215" s="2" t="inlineStr"/>
      <c r="K3215" s="3" t="inlineStr">
        <is>
          <t>Телефильм по "Автобиографическим заметкам" знаменитого писателя. Картина - своеобразное интервью, которое дает Марк Твен нью-йоркским газетчикам в 1906 году... Когда все лоцманские сбережения Сэма истощились, он устроился корреспондентом в бульварную газету "Энтерпрайз", наврав, что у него большой опыт по части журналистики.</t>
        </is>
      </c>
      <c r="L3215" s="2" t="inlineStr">
        <is>
          <t>Кино_СССР сводный каталог.xlsx: список телефильмов</t>
        </is>
      </c>
      <c r="M3215" s="2">
        <f>HYPERLINK("https://ru.wikipedia.org/w/index.php?search=%D0%9C%D0%B0%D1%80%D0%BA%20%D0%A2%D0%B2%D0%B5%D0%BD%20%D0%BF%D1%80%D0%BE%D1%82%D0%B8%D0%B2...%201976%20%D1%84%D0%B8%D0%BB%D1%8C%D0%BC","искать")</f>
        <v/>
      </c>
      <c r="N3215" s="3" t="n"/>
      <c r="O3215" s="2" t="n"/>
    </row>
    <row r="3216">
      <c r="A3216" s="2" t="n">
        <v>3215</v>
      </c>
      <c r="B3216" s="2" t="inlineStr"/>
      <c r="C3216" s="2" t="n">
        <v>8296</v>
      </c>
      <c r="D3216" s="3" t="inlineStr">
        <is>
          <t>Сабля без ножен</t>
        </is>
      </c>
      <c r="E3216" s="2" t="n">
        <v>1987</v>
      </c>
      <c r="F3216" s="2" t="inlineStr">
        <is>
          <t>телефильм</t>
        </is>
      </c>
      <c r="G3216" s="2" t="n"/>
      <c r="H3216" s="2" t="n">
        <v>326</v>
      </c>
      <c r="I3216" s="2" t="inlineStr"/>
      <c r="J3216" s="2" t="inlineStr"/>
      <c r="K3216" s="3" t="inlineStr">
        <is>
          <t>Герой трех войн генерал армии Степан Иванович Чалый работает над книгой военных мемуаров. В ходе работы он узнает, что жив его друг Андрей Лукич Трембовельский, бывший дворянин и белый офицер, затем отчаянной храбрости командир Красной Армии. Его обвиняют в злоупотреблении служебным положением, и он находится под следствием.</t>
        </is>
      </c>
      <c r="L3216" s="2" t="inlineStr">
        <is>
          <t>Кино_СССР сводный каталог.xlsx: список телефильмов</t>
        </is>
      </c>
      <c r="M3216" s="2">
        <f>HYPERLINK("https://ru.wikipedia.org/w/index.php?search=%D0%A1%D0%B0%D0%B1%D0%BB%D1%8F%20%D0%B1%D0%B5%D0%B7%20%D0%BD%D0%BE%D0%B6%D0%B5%D0%BD%201987%20%D1%84%D0%B8%D0%BB%D1%8C%D0%BC","искать")</f>
        <v/>
      </c>
      <c r="N3216" s="3" t="n"/>
      <c r="O3216" s="2" t="n"/>
    </row>
    <row r="3217">
      <c r="A3217" s="2" t="n">
        <v>3216</v>
      </c>
      <c r="B3217" s="2" t="inlineStr"/>
      <c r="C3217" s="2" t="n">
        <v>8361</v>
      </c>
      <c r="D3217" s="3" t="inlineStr">
        <is>
          <t>Слушать в отсеках</t>
        </is>
      </c>
      <c r="E3217" s="2" t="n">
        <v>1985</v>
      </c>
      <c r="F3217" s="2" t="inlineStr">
        <is>
          <t>телефильм</t>
        </is>
      </c>
      <c r="G3217" s="2" t="n"/>
      <c r="H3217" s="2" t="n">
        <v>326</v>
      </c>
      <c r="I3217" s="2" t="inlineStr"/>
      <c r="J3217" s="2" t="inlineStr"/>
      <c r="K3217" s="3" t="inlineStr">
        <is>
          <t>По одноименной повести Владимира Тюрина. Идут учения военно-морского флота. Командир подводной лодки Логинов и командир большого противолодочного корабля Золотницкий становятся условными противниками. Чувствуя ответственность за свои экипажи, командиры демонстрируют высокое мастерство, порядочность и дружескую взаимовыручку.</t>
        </is>
      </c>
      <c r="L3217" s="2" t="inlineStr">
        <is>
          <t>Кино_СССР сводный каталог.xlsx: список телефильмов</t>
        </is>
      </c>
      <c r="M3217" s="2">
        <f>HYPERLINK("https://ru.wikipedia.org/w/index.php?search=%D0%A1%D0%BB%D1%83%D1%88%D0%B0%D1%82%D1%8C%20%D0%B2%20%D0%BE%D1%82%D1%81%D0%B5%D0%BA%D0%B0%D1%85%201985%20%D1%84%D0%B8%D0%BB%D1%8C%D0%BC","искать")</f>
        <v/>
      </c>
      <c r="N3217" s="3" t="n"/>
      <c r="O3217" s="2" t="n"/>
    </row>
    <row r="3218">
      <c r="A3218" s="2" t="n">
        <v>3217</v>
      </c>
      <c r="B3218" s="2" t="inlineStr"/>
      <c r="C3218" s="2" t="n">
        <v>8645</v>
      </c>
      <c r="D3218" s="3" t="inlineStr">
        <is>
          <t>Вдвоём на грани времени</t>
        </is>
      </c>
      <c r="E3218" s="2" t="n">
        <v>1989</v>
      </c>
      <c r="F3218" s="2" t="inlineStr">
        <is>
          <t>кинофильм</t>
        </is>
      </c>
      <c r="G3218" s="2" t="n"/>
      <c r="H3218" s="2" t="n">
        <v>326</v>
      </c>
      <c r="I3218" s="2" t="inlineStr"/>
      <c r="J3218" s="2" t="inlineStr"/>
      <c r="K3218" s="3" t="inlineStr">
        <is>
          <t>После гибели отца в автомобильной катастрофе подросток Эмиль долго не может смириться с утратой. Когда мать приводит в дом Мишу, Эмиль начинает подозревать в будущем отчиме виновника смерти отца. Его подозрения вскоре оправдываются - и мальчик теперь понимает, что отец, узнав о любви Лучики и Мишу, добровольно ушел из жизни.</t>
        </is>
      </c>
      <c r="L3218" s="2" t="inlineStr">
        <is>
          <t>Кино_СССР сводный каталог.xlsx: список фильмов (доп.)</t>
        </is>
      </c>
      <c r="M3218" s="2">
        <f>HYPERLINK("https://ru.wikipedia.org/w/index.php?search=%D0%92%D0%B4%D0%B2%D0%BE%D1%91%D0%BC%20%D0%BD%D0%B0%20%D0%B3%D1%80%D0%B0%D0%BD%D0%B8%20%D0%B2%D1%80%D0%B5%D0%BC%D0%B5%D0%BD%D0%B8%201989%20%D1%84%D0%B8%D0%BB%D1%8C%D0%BC","искать")</f>
        <v/>
      </c>
      <c r="N3218" s="3" t="n"/>
      <c r="O3218" s="2" t="n"/>
    </row>
    <row r="3219">
      <c r="A3219" s="2" t="n">
        <v>3218</v>
      </c>
      <c r="B3219" s="2" t="inlineStr"/>
      <c r="C3219" s="2" t="n">
        <v>9093</v>
      </c>
      <c r="D3219" s="3" t="inlineStr">
        <is>
          <t>Танго смерти</t>
        </is>
      </c>
      <c r="E3219" s="2" t="n">
        <v>1991</v>
      </c>
      <c r="F3219" s="2" t="inlineStr">
        <is>
          <t>кинофильм</t>
        </is>
      </c>
      <c r="G3219" s="2" t="n"/>
      <c r="H3219" s="2" t="n">
        <v>326</v>
      </c>
      <c r="I3219" s="2" t="inlineStr"/>
      <c r="J3219" s="2" t="inlineStr"/>
      <c r="K3219" s="3" t="inlineStr">
        <is>
          <t>По "Повести о санаторной зоне" Миколы Хвылевого. Трагическая история любви Анарха, в прошлом революционера-боевика, и Майи, бывшей революционерки, а теперь - агента-провокатора ЧК. Это фильм о политических репрессиях двадцатых годов на Украине и разочаровании революционно-настроенной интеллигенции в коммунистических идеалах.</t>
        </is>
      </c>
      <c r="L3219" s="2" t="inlineStr">
        <is>
          <t>Кино_СССР сводный каталог.xlsx: список фильмов (доп.)</t>
        </is>
      </c>
      <c r="M3219" s="2">
        <f>HYPERLINK("https://ru.wikipedia.org/w/index.php?search=%D0%A2%D0%B0%D0%BD%D0%B3%D0%BE%20%D1%81%D0%BC%D0%B5%D1%80%D1%82%D0%B8%201991%20%D1%84%D0%B8%D0%BB%D1%8C%D0%BC","искать")</f>
        <v/>
      </c>
      <c r="N3219" s="3" t="n"/>
      <c r="O3219" s="2" t="n"/>
    </row>
    <row r="3220">
      <c r="A3220" s="2" t="n">
        <v>3219</v>
      </c>
      <c r="B3220" s="2" t="inlineStr"/>
      <c r="C3220" s="2" t="n">
        <v>9152</v>
      </c>
      <c r="D3220" s="3" t="inlineStr">
        <is>
          <t>Циники</t>
        </is>
      </c>
      <c r="E3220" s="2" t="n">
        <v>1991</v>
      </c>
      <c r="F3220" s="2" t="inlineStr">
        <is>
          <t>кинофильм</t>
        </is>
      </c>
      <c r="G3220" s="2" t="n"/>
      <c r="H3220" s="2" t="n">
        <v>326</v>
      </c>
      <c r="I3220" s="2" t="inlineStr"/>
      <c r="J3220" s="2" t="inlineStr"/>
      <c r="K3220" s="3" t="inlineStr">
        <is>
          <t>Действие разворачивается в России в 1918-1924 годах... Судьба сводит двух молодых людей - Владимира и Ольгу. Он - нищий историк-доцент, она - дочь состоятельных родителей, уехавших из страны после революции. Оба - представители лучшей части российского общества, потомственные интеллигенты, оказавшиеся ненужными новой власти.</t>
        </is>
      </c>
      <c r="L3220" s="2" t="inlineStr">
        <is>
          <t>Кино_СССР сводный каталог.xlsx: список фильмов (доп.)</t>
        </is>
      </c>
      <c r="M3220" s="2">
        <f>HYPERLINK("https://ru.wikipedia.org/w/index.php?search=%D0%A6%D0%B8%D0%BD%D0%B8%D0%BA%D0%B8%201991%20%D1%84%D0%B8%D0%BB%D1%8C%D0%BC","искать")</f>
        <v/>
      </c>
      <c r="N3220" s="3" t="n"/>
      <c r="O3220" s="2" t="n"/>
    </row>
    <row r="3221">
      <c r="A3221" s="2" t="n">
        <v>3220</v>
      </c>
      <c r="B3221" s="2" t="inlineStr"/>
      <c r="C3221" s="2" t="n">
        <v>9252</v>
      </c>
      <c r="D3221" s="3" t="inlineStr">
        <is>
          <t>Брат, найди брата!</t>
        </is>
      </c>
      <c r="E3221" s="2" t="n">
        <v>1988</v>
      </c>
      <c r="F3221" s="2" t="inlineStr">
        <is>
          <t>кинофильм</t>
        </is>
      </c>
      <c r="G3221" s="2" t="n"/>
      <c r="H3221" s="2" t="n">
        <v>326</v>
      </c>
      <c r="I3221" s="2" t="inlineStr"/>
      <c r="J3221" s="2" t="inlineStr"/>
      <c r="K3221" s="3" t="inlineStr">
        <is>
          <t>Фильм о семье, где было трое счастливых людей - отец, мать и 10-летний сын. Но случается так, что из отца сделали преступника. Доказать свою правоту он не смог. Да и никого это не интересовало. С горя он начал пить. И допился до того, что потерял свое человеческое лицо. Ушло от семьи счастье, закончилось детство у мальчишки.</t>
        </is>
      </c>
      <c r="L3221" s="2" t="inlineStr">
        <is>
          <t>Кино_СССР сводный каталог.xlsx: список фильмов (доп.)</t>
        </is>
      </c>
      <c r="M3221" s="2">
        <f>HYPERLINK("https://ru.wikipedia.org/w/index.php?search=%D0%91%D1%80%D0%B0%D1%82%2C%20%D0%BD%D0%B0%D0%B9%D0%B4%D0%B8%20%D0%B1%D1%80%D0%B0%D1%82%D0%B0%21%201988%20%D1%84%D0%B8%D0%BB%D1%8C%D0%BC","искать")</f>
        <v/>
      </c>
      <c r="N3221" s="3" t="n"/>
      <c r="O3221" s="2" t="n"/>
    </row>
    <row r="3222">
      <c r="A3222" s="2" t="n">
        <v>3221</v>
      </c>
      <c r="B3222" s="2" t="inlineStr"/>
      <c r="C3222" s="2" t="n">
        <v>9678</v>
      </c>
      <c r="D3222" s="3" t="inlineStr">
        <is>
          <t>Сувенир для прокурора</t>
        </is>
      </c>
      <c r="E3222" s="2" t="n">
        <v>1989</v>
      </c>
      <c r="F3222" s="2" t="inlineStr">
        <is>
          <t>кинофильм</t>
        </is>
      </c>
      <c r="G3222" s="2" t="n"/>
      <c r="H3222" s="2" t="n">
        <v>326</v>
      </c>
      <c r="I3222" s="2" t="inlineStr"/>
      <c r="J3222" s="2" t="inlineStr"/>
      <c r="K3222" s="3" t="inlineStr">
        <is>
          <t>При загадочных обстоятельствах погибает заведующий складом машиностроительного завода. Внимательно изучив все обстоятельства дела, прокурор Измайлов приходит к выводу, что происшедшее - хорошо организованное убийство. Но во главе местной мафии стоит директор завода Самсонов, который уже ведет "контрнаступление" на прокурора.</t>
        </is>
      </c>
      <c r="L3222" s="2" t="inlineStr">
        <is>
          <t>Кино_СССР сводный каталог.xlsx: список фильмов (доп.)</t>
        </is>
      </c>
      <c r="M3222" s="2">
        <f>HYPERLINK("https://ru.wikipedia.org/w/index.php?search=%D0%A1%D1%83%D0%B2%D0%B5%D0%BD%D0%B8%D1%80%20%D0%B4%D0%BB%D1%8F%20%D0%BF%D1%80%D0%BE%D0%BA%D1%83%D1%80%D0%BE%D1%80%D0%B0%201989%20%D1%84%D0%B8%D0%BB%D1%8C%D0%BC","искать")</f>
        <v/>
      </c>
      <c r="N3222" s="3" t="n"/>
      <c r="O3222" s="2" t="n"/>
    </row>
    <row r="3223">
      <c r="A3223" s="2" t="n">
        <v>3222</v>
      </c>
      <c r="B3223" s="2" t="inlineStr"/>
      <c r="C3223" s="2" t="n">
        <v>8175</v>
      </c>
      <c r="D3223" s="3" t="inlineStr">
        <is>
          <t>Посредник</t>
        </is>
      </c>
      <c r="E3223" s="2" t="n">
        <v>1990</v>
      </c>
      <c r="F3223" s="2" t="inlineStr">
        <is>
          <t>телефильм</t>
        </is>
      </c>
      <c r="G3223" s="2" t="inlineStr">
        <is>
          <t>Киностудия имени М. Горького; Творческое объединение «ТВК»</t>
        </is>
      </c>
      <c r="H3223" s="2" t="n">
        <v>327</v>
      </c>
      <c r="I3223" s="2" t="inlineStr"/>
      <c r="J3223" s="2" t="inlineStr"/>
      <c r="K3223" s="3" t="inlineStr">
        <is>
          <t>Телесериал снят по первой части романа Александра Мирера "Дом скитальцев", которая называется "Главный полдень". Нависший над землей загадочный шар становится источником несчастий. После встречи с посредником этого шара люди становятся подвластны злой силе. Однако влияние посредника не распространяется на сумасшедших и детей.</t>
        </is>
      </c>
      <c r="L3223" s="2" t="inlineStr">
        <is>
          <t>Кино_СССР сводный каталог.xlsx: список телефильмов</t>
        </is>
      </c>
      <c r="M3223" s="2">
        <f>HYPERLINK("https://ru.wikipedia.org/w/index.php?search=%D0%9F%D0%BE%D1%81%D1%80%D0%B5%D0%B4%D0%BD%D0%B8%D0%BA%201990%20%D1%84%D0%B8%D0%BB%D1%8C%D0%BC","искать")</f>
        <v/>
      </c>
      <c r="N3223" s="3" t="n"/>
      <c r="O3223" s="2" t="n"/>
    </row>
    <row r="3224">
      <c r="A3224" s="2" t="n">
        <v>3223</v>
      </c>
      <c r="B3224" s="2" t="inlineStr"/>
      <c r="C3224" s="2" t="n">
        <v>8518</v>
      </c>
      <c r="D3224" s="3" t="inlineStr">
        <is>
          <t>Фруза</t>
        </is>
      </c>
      <c r="E3224" s="2" t="n">
        <v>1981</v>
      </c>
      <c r="F3224" s="2" t="inlineStr">
        <is>
          <t>телефильм</t>
        </is>
      </c>
      <c r="G3224" s="2" t="n"/>
      <c r="H3224" s="2" t="n">
        <v>327</v>
      </c>
      <c r="I3224" s="2" t="inlineStr"/>
      <c r="J3224" s="2" t="inlineStr"/>
      <c r="K3224" s="3" t="inlineStr">
        <is>
          <t>По мотивам рассказа Василя Быкова "На тропе жизни". Первые послевоенные годы. В одном из минских учреждений работает вахтёром Фруза Семашко. Как - то Фруза помогает водителю Пархомову, у которого машина сломалась недалеко от её дома. На 1 Мая Пархомов приходит в гости к Фрузе, расспрашивает о жизни, обещает помочь с ремонтом.</t>
        </is>
      </c>
      <c r="L3224" s="2" t="inlineStr">
        <is>
          <t>Кино_СССР сводный каталог.xlsx: список телефильмов</t>
        </is>
      </c>
      <c r="M3224" s="2">
        <f>HYPERLINK("https://ru.wikipedia.org/w/index.php?search=%D0%A4%D1%80%D1%83%D0%B7%D0%B0%201981%20%D1%84%D0%B8%D0%BB%D1%8C%D0%BC","искать")</f>
        <v/>
      </c>
      <c r="N3224" s="3" t="n"/>
      <c r="O3224" s="2" t="n"/>
    </row>
    <row r="3225">
      <c r="A3225" s="2" t="n">
        <v>3224</v>
      </c>
      <c r="B3225" s="2" t="inlineStr"/>
      <c r="C3225" s="2" t="n">
        <v>8759</v>
      </c>
      <c r="D3225" s="3" t="inlineStr">
        <is>
          <t>Караманлай</t>
        </is>
      </c>
      <c r="E3225" s="2" t="n">
        <v>1991</v>
      </c>
      <c r="F3225" s="2" t="inlineStr">
        <is>
          <t>кинофильм</t>
        </is>
      </c>
      <c r="G3225" s="2" t="n"/>
      <c r="H3225" s="2" t="n">
        <v>327</v>
      </c>
      <c r="I3225" s="2" t="inlineStr"/>
      <c r="J3225" s="2" t="inlineStr"/>
      <c r="K3225" s="3" t="inlineStr">
        <is>
          <t>Героиня фильма Набат - жертва феодальных отношений в кругу современной азиатской элиты. Заведя молодую жену, богатый и высокопоставленный начальник выгоняет из дома бывшую жену с дочерью Набат. Мать погибает в автокатастрофе, после чего девочка вынуждена зарабатывать на жизнь, танцуя для богатых гостей на домашних вечеринках.</t>
        </is>
      </c>
      <c r="L3225" s="2" t="inlineStr">
        <is>
          <t>Кино_СССР сводный каталог.xlsx: список фильмов (доп.)</t>
        </is>
      </c>
      <c r="M3225" s="2">
        <f>HYPERLINK("https://ru.wikipedia.org/w/index.php?search=%D0%9A%D0%B0%D1%80%D0%B0%D0%BC%D0%B0%D0%BD%D0%BB%D0%B0%D0%B9%201991%20%D1%84%D0%B8%D0%BB%D1%8C%D0%BC","искать")</f>
        <v/>
      </c>
      <c r="N3225" s="3" t="n"/>
      <c r="O3225" s="2" t="n"/>
    </row>
    <row r="3226">
      <c r="A3226" s="2" t="n">
        <v>3225</v>
      </c>
      <c r="B3226" s="2" t="inlineStr"/>
      <c r="C3226" s="2" t="n">
        <v>8790</v>
      </c>
      <c r="D3226" s="3" t="inlineStr">
        <is>
          <t>Лапа</t>
        </is>
      </c>
      <c r="E3226" s="2" t="n">
        <v>1991</v>
      </c>
      <c r="F3226" s="2" t="inlineStr">
        <is>
          <t>кинофильм</t>
        </is>
      </c>
      <c r="G3226" s="2" t="n"/>
      <c r="H3226" s="2" t="n">
        <v>327</v>
      </c>
      <c r="I3226" s="2" t="inlineStr"/>
      <c r="J3226" s="2" t="inlineStr"/>
      <c r="K3226" s="3" t="inlineStr">
        <is>
          <t>Говорят, у мафии длинные руки. Но это не так. Не руки, а безжалостные звериные лапы сомкнулись на горле героя этой криминальной драмы, в которой представлен весь набор воздействия мафии на не угодных ей людей - убийство, спровоцированное самоубийство, доведение до сумасшествия, шантаж… Действие начинается в 70-е годы ХХ века.</t>
        </is>
      </c>
      <c r="L3226" s="2" t="inlineStr">
        <is>
          <t>Кино_СССР сводный каталог.xlsx: список фильмов (доп.)</t>
        </is>
      </c>
      <c r="M3226" s="2">
        <f>HYPERLINK("https://ru.wikipedia.org/w/index.php?search=%D0%9B%D0%B0%D0%BF%D0%B0%201991%20%D1%84%D0%B8%D0%BB%D1%8C%D0%BC","искать")</f>
        <v/>
      </c>
      <c r="N3226" s="3" t="n"/>
      <c r="O3226" s="2" t="n"/>
    </row>
    <row r="3227">
      <c r="A3227" s="2" t="n">
        <v>3226</v>
      </c>
      <c r="B3227" s="2" t="inlineStr"/>
      <c r="C3227" s="2" t="n">
        <v>8938</v>
      </c>
      <c r="D3227" s="3" t="inlineStr">
        <is>
          <t>Повелитель тьмы</t>
        </is>
      </c>
      <c r="E3227" s="2" t="n">
        <v>1990</v>
      </c>
      <c r="F3227" s="2" t="inlineStr">
        <is>
          <t>кинофильм</t>
        </is>
      </c>
      <c r="G3227" s="2" t="n"/>
      <c r="H3227" s="2" t="n">
        <v>327</v>
      </c>
      <c r="I3227" s="2" t="inlineStr"/>
      <c r="J3227" s="2" t="inlineStr"/>
      <c r="K3227" s="3" t="inlineStr">
        <is>
          <t>Когда у табунщика родился сын, Великий Повелитель подземного царства Эрлик-Хан предрек новорожденному, что именно он, достигнув семнадцатилетия, будет принесен в жертву во искупление людской гордыни. Но Мухамед - так назвал его отец — вырос добрым и отважным. Юноша сумел заставить Повелителя тьмы изменить свое предначертание.</t>
        </is>
      </c>
      <c r="L3227" s="2" t="inlineStr">
        <is>
          <t>Кино_СССР сводный каталог.xlsx: список фильмов (доп.)</t>
        </is>
      </c>
      <c r="M3227" s="2">
        <f>HYPERLINK("https://ru.wikipedia.org/w/index.php?search=%D0%9F%D0%BE%D0%B2%D0%B5%D0%BB%D0%B8%D1%82%D0%B5%D0%BB%D1%8C%20%D1%82%D1%8C%D0%BC%D1%8B%201990%20%D1%84%D0%B8%D0%BB%D1%8C%D0%BC","искать")</f>
        <v/>
      </c>
      <c r="N3227" s="3" t="n"/>
      <c r="O3227" s="2" t="n"/>
    </row>
    <row r="3228">
      <c r="A3228" s="2" t="n">
        <v>3227</v>
      </c>
      <c r="B3228" s="2" t="inlineStr"/>
      <c r="C3228" s="2" t="n">
        <v>9416</v>
      </c>
      <c r="D3228" s="3" t="inlineStr">
        <is>
          <t>Клан</t>
        </is>
      </c>
      <c r="E3228" s="2" t="n">
        <v>1991</v>
      </c>
      <c r="F3228" s="2" t="inlineStr">
        <is>
          <t>кинофильм</t>
        </is>
      </c>
      <c r="G3228" s="2" t="n"/>
      <c r="H3228" s="2" t="n">
        <v>327</v>
      </c>
      <c r="I3228" s="2" t="inlineStr"/>
      <c r="J3228" s="2" t="inlineStr"/>
      <c r="K3228" s="3" t="inlineStr">
        <is>
          <t>Об известном деле "Океан" (Краснодарский край) и законах торгово-партийной мафии брежневского периода. Двое московских следователей, расследуя дело о коррупции, становятся серьезной преградой для южной мафии. Преступники идут на все - от убийства свидетелей до вмешательства в следствие. Действие фильма происходит в 1982 году.</t>
        </is>
      </c>
      <c r="L3228" s="2" t="inlineStr">
        <is>
          <t>Кино_СССР сводный каталог.xlsx: список фильмов (доп.)</t>
        </is>
      </c>
      <c r="M3228" s="2">
        <f>HYPERLINK("https://ru.wikipedia.org/w/index.php?search=%D0%9A%D0%BB%D0%B0%D0%BD%201991%20%D1%84%D0%B8%D0%BB%D1%8C%D0%BC","искать")</f>
        <v/>
      </c>
      <c r="N3228" s="3" t="n"/>
      <c r="O3228" s="2" t="n"/>
    </row>
    <row r="3229">
      <c r="A3229" s="2" t="n">
        <v>3228</v>
      </c>
      <c r="B3229" s="2" t="inlineStr"/>
      <c r="C3229" s="2" t="n">
        <v>9723</v>
      </c>
      <c r="D3229" s="3" t="inlineStr">
        <is>
          <t>Фирма приключений</t>
        </is>
      </c>
      <c r="E3229" s="2" t="n">
        <v>1991</v>
      </c>
      <c r="F3229" s="2" t="inlineStr">
        <is>
          <t>кинофильм</t>
        </is>
      </c>
      <c r="G3229" s="2" t="n"/>
      <c r="H3229" s="2" t="n">
        <v>327</v>
      </c>
      <c r="I3229" s="2" t="inlineStr"/>
      <c r="J3229" s="2" t="inlineStr"/>
      <c r="K3229" s="3" t="inlineStr">
        <is>
          <t>Детектив по мотивам повести Павла Багряка. В городе при загадочных обстоятельствах исчезают и гибнут люди. Комиссар Гард и инспектор Таратура полагают, что все эти убийства - результат войны двух мафий. Но журналист Честер придерживается другого мнения. Он уверен, что преступления - результат деятельности "Фирмы приключений".</t>
        </is>
      </c>
      <c r="L3229" s="2" t="inlineStr">
        <is>
          <t>Кино_СССР сводный каталог.xlsx: список фильмов (доп.)</t>
        </is>
      </c>
      <c r="M3229" s="2">
        <f>HYPERLINK("https://ru.wikipedia.org/w/index.php?search=%D0%A4%D0%B8%D1%80%D0%BC%D0%B0%20%D0%BF%D1%80%D0%B8%D0%BA%D0%BB%D1%8E%D1%87%D0%B5%D0%BD%D0%B8%D0%B9%201991%20%D1%84%D0%B8%D0%BB%D1%8C%D0%BC","искать")</f>
        <v/>
      </c>
      <c r="N3229" s="3" t="n"/>
      <c r="O3229" s="2" t="n"/>
    </row>
    <row r="3230">
      <c r="A3230" s="2" t="n">
        <v>3229</v>
      </c>
      <c r="B3230" s="2" t="inlineStr"/>
      <c r="C3230" s="2" t="n">
        <v>7296</v>
      </c>
      <c r="D3230" s="3" t="inlineStr">
        <is>
          <t>В поисках капитана Гранта</t>
        </is>
      </c>
      <c r="E3230" s="2" t="n">
        <v>1985</v>
      </c>
      <c r="F3230" s="2" t="inlineStr">
        <is>
          <t>телефильм</t>
        </is>
      </c>
      <c r="G3230" s="2" t="n"/>
      <c r="H3230" s="2" t="n">
        <v>328</v>
      </c>
      <c r="I3230" s="2" t="inlineStr"/>
      <c r="J3230" s="2" t="inlineStr"/>
      <c r="K3230" s="3" t="inlineStr">
        <is>
          <t>Капитан Грант пустился в опасное плавание, чтобы основать вольное шотландское поселение на островах Тихого океана. Но его корабль терпит крушение, и лишь полуразмытая записка в бутылке доносит обрывочные сведения о Гранте. Лорд Гленарван на свой страх и риск отправляется на поиски, взяв с собой детей капитана - Мэри и Роберта.</t>
        </is>
      </c>
      <c r="L3230" s="2" t="inlineStr">
        <is>
          <t>Кино_СССР сводный каталог.xlsx: список телефильмов</t>
        </is>
      </c>
      <c r="M3230" s="2">
        <f>HYPERLINK("https://ru.wikipedia.org/w/index.php?search=%D0%92%20%D0%BF%D0%BE%D0%B8%D1%81%D0%BA%D0%B0%D1%85%20%D0%BA%D0%B0%D0%BF%D0%B8%D1%82%D0%B0%D0%BD%D0%B0%20%D0%93%D1%80%D0%B0%D0%BD%D1%82%D0%B0%201985%20%D1%84%D0%B8%D0%BB%D1%8C%D0%BC","искать")</f>
        <v/>
      </c>
      <c r="N3230" s="3" t="n"/>
      <c r="O3230" s="2" t="n"/>
    </row>
    <row r="3231">
      <c r="A3231" s="2" t="n">
        <v>3230</v>
      </c>
      <c r="B3231" s="2" t="inlineStr"/>
      <c r="C3231" s="2" t="n">
        <v>7489</v>
      </c>
      <c r="D3231" s="3" t="inlineStr">
        <is>
          <t>Девушка из легенды</t>
        </is>
      </c>
      <c r="E3231" s="2" t="n">
        <v>1980</v>
      </c>
      <c r="F3231" s="2" t="inlineStr">
        <is>
          <t>телефильм</t>
        </is>
      </c>
      <c r="G3231" s="2" t="n"/>
      <c r="H3231" s="2" t="n">
        <v>328</v>
      </c>
      <c r="I3231" s="2" t="inlineStr"/>
      <c r="J3231" s="2" t="inlineStr"/>
      <c r="K3231" s="3" t="inlineStr">
        <is>
          <t>В Туркестане идёт гражданская война. Многие люди встали с оружием в руках на защиту молодой Советской власти. Среди них и молодая Майна Хасанова. Она посвятила свою жизнь борьбе за идеалы революции. Майна, как девушка из легенды, совершит подвиг, рассказ о котором будут предавать из уст в уста многие поколения советских людей.</t>
        </is>
      </c>
      <c r="L3231" s="2" t="inlineStr">
        <is>
          <t>Кино_СССР сводный каталог.xlsx: список телефильмов</t>
        </is>
      </c>
      <c r="M3231" s="2">
        <f>HYPERLINK("https://ru.wikipedia.org/w/index.php?search=%D0%94%D0%B5%D0%B2%D1%83%D1%88%D0%BA%D0%B0%20%D0%B8%D0%B7%20%D0%BB%D0%B5%D0%B3%D0%B5%D0%BD%D0%B4%D1%8B%201980%20%D1%84%D0%B8%D0%BB%D1%8C%D0%BC","искать")</f>
        <v/>
      </c>
      <c r="N3231" s="3" t="n"/>
      <c r="O3231" s="2" t="n"/>
    </row>
    <row r="3232">
      <c r="A3232" s="2" t="n">
        <v>3231</v>
      </c>
      <c r="B3232" s="2" t="inlineStr"/>
      <c r="C3232" s="2" t="n">
        <v>7696</v>
      </c>
      <c r="D3232" s="3" t="inlineStr">
        <is>
          <t>Кавказский пленник</t>
        </is>
      </c>
      <c r="E3232" s="2" t="n">
        <v>1975</v>
      </c>
      <c r="F3232" s="2" t="inlineStr">
        <is>
          <t>телефильм</t>
        </is>
      </c>
      <c r="G3232" s="2" t="inlineStr">
        <is>
          <t>Грузия-фильм, Второе творческое объединение</t>
        </is>
      </c>
      <c r="H3232" s="2" t="n">
        <v>328</v>
      </c>
      <c r="I3232" s="2" t="inlineStr"/>
      <c r="J3232" s="2" t="inlineStr"/>
      <c r="K3232" s="3" t="inlineStr">
        <is>
          <t>Телефильм по мотивам одноименной повести Л.Н.Толстого. Служил на Кавказе офицер Жилин. Пришло ему письмо от матери и он решил съездить в отпуск домой. Но по дороге его и ещё одного русского офицера Костылина схватили татары (по вине Костылина, так как Костылин должен был прикрывать Жилина, но увидев татар начал убегать от них.</t>
        </is>
      </c>
      <c r="L3232" s="2" t="inlineStr">
        <is>
          <t>Кино_СССР сводный каталог.xlsx: список телефильмов</t>
        </is>
      </c>
      <c r="M3232" s="2">
        <f>HYPERLINK("https://ru.wikipedia.org/w/index.php?search=%D0%9A%D0%B0%D0%B2%D0%BA%D0%B0%D0%B7%D1%81%D0%BA%D0%B8%D0%B9%20%D0%BF%D0%BB%D0%B5%D0%BD%D0%BD%D0%B8%D0%BA%201975%20%D1%84%D0%B8%D0%BB%D1%8C%D0%BC","искать")</f>
        <v/>
      </c>
      <c r="N3232" s="3" t="n"/>
      <c r="O3232" s="2" t="n"/>
    </row>
    <row r="3233">
      <c r="A3233" s="2" t="n">
        <v>3232</v>
      </c>
      <c r="B3233" s="2" t="inlineStr"/>
      <c r="C3233" s="2" t="n">
        <v>7919</v>
      </c>
      <c r="D3233" s="3" t="inlineStr">
        <is>
          <t>Мы вместе, мама</t>
        </is>
      </c>
      <c r="E3233" s="2" t="n">
        <v>1976</v>
      </c>
      <c r="F3233" s="2" t="inlineStr">
        <is>
          <t>телефильм</t>
        </is>
      </c>
      <c r="G3233" s="2" t="n"/>
      <c r="H3233" s="2" t="n">
        <v>328</v>
      </c>
      <c r="I3233" s="2" t="inlineStr"/>
      <c r="J3233" s="2" t="inlineStr"/>
      <c r="K3233" s="3" t="inlineStr">
        <is>
          <t>Телефильм. После службы в армии Максим приехал работать шофером на строительство морского порта. Там он познакомился и подружился с маленьким Пашкой, сыном учетчицы Галины, которая скоро собирается выйти замуж. Но Пашке не нравится ухажер матери, и мальчик надеется на то, что она обратит внимание на доброго и веселого Максима.</t>
        </is>
      </c>
      <c r="L3233" s="2" t="inlineStr">
        <is>
          <t>Кино_СССР сводный каталог.xlsx: список телефильмов</t>
        </is>
      </c>
      <c r="M3233" s="2">
        <f>HYPERLINK("https://ru.wikipedia.org/w/index.php?search=%D0%9C%D1%8B%20%D0%B2%D0%BC%D0%B5%D1%81%D1%82%D0%B5%2C%20%D0%BC%D0%B0%D0%BC%D0%B0%201976%20%D1%84%D0%B8%D0%BB%D1%8C%D0%BC","искать")</f>
        <v/>
      </c>
      <c r="N3233" s="3" t="n"/>
      <c r="O3233" s="2" t="n"/>
    </row>
    <row r="3234">
      <c r="A3234" s="2" t="n">
        <v>3233</v>
      </c>
      <c r="B3234" s="2" t="inlineStr"/>
      <c r="C3234" s="2" t="n">
        <v>8136</v>
      </c>
      <c r="D3234" s="3" t="inlineStr">
        <is>
          <t>Подарок</t>
        </is>
      </c>
      <c r="E3234" s="2" t="n">
        <v>1983</v>
      </c>
      <c r="F3234" s="2" t="inlineStr">
        <is>
          <t>телефильм</t>
        </is>
      </c>
      <c r="G3234" s="2" t="n"/>
      <c r="H3234" s="2" t="n">
        <v>328</v>
      </c>
      <c r="I3234" s="2" t="inlineStr"/>
      <c r="J3234" s="2" t="inlineStr"/>
      <c r="K3234" s="3" t="inlineStr">
        <is>
          <t>О первой, чистой любви двенадцатилетних мальчиков Исмата, Олега и Мумина к более старшей, чем они, девушке Салиме. Соревнуясь между собой, чтобы привлечь к себе внимание Салимы, они пытались приобрести для нее подарки, попадая в различные комические ситуации. Неожиданная для влюбленных мальчиков развязка: Салима выходит замуж.</t>
        </is>
      </c>
      <c r="L3234" s="2" t="inlineStr">
        <is>
          <t>Кино_СССР сводный каталог.xlsx: список телефильмов</t>
        </is>
      </c>
      <c r="M3234" s="2">
        <f>HYPERLINK("https://ru.wikipedia.org/w/index.php?search=%D0%9F%D0%BE%D0%B4%D0%B0%D1%80%D0%BE%D0%BA%201983%20%D1%84%D0%B8%D0%BB%D1%8C%D0%BC","искать")</f>
        <v/>
      </c>
      <c r="N3234" s="3" t="n"/>
      <c r="O3234" s="2" t="n"/>
    </row>
    <row r="3235">
      <c r="A3235" s="2" t="n">
        <v>3234</v>
      </c>
      <c r="B3235" s="2" t="inlineStr"/>
      <c r="C3235" s="2" t="n">
        <v>8312</v>
      </c>
      <c r="D3235" s="3" t="inlineStr">
        <is>
          <t>Свечка яркая, как солнце</t>
        </is>
      </c>
      <c r="E3235" s="2" t="n">
        <v>1986</v>
      </c>
      <c r="F3235" s="2" t="inlineStr">
        <is>
          <t>телефильм</t>
        </is>
      </c>
      <c r="G3235" s="2" t="n"/>
      <c r="H3235" s="2" t="n">
        <v>328</v>
      </c>
      <c r="I3235" s="2" t="inlineStr"/>
      <c r="J3235" s="2" t="inlineStr"/>
      <c r="K3235" s="3" t="inlineStr">
        <is>
          <t>По мотивам рассказов латышской писательницы Вии Упмале. Живет в одном из сел Латвии мальчик Юрис. Как все дети он играет и шалит вместе с верным другом Марисом. Но есть у Юриса своя заветная тайна: редкий цветок "солнечная свечка", выращенный им в лесной чаще. Это сокровище он хочет подарить на свадьбу своей мамы и дяди Яниса.</t>
        </is>
      </c>
      <c r="L3235" s="2" t="inlineStr">
        <is>
          <t>Кино_СССР сводный каталог.xlsx: список телефильмов</t>
        </is>
      </c>
      <c r="M3235" s="2">
        <f>HYPERLINK("https://ru.wikipedia.org/w/index.php?search=%D0%A1%D0%B2%D0%B5%D1%87%D0%BA%D0%B0%20%D1%8F%D1%80%D0%BA%D0%B0%D1%8F%2C%20%D0%BA%D0%B0%D0%BA%20%D1%81%D0%BE%D0%BB%D0%BD%D1%86%D0%B5%201986%20%D1%84%D0%B8%D0%BB%D1%8C%D0%BC","искать")</f>
        <v/>
      </c>
      <c r="N3235" s="3" t="n"/>
      <c r="O3235" s="2" t="n"/>
    </row>
    <row r="3236">
      <c r="A3236" s="2" t="n">
        <v>3235</v>
      </c>
      <c r="B3236" s="2" t="inlineStr"/>
      <c r="C3236" s="2" t="n">
        <v>8328</v>
      </c>
      <c r="D3236" s="3" t="inlineStr">
        <is>
          <t>Семь дней Надежды</t>
        </is>
      </c>
      <c r="E3236" s="2" t="n">
        <v>1988</v>
      </c>
      <c r="F3236" s="2" t="inlineStr">
        <is>
          <t>телефильм</t>
        </is>
      </c>
      <c r="G3236" s="2" t="n"/>
      <c r="H3236" s="2" t="n">
        <v>328</v>
      </c>
      <c r="I3236" s="2" t="inlineStr"/>
      <c r="J3236" s="2" t="inlineStr"/>
      <c r="K3236" s="3" t="inlineStr">
        <is>
          <t>По мотивам пьесы М.Шатрова "Мои надежды". Молодую ткачиху Надежду Родионову, обслуживающую 12 станков, всячески поощряли на фабрике: наградили поездкой в Италию, дали новую квартиру, выдвинули кандидатом в депутаты Верховного Совета, при этом администрация фабрики закрывала глаза на то, что часть продукции Надежды была браком.</t>
        </is>
      </c>
      <c r="L3236" s="2" t="inlineStr">
        <is>
          <t>Кино_СССР сводный каталог.xlsx: список телефильмов</t>
        </is>
      </c>
      <c r="M3236" s="2">
        <f>HYPERLINK("https://ru.wikipedia.org/w/index.php?search=%D0%A1%D0%B5%D0%BC%D1%8C%20%D0%B4%D0%BD%D0%B5%D0%B9%20%D0%9D%D0%B0%D0%B4%D0%B5%D0%B6%D0%B4%D1%8B%201988%20%D1%84%D0%B8%D0%BB%D1%8C%D0%BC","искать")</f>
        <v/>
      </c>
      <c r="N3236" s="3" t="n"/>
      <c r="O3236" s="2" t="n"/>
    </row>
    <row r="3237">
      <c r="A3237" s="2" t="n">
        <v>3236</v>
      </c>
      <c r="B3237" s="2" t="inlineStr"/>
      <c r="C3237" s="2" t="n">
        <v>8369</v>
      </c>
      <c r="D3237" s="3" t="inlineStr">
        <is>
          <t>Снег в трауре</t>
        </is>
      </c>
      <c r="E3237" s="2" t="n">
        <v>1978</v>
      </c>
      <c r="F3237" s="2" t="inlineStr">
        <is>
          <t>телефильм</t>
        </is>
      </c>
      <c r="G3237" s="2" t="n"/>
      <c r="H3237" s="2" t="n">
        <v>328</v>
      </c>
      <c r="I3237" s="2" t="inlineStr"/>
      <c r="J3237" s="2" t="inlineStr"/>
      <c r="K3237" s="3" t="inlineStr">
        <is>
          <t>По мотивам одноименного романа Анри Труайя. В альпийской деревушке живут два брата — Исай и Марселин. В горах происходит крушение пассажирского самолета. Марселин уговаривает Исая подняться к месту катастрофы, чтобы собрать ценные вещи погибших. Поднявшись к обломкам самолета, братья обнаруживают тяжелораненую девушку-индуску.</t>
        </is>
      </c>
      <c r="L3237" s="2" t="inlineStr">
        <is>
          <t>Кино_СССР сводный каталог.xlsx: список телефильмов</t>
        </is>
      </c>
      <c r="M3237" s="2">
        <f>HYPERLINK("https://ru.wikipedia.org/w/index.php?search=%D0%A1%D0%BD%D0%B5%D0%B3%20%D0%B2%20%D1%82%D1%80%D0%B0%D1%83%D1%80%D0%B5%201978%20%D1%84%D0%B8%D0%BB%D1%8C%D0%BC","искать")</f>
        <v/>
      </c>
      <c r="N3237" s="3" t="n"/>
      <c r="O3237" s="2" t="n"/>
    </row>
    <row r="3238">
      <c r="A3238" s="2" t="n">
        <v>3237</v>
      </c>
      <c r="B3238" s="2" t="inlineStr"/>
      <c r="C3238" s="2" t="n">
        <v>9044</v>
      </c>
      <c r="D3238" s="3" t="inlineStr">
        <is>
          <t>Сказка о волшебном бисере</t>
        </is>
      </c>
      <c r="E3238" s="2" t="n">
        <v>1988</v>
      </c>
      <c r="F3238" s="2" t="inlineStr">
        <is>
          <t>кинофильм</t>
        </is>
      </c>
      <c r="G3238" s="2" t="n"/>
      <c r="H3238" s="2" t="n">
        <v>328</v>
      </c>
      <c r="I3238" s="2" t="inlineStr"/>
      <c r="J3238" s="2" t="inlineStr"/>
      <c r="K3238" s="3" t="inlineStr">
        <is>
          <t>По мотивам туркменских народных сказок. Юный пастух Мурад и красавица Айгуль полюбили друг друга. Но недолгим было счастье молодых. Злой дэв унес девушку и заточил в подземелье вместе с другими красавицами, горькие слезы которых превращались в серебристый бисер. Мурад с друзьями и братом Айгуль, Аманом, отправились ее спасать.</t>
        </is>
      </c>
      <c r="L3238" s="2" t="inlineStr">
        <is>
          <t>Кино_СССР сводный каталог.xlsx: список фильмов (доп.)</t>
        </is>
      </c>
      <c r="M3238" s="2">
        <f>HYPERLINK("https://ru.wikipedia.org/w/index.php?search=%D0%A1%D0%BA%D0%B0%D0%B7%D0%BA%D0%B0%20%D0%BE%20%D0%B2%D0%BE%D0%BB%D1%88%D0%B5%D0%B1%D0%BD%D0%BE%D0%BC%20%D0%B1%D0%B8%D1%81%D0%B5%D1%80%D0%B5%201988%20%D1%84%D0%B8%D0%BB%D1%8C%D0%BC","искать")</f>
        <v/>
      </c>
      <c r="N3238" s="3" t="n"/>
      <c r="O3238" s="2" t="n"/>
    </row>
    <row r="3239">
      <c r="A3239" s="2" t="n">
        <v>3238</v>
      </c>
      <c r="B3239" s="2" t="inlineStr"/>
      <c r="C3239" s="2" t="n">
        <v>9413</v>
      </c>
      <c r="D3239" s="3" t="inlineStr">
        <is>
          <t>Катафалк</t>
        </is>
      </c>
      <c r="E3239" s="2" t="n">
        <v>1990</v>
      </c>
      <c r="F3239" s="2" t="inlineStr">
        <is>
          <t>кинофильм</t>
        </is>
      </c>
      <c r="G3239" s="2" t="n"/>
      <c r="H3239" s="2" t="n">
        <v>328</v>
      </c>
      <c r="I3239" s="2" t="inlineStr"/>
      <c r="J3239" s="2" t="inlineStr"/>
      <c r="K3239" s="3" t="inlineStr">
        <is>
          <t>По мотивам рассказа Фланнери О'Коннор "Береги чужую жизнь - спасёшь свою". На берегу Черного моря в уединенном старом доме, где живут вдова партийного функционера, ожидающая собственную кончину, и слегка не от мира сего ее 18-летняя дочь, появляется молодой человек. Его визит - это сделка с матерью, желающей выдать дочь замуж.</t>
        </is>
      </c>
      <c r="L3239" s="2" t="inlineStr">
        <is>
          <t>Кино_СССР сводный каталог.xlsx: список фильмов (доп.)</t>
        </is>
      </c>
      <c r="M3239" s="2">
        <f>HYPERLINK("https://ru.wikipedia.org/w/index.php?search=%D0%9A%D0%B0%D1%82%D0%B0%D1%84%D0%B0%D0%BB%D0%BA%201990%20%D1%84%D0%B8%D0%BB%D1%8C%D0%BC","искать")</f>
        <v/>
      </c>
      <c r="N3239" s="3" t="n"/>
      <c r="O3239" s="2" t="n"/>
    </row>
    <row r="3240">
      <c r="A3240" s="2" t="n">
        <v>3239</v>
      </c>
      <c r="B3240" s="2" t="inlineStr"/>
      <c r="C3240" s="2" t="n">
        <v>9442</v>
      </c>
      <c r="D3240" s="3" t="inlineStr">
        <is>
          <t>Круг второй</t>
        </is>
      </c>
      <c r="E3240" s="2" t="n">
        <v>1990</v>
      </c>
      <c r="F3240" s="2" t="inlineStr">
        <is>
          <t>кинофильм</t>
        </is>
      </c>
      <c r="G3240" s="2" t="n"/>
      <c r="H3240" s="2" t="n">
        <v>328</v>
      </c>
      <c r="I3240" s="2" t="inlineStr"/>
      <c r="J3240" s="2" t="inlineStr"/>
      <c r="K3240" s="3" t="inlineStr">
        <is>
          <t>Герой фильма, у которого умер отец, проходит все круги, сужденные человеку в эту трагическую пору - и муку вины, и муку беспомощного сострадания... Эпическая простота и хроникальные подробности выявляют отсутствие связей в нашей жизни, механическую инерцию распавшихся общечеловеческих ритуалов, имевших когда-то глубокий смысл.</t>
        </is>
      </c>
      <c r="L3240" s="2" t="inlineStr">
        <is>
          <t>Кино_СССР сводный каталог.xlsx: список фильмов (доп.)</t>
        </is>
      </c>
      <c r="M3240" s="2">
        <f>HYPERLINK("https://ru.wikipedia.org/w/index.php?search=%D0%9A%D1%80%D1%83%D0%B3%20%D0%B2%D1%82%D0%BE%D1%80%D0%BE%D0%B9%201990%20%D1%84%D0%B8%D0%BB%D1%8C%D0%BC","искать")</f>
        <v/>
      </c>
      <c r="N3240" s="3" t="n"/>
      <c r="O3240" s="2" t="n"/>
    </row>
    <row r="3241">
      <c r="A3241" s="2" t="n">
        <v>3240</v>
      </c>
      <c r="B3241" s="2" t="inlineStr"/>
      <c r="C3241" s="2" t="n">
        <v>9514</v>
      </c>
      <c r="D3241" s="3" t="inlineStr">
        <is>
          <t>Ноль три</t>
        </is>
      </c>
      <c r="E3241" s="2" t="n">
        <v>1964</v>
      </c>
      <c r="F3241" s="2" t="inlineStr">
        <is>
          <t>кинофильм</t>
        </is>
      </c>
      <c r="G3241" s="2" t="n"/>
      <c r="H3241" s="2" t="n">
        <v>328</v>
      </c>
      <c r="I3241" s="2" t="inlineStr"/>
      <c r="J3241" s="2" t="inlineStr"/>
      <c r="K3241" s="3" t="inlineStr">
        <is>
          <t>По одноименной повести Я.Волчека и Норы Адамян. Врачи "Скорой помощи" Ольга и Теннов - оба одиноки, у обоих сыновья - ровесники. Уже давно они тянутся друг к другу, думают соединить свою жизнь. Но решающий разговор их прерывает голос диспетчера: "Третья бригада на вызов" - и они разъезжаются, не успев сказать всего друг другу.</t>
        </is>
      </c>
      <c r="L3241" s="2" t="inlineStr">
        <is>
          <t>Кино_СССР сводный каталог.xlsx: список фильмов (доп.)</t>
        </is>
      </c>
      <c r="M3241" s="2">
        <f>HYPERLINK("https://ru.wikipedia.org/w/index.php?search=%D0%9D%D0%BE%D0%BB%D1%8C%20%D1%82%D1%80%D0%B8%201964%20%D1%84%D0%B8%D0%BB%D1%8C%D0%BC","искать")</f>
        <v/>
      </c>
      <c r="N3241" s="3" t="n"/>
      <c r="O3241" s="2" t="n"/>
    </row>
    <row r="3242">
      <c r="A3242" s="2" t="n">
        <v>3241</v>
      </c>
      <c r="B3242" s="2" t="inlineStr"/>
      <c r="C3242" s="2" t="n">
        <v>9631</v>
      </c>
      <c r="D3242" s="3" t="inlineStr">
        <is>
          <t>Свеча</t>
        </is>
      </c>
      <c r="E3242" s="2" t="n">
        <v>1991</v>
      </c>
      <c r="F3242" s="2" t="inlineStr">
        <is>
          <t>кинофильм</t>
        </is>
      </c>
      <c r="G3242" s="2" t="n"/>
      <c r="H3242" s="2" t="n">
        <v>328</v>
      </c>
      <c r="I3242" s="2" t="inlineStr"/>
      <c r="J3242" s="2" t="inlineStr"/>
      <c r="K3242" s="3" t="inlineStr">
        <is>
          <t>Молодой художник, чувствуя, что теряет веру в себя, уезжает из города в деревню. Там он встречается с удивительными людьми, главным богатством которых является душа, и происходит его нравственное очищение. Вот тогда-то ему открывается истина о человеке, его предназначении. К нему приходит любовь. Он возвращается к самому себе.</t>
        </is>
      </c>
      <c r="L3242" s="2" t="inlineStr">
        <is>
          <t>Кино_СССР сводный каталог.xlsx: список фильмов (доп.)</t>
        </is>
      </c>
      <c r="M3242" s="2">
        <f>HYPERLINK("https://ru.wikipedia.org/w/index.php?search=%D0%A1%D0%B2%D0%B5%D1%87%D0%B0%201991%20%D1%84%D0%B8%D0%BB%D1%8C%D0%BC","искать")</f>
        <v/>
      </c>
      <c r="N3242" s="3" t="n"/>
      <c r="O3242" s="2" t="n"/>
    </row>
    <row r="3243">
      <c r="A3243" s="2" t="n">
        <v>3242</v>
      </c>
      <c r="B3243" s="2" t="inlineStr"/>
      <c r="C3243" s="2" t="n">
        <v>9783</v>
      </c>
      <c r="D3243" s="3" t="inlineStr">
        <is>
          <t>Я в полном порядке</t>
        </is>
      </c>
      <c r="E3243" s="2" t="n">
        <v>1989</v>
      </c>
      <c r="F3243" s="2" t="inlineStr">
        <is>
          <t>кинофильм</t>
        </is>
      </c>
      <c r="G3243" s="2" t="n"/>
      <c r="H3243" s="2" t="n">
        <v>328</v>
      </c>
      <c r="I3243" s="2" t="inlineStr"/>
      <c r="J3243" s="2" t="inlineStr"/>
      <c r="K3243" s="3" t="inlineStr">
        <is>
          <t>Рассказ о брачном аферисте всесоюзного масштаба, который однажды решив жениться, а заодно и проверить рентабельность своей домашней картотеки, убедился в ее беспорядке. Расстроенный неудачей Гвоздев знакомится в баре с Зиной и невольно оказывается втянутым в круг несчастий бывшей танцовщицы варьете (так она ему представилась).</t>
        </is>
      </c>
      <c r="L3243" s="2" t="inlineStr">
        <is>
          <t>Кино_СССР сводный каталог.xlsx: список фильмов (доп.)</t>
        </is>
      </c>
      <c r="M3243" s="2">
        <f>HYPERLINK("https://ru.wikipedia.org/w/index.php?search=%D0%AF%20%D0%B2%20%D0%BF%D0%BE%D0%BB%D0%BD%D0%BE%D0%BC%20%D0%BF%D0%BE%D1%80%D1%8F%D0%B4%D0%BA%D0%B5%201989%20%D1%84%D0%B8%D0%BB%D1%8C%D0%BC","искать")</f>
        <v/>
      </c>
      <c r="N3243" s="3" t="n"/>
      <c r="O3243" s="2" t="n"/>
    </row>
    <row r="3244">
      <c r="A3244" s="2" t="n">
        <v>3243</v>
      </c>
      <c r="B3244" s="2" t="inlineStr"/>
      <c r="C3244" s="2" t="n">
        <v>10335</v>
      </c>
      <c r="D3244" s="3" t="inlineStr">
        <is>
          <t>Тихая семейка</t>
        </is>
      </c>
      <c r="E3244" s="2" t="n">
        <v>1969</v>
      </c>
      <c r="F3244" s="2" t="inlineStr">
        <is>
          <t>фильм-спектакль</t>
        </is>
      </c>
      <c r="G3244" s="2" t="inlineStr">
        <is>
          <t>Центральное телевидение</t>
        </is>
      </c>
      <c r="H3244" s="2" t="n">
        <v>328</v>
      </c>
      <c r="I3244" s="2" t="inlineStr"/>
      <c r="J3244" s="2" t="inlineStr"/>
      <c r="K3244" s="3" t="inlineStr">
        <is>
          <t>Музыкальная комедия Юрия Милютина по мотивам пьесы французского драматурга Луи Вёлля.
В доме поселяется писатель, который хочет увидеть и отобразить быт рядового буржуа. Узнав об истинных целях постояльца, члены семьи решают разыграть его, заставив поверить, будто в недрах "тихой семейки" скрывается банда жуликов и гангстеров.</t>
        </is>
      </c>
      <c r="L3244" s="2" t="inlineStr">
        <is>
          <t>https://www.kino-teatr.ru/teatr/movie/106964/annot/</t>
        </is>
      </c>
      <c r="M3244" s="2">
        <f>HYPERLINK("https://ru.wikipedia.org/w/index.php?search=%D0%A2%D0%B8%D1%85%D0%B0%D1%8F%20%D1%81%D0%B5%D0%BC%D0%B5%D0%B9%D0%BA%D0%B0%201969%20%D1%84%D0%B8%D0%BB%D1%8C%D0%BC","искать")</f>
        <v/>
      </c>
      <c r="N3244" s="3" t="n"/>
      <c r="O3244" s="2" t="n"/>
    </row>
    <row r="3245">
      <c r="A3245" s="2" t="n">
        <v>3244</v>
      </c>
      <c r="B3245" s="2" t="inlineStr"/>
      <c r="C3245" s="2" t="n">
        <v>10696</v>
      </c>
      <c r="D3245" s="3" t="inlineStr">
        <is>
          <t>Машенька</t>
        </is>
      </c>
      <c r="E3245" s="2" t="n">
        <v>1977</v>
      </c>
      <c r="F3245" s="2" t="inlineStr">
        <is>
          <t>фильм-спектакль</t>
        </is>
      </c>
      <c r="G3245" s="2" t="inlineStr">
        <is>
          <t>Главная редакция литературно-драматических программ</t>
        </is>
      </c>
      <c r="H3245" s="2" t="n">
        <v>328</v>
      </c>
      <c r="I3245" s="2" t="inlineStr"/>
      <c r="J3245" s="2" t="inlineStr"/>
      <c r="K3245" s="3" t="inlineStr">
        <is>
          <t>По одноименной пьесе А.Афиногенова.
В дом профессора Окаемова неожиданно приезжает внучка Машенька. Нелегко ей понять сложный, замкнутый характер деда. Но жизнь, ворвавшаяся в дом с приходом девочки, не может оставить старика равнодушным, ему приносит радость и удовлетворение возникшее чувство ответственности за судьбу внучки.</t>
        </is>
      </c>
      <c r="L3245" s="2" t="inlineStr">
        <is>
          <t>https://www.kino-teatr.ru/teatr/movie/81942/annot/</t>
        </is>
      </c>
      <c r="M3245" s="2">
        <f>HYPERLINK("https://ru.wikipedia.org/w/index.php?search=%D0%9C%D0%B0%D1%88%D0%B5%D0%BD%D1%8C%D0%BA%D0%B0%201977%20%D1%84%D0%B8%D0%BB%D1%8C%D0%BC","искать")</f>
        <v/>
      </c>
      <c r="N3245" s="3" t="n"/>
      <c r="O3245" s="2" t="n"/>
    </row>
    <row r="3246">
      <c r="A3246" s="2" t="n">
        <v>3245</v>
      </c>
      <c r="B3246" s="2" t="inlineStr"/>
      <c r="C3246" s="2" t="n">
        <v>10766</v>
      </c>
      <c r="D3246" s="3" t="inlineStr">
        <is>
          <t>Парень из нашего города</t>
        </is>
      </c>
      <c r="E3246" s="2" t="n">
        <v>1978</v>
      </c>
      <c r="F3246" s="2" t="inlineStr">
        <is>
          <t>фильм-спектакль</t>
        </is>
      </c>
      <c r="G3246" s="2" t="n"/>
      <c r="H3246" s="2" t="n">
        <v>328</v>
      </c>
      <c r="I3246" s="2" t="inlineStr"/>
      <c r="J3246" s="2" t="inlineStr"/>
      <c r="K3246" s="3" t="inlineStr">
        <is>
          <t>Тяжелые испытания выпали на долю молодого офицера Сергея Луконина: война в Испании, ранение, бегство из плена, бои на Халкин-Голе. Но он преодолевает все трудности, проявляя мужество, убежденность в правоте дела, за которое борется.
В спектакле звучат стихи К.Симонова, М.Светлова, И.Уткина, К.Отрады, М.Кульчицкого, С.Гудзенко.</t>
        </is>
      </c>
      <c r="L3246" s="2" t="inlineStr">
        <is>
          <t>https://www.kino-teatr.ru/teatr/movie/81099/annot/</t>
        </is>
      </c>
      <c r="M3246" s="2">
        <f>HYPERLINK("https://ru.wikipedia.org/w/index.php?search=%D0%9F%D0%B0%D1%80%D0%B5%D0%BD%D1%8C%20%D0%B8%D0%B7%20%D0%BD%D0%B0%D1%88%D0%B5%D0%B3%D0%BE%20%D0%B3%D0%BE%D1%80%D0%BE%D0%B4%D0%B0%201978%20%D1%84%D0%B8%D0%BB%D1%8C%D0%BC","искать")</f>
        <v/>
      </c>
      <c r="N3246" s="3" t="n"/>
      <c r="O3246" s="2" t="n"/>
    </row>
    <row r="3247">
      <c r="A3247" s="2" t="n">
        <v>3246</v>
      </c>
      <c r="B3247" s="2" t="inlineStr"/>
      <c r="C3247" s="2" t="n">
        <v>7270</v>
      </c>
      <c r="D3247" s="3" t="inlineStr">
        <is>
          <t>Братья на рассвете</t>
        </is>
      </c>
      <c r="E3247" s="2" t="n">
        <v>1987</v>
      </c>
      <c r="F3247" s="2" t="inlineStr">
        <is>
          <t>телефильм</t>
        </is>
      </c>
      <c r="G3247" s="2" t="n"/>
      <c r="H3247" s="2" t="n">
        <v>329</v>
      </c>
      <c r="I3247" s="2" t="inlineStr"/>
      <c r="J3247" s="2" t="inlineStr"/>
      <c r="K3247" s="3" t="inlineStr">
        <is>
          <t>По роману известного литовского писателя А.Гудайтиса-Гузявичюса «Правда кузнеца Игнотаса». В фильме показана борьба за независимость Литвы в 1917- 1918 гг. Лейтмотивом становятся слова ксендза Канопки, сказанные митингующим деревенским беднякам: сапоги сшить - и то нужно уметь, а вы, безграмотные, хотите управлять государством.</t>
        </is>
      </c>
      <c r="L3247" s="2" t="inlineStr">
        <is>
          <t>Кино_СССР сводный каталог.xlsx: список телефильмов</t>
        </is>
      </c>
      <c r="M3247" s="2">
        <f>HYPERLINK("https://ru.wikipedia.org/w/index.php?search=%D0%91%D1%80%D0%B0%D1%82%D1%8C%D1%8F%20%D0%BD%D0%B0%20%D1%80%D0%B0%D1%81%D1%81%D0%B2%D0%B5%D1%82%D0%B5%201987%20%D1%84%D0%B8%D0%BB%D1%8C%D0%BC","искать")</f>
        <v/>
      </c>
      <c r="N3247" s="3" t="n"/>
      <c r="O3247" s="2" t="n"/>
    </row>
    <row r="3248">
      <c r="A3248" s="2" t="n">
        <v>3247</v>
      </c>
      <c r="B3248" s="2" t="inlineStr"/>
      <c r="C3248" s="2" t="n">
        <v>7939</v>
      </c>
      <c r="D3248" s="3" t="inlineStr">
        <is>
          <t>Надо любить</t>
        </is>
      </c>
      <c r="E3248" s="2" t="n">
        <v>1973</v>
      </c>
      <c r="F3248" s="2" t="inlineStr">
        <is>
          <t>телефильм</t>
        </is>
      </c>
      <c r="G3248" s="2" t="n"/>
      <c r="H3248" s="2" t="n">
        <v>329</v>
      </c>
      <c r="I3248" s="2" t="inlineStr"/>
      <c r="J3248" s="2" t="inlineStr"/>
      <c r="K3248" s="3" t="inlineStr">
        <is>
          <t>Телефильм по мотивам повести Б. Худайназарова "СОРМОВО-27". О людях, построивших в самом сердце Черной пустыни, полноводную реку - Каракумский канал, соединивший воды Аму-Дарьи и Каспия. Нелегок труд людей, живущих и работающих в пустыне, но в фильме идет речь не о суровости быта, а о нравственной атмосфере рабочего коллектива.</t>
        </is>
      </c>
      <c r="L3248" s="2" t="inlineStr">
        <is>
          <t>Кино_СССР сводный каталог.xlsx: список телефильмов</t>
        </is>
      </c>
      <c r="M3248" s="2">
        <f>HYPERLINK("https://ru.wikipedia.org/w/index.php?search=%D0%9D%D0%B0%D0%B4%D0%BE%20%D0%BB%D1%8E%D0%B1%D0%B8%D1%82%D1%8C%201973%20%D1%84%D0%B8%D0%BB%D1%8C%D0%BC","искать")</f>
        <v/>
      </c>
      <c r="N3248" s="3" t="n"/>
      <c r="O3248" s="2" t="n"/>
    </row>
    <row r="3249">
      <c r="A3249" s="2" t="n">
        <v>3248</v>
      </c>
      <c r="B3249" s="2" t="inlineStr"/>
      <c r="C3249" s="2" t="n">
        <v>8144</v>
      </c>
      <c r="D3249" s="3" t="inlineStr">
        <is>
          <t>Поезд со станции детства</t>
        </is>
      </c>
      <c r="E3249" s="2" t="n">
        <v>1986</v>
      </c>
      <c r="F3249" s="2" t="inlineStr">
        <is>
          <t>телефильм</t>
        </is>
      </c>
      <c r="G3249" s="2" t="n"/>
      <c r="H3249" s="2" t="n">
        <v>329</v>
      </c>
      <c r="I3249" s="2" t="inlineStr"/>
      <c r="J3249" s="2" t="inlineStr"/>
      <c r="K3249" s="3" t="inlineStr">
        <is>
          <t>События в фильме разворачиваются вокруг детской железной дороги. Юным железнодорожникам приходится противостоять хулиганским действиям группы подростков. Один из них, Камил, задержанный после очередного нападения на опустевшую станцию железной дороги, знакомится с ее начальником, Тахиром Усмановичем, и юными железнодорожниками.</t>
        </is>
      </c>
      <c r="L3249" s="2" t="inlineStr">
        <is>
          <t>Кино_СССР сводный каталог.xlsx: список телефильмов</t>
        </is>
      </c>
      <c r="M3249" s="2">
        <f>HYPERLINK("https://ru.wikipedia.org/w/index.php?search=%D0%9F%D0%BE%D0%B5%D0%B7%D0%B4%20%D1%81%D0%BE%20%D1%81%D1%82%D0%B0%D0%BD%D1%86%D0%B8%D0%B8%20%D0%B4%D0%B5%D1%82%D1%81%D1%82%D0%B2%D0%B0%201986%20%D1%84%D0%B8%D0%BB%D1%8C%D0%BC","искать")</f>
        <v/>
      </c>
      <c r="N3249" s="3" t="n"/>
      <c r="O3249" s="2" t="n"/>
    </row>
    <row r="3250">
      <c r="A3250" s="2" t="n">
        <v>3249</v>
      </c>
      <c r="B3250" s="2" t="inlineStr"/>
      <c r="C3250" s="2" t="n">
        <v>8147</v>
      </c>
      <c r="D3250" s="3" t="inlineStr">
        <is>
          <t>Поживём - увидим</t>
        </is>
      </c>
      <c r="E3250" s="2" t="n">
        <v>1985</v>
      </c>
      <c r="F3250" s="2" t="inlineStr">
        <is>
          <t>телефильм</t>
        </is>
      </c>
      <c r="G3250" s="2" t="n"/>
      <c r="H3250" s="2" t="n">
        <v>329</v>
      </c>
      <c r="I3250" s="2" t="inlineStr"/>
      <c r="J3250" s="2" t="inlineStr"/>
      <c r="K3250" s="3" t="inlineStr">
        <is>
          <t>Деревенский паренек, Алексей Горохов, слывет чудаком и сумасбродом. Он полон невероятных идей, которые смешат его односельчан, но на поверку они оказываются не такими уж нелепыми: картошка, посаженная в сетках, дала обильный урожай; поросенок, взятый на "воспитание", превратился в хорошую свинью; а возле школы появился колодец.</t>
        </is>
      </c>
      <c r="L3250" s="2" t="inlineStr">
        <is>
          <t>Кино_СССР сводный каталог.xlsx: список телефильмов</t>
        </is>
      </c>
      <c r="M3250" s="2">
        <f>HYPERLINK("https://ru.wikipedia.org/w/index.php?search=%D0%9F%D0%BE%D0%B6%D0%B8%D0%B2%D1%91%D0%BC%20-%20%D1%83%D0%B2%D0%B8%D0%B4%D0%B8%D0%BC%201985%20%D1%84%D0%B8%D0%BB%D1%8C%D0%BC","искать")</f>
        <v/>
      </c>
      <c r="N3250" s="3" t="n"/>
      <c r="O3250" s="2" t="n"/>
    </row>
    <row r="3251">
      <c r="A3251" s="2" t="n">
        <v>3250</v>
      </c>
      <c r="B3251" s="2" t="inlineStr"/>
      <c r="C3251" s="2" t="n">
        <v>8500</v>
      </c>
      <c r="D3251" s="3" t="inlineStr">
        <is>
          <t>Улыбки Нечипоровки</t>
        </is>
      </c>
      <c r="E3251" s="2" t="n">
        <v>1982</v>
      </c>
      <c r="F3251" s="2" t="inlineStr">
        <is>
          <t>телефильм</t>
        </is>
      </c>
      <c r="G3251" s="2" t="n"/>
      <c r="H3251" s="2" t="n">
        <v>329</v>
      </c>
      <c r="I3251" s="2" t="inlineStr"/>
      <c r="J3251" s="2" t="inlineStr"/>
      <c r="K3251" s="3" t="inlineStr">
        <is>
          <t>Давным-давно в одном селе отдыхал усталый путник. Звали его Нечипором. И вот Нечипор во сне увидел, как девушки подарили ему шкатулку. А вдоль шкатулки оказался скрипичный ключ. Он и стал символом Нечипоровки. И село назвали в честь его создателя - Нечипоровкой... Песни исполняют ансамбли "Краяне", "Явор", Лилия Сандулеса и др.</t>
        </is>
      </c>
      <c r="L3251" s="2" t="inlineStr">
        <is>
          <t>Кино_СССР сводный каталог.xlsx: список телефильмов</t>
        </is>
      </c>
      <c r="M3251" s="2">
        <f>HYPERLINK("https://ru.wikipedia.org/w/index.php?search=%D0%A3%D0%BB%D1%8B%D0%B1%D0%BA%D0%B8%20%D0%9D%D0%B5%D1%87%D0%B8%D0%BF%D0%BE%D1%80%D0%BE%D0%B2%D0%BA%D0%B8%201982%20%D1%84%D0%B8%D0%BB%D1%8C%D0%BC","искать")</f>
        <v/>
      </c>
      <c r="N3251" s="3" t="n"/>
      <c r="O3251" s="2" t="n"/>
    </row>
    <row r="3252">
      <c r="A3252" s="2" t="n">
        <v>3251</v>
      </c>
      <c r="B3252" s="2" t="inlineStr"/>
      <c r="C3252" s="2" t="n">
        <v>8927</v>
      </c>
      <c r="D3252" s="3" t="inlineStr">
        <is>
          <t>Перестройка</t>
        </is>
      </c>
      <c r="E3252" s="2" t="n">
        <v>1990</v>
      </c>
      <c r="F3252" s="2" t="inlineStr">
        <is>
          <t>кинофильм</t>
        </is>
      </c>
      <c r="G3252" s="2" t="n"/>
      <c r="H3252" s="2" t="n">
        <v>329</v>
      </c>
      <c r="I3252" s="2" t="inlineStr"/>
      <c r="J3252" s="2" t="inlineStr"/>
      <c r="K3252" s="3" t="inlineStr">
        <is>
          <t>1990 год... Начало Горбачевской перестройки и развала СССР... Ахмедка и его Тостый друг, следуя духу времени, переезжают в город, дабы заняться бизнесом, но попадают в руки мощной организованной преступной группировке старушек во главе с деспотичной Фармонбиби. Ожесточенная борьба переростает в войну, которая содрагает планету!</t>
        </is>
      </c>
      <c r="L3252" s="2" t="inlineStr">
        <is>
          <t>Кино_СССР сводный каталог.xlsx: список фильмов (доп.)</t>
        </is>
      </c>
      <c r="M3252" s="2">
        <f>HYPERLINK("https://ru.wikipedia.org/w/index.php?search=%D0%9F%D0%B5%D1%80%D0%B5%D1%81%D1%82%D1%80%D0%BE%D0%B9%D0%BA%D0%B0%201990%20%D1%84%D0%B8%D0%BB%D1%8C%D0%BC","искать")</f>
        <v/>
      </c>
      <c r="N3252" s="3" t="n"/>
      <c r="O3252" s="2" t="n"/>
    </row>
    <row r="3253">
      <c r="A3253" s="2" t="n">
        <v>3252</v>
      </c>
      <c r="B3253" s="2" t="inlineStr"/>
      <c r="C3253" s="2" t="n">
        <v>9218</v>
      </c>
      <c r="D3253" s="3" t="inlineStr">
        <is>
          <t>Балкон</t>
        </is>
      </c>
      <c r="E3253" s="2" t="n">
        <v>1988</v>
      </c>
      <c r="F3253" s="2" t="inlineStr">
        <is>
          <t>кинофильм</t>
        </is>
      </c>
      <c r="G3253" s="2" t="n"/>
      <c r="H3253" s="2" t="n">
        <v>329</v>
      </c>
      <c r="I3253" s="2" t="inlineStr"/>
      <c r="J3253" s="2" t="inlineStr"/>
      <c r="K3253" s="3" t="inlineStr">
        <is>
          <t>По мотивам поэзии Олжаса Сулейманова. Действие фильма происходит в пятидесятые годы. Жанна и ее младший брат Айдар остались без родителей. Во время войны муж Жанны пропал без вести. Взывая о помощи, беспомощная и доверчивая молодая женщина ежедневно пишет письма маршалу Жукову, а младший брат, подтрунивая, поощряет ее действия.</t>
        </is>
      </c>
      <c r="L3253" s="2" t="inlineStr">
        <is>
          <t>Кино_СССР сводный каталог.xlsx: список фильмов (доп.)</t>
        </is>
      </c>
      <c r="M3253" s="2">
        <f>HYPERLINK("https://ru.wikipedia.org/w/index.php?search=%D0%91%D0%B0%D0%BB%D0%BA%D0%BE%D0%BD%201988%20%D1%84%D0%B8%D0%BB%D1%8C%D0%BC","искать")</f>
        <v/>
      </c>
      <c r="N3253" s="3" t="n"/>
      <c r="O3253" s="2" t="n"/>
    </row>
    <row r="3254">
      <c r="A3254" s="2" t="n">
        <v>3253</v>
      </c>
      <c r="B3254" s="2" t="inlineStr"/>
      <c r="C3254" s="2" t="n">
        <v>7259</v>
      </c>
      <c r="D3254" s="3" t="inlineStr">
        <is>
          <t>Бой на перекрестке</t>
        </is>
      </c>
      <c r="E3254" s="2" t="n">
        <v>1982</v>
      </c>
      <c r="F3254" s="2" t="inlineStr">
        <is>
          <t>телефильм</t>
        </is>
      </c>
      <c r="G3254" s="2" t="n"/>
      <c r="H3254" s="2" t="n">
        <v>330</v>
      </c>
      <c r="I3254" s="2" t="inlineStr"/>
      <c r="J3254" s="2" t="inlineStr"/>
      <c r="K3254" s="3" t="inlineStr">
        <is>
          <t>Телефильм. Историко-революционный фильм по мотивам романа А. Марченко "Третьего не дано". Первые годы становления ВЧК. Медсестра Юнна Ружич и поэт Лафар, ставшие чекистами, принимают активное участие в раскрытии контрреволюционного заговора в Москве в 1918 году. Песни на слова Виктора Харитонова и кинооператора Евгения Кряквина.</t>
        </is>
      </c>
      <c r="L3254" s="2" t="inlineStr">
        <is>
          <t>Кино_СССР сводный каталог.xlsx: список телефильмов</t>
        </is>
      </c>
      <c r="M3254" s="2">
        <f>HYPERLINK("https://ru.wikipedia.org/w/index.php?search=%D0%91%D0%BE%D0%B9%20%D0%BD%D0%B0%20%D0%BF%D0%B5%D1%80%D0%B5%D0%BA%D1%80%D0%B5%D1%81%D1%82%D0%BA%D0%B5%201982%20%D1%84%D0%B8%D0%BB%D1%8C%D0%BC","искать")</f>
        <v/>
      </c>
      <c r="N3254" s="3" t="n"/>
      <c r="O3254" s="2" t="n"/>
    </row>
    <row r="3255">
      <c r="A3255" s="2" t="n">
        <v>3254</v>
      </c>
      <c r="B3255" s="2" t="inlineStr"/>
      <c r="C3255" s="2" t="n">
        <v>7261</v>
      </c>
      <c r="D3255" s="3" t="inlineStr">
        <is>
          <t>Большая игра</t>
        </is>
      </c>
      <c r="E3255" s="2" t="n">
        <v>1988</v>
      </c>
      <c r="F3255" s="2" t="inlineStr">
        <is>
          <t>телефильм</t>
        </is>
      </c>
      <c r="G3255" s="2" t="inlineStr">
        <is>
          <t>Ленфильм</t>
        </is>
      </c>
      <c r="H3255" s="2" t="n">
        <v>330</v>
      </c>
      <c r="I3255" s="2" t="inlineStr"/>
      <c r="J3255" s="2" t="inlineStr"/>
      <c r="K3255" s="3" t="inlineStr">
        <is>
          <t>По роману Юлиана Семенова «Пресс-центр». Во время военного переворота одной из латиноамериканских стран убит миллионер Грацио, финансировавший проект единой энергосистемы этой страны. Вскоре был тяжело ранен болгарский журналист, после чего к расследованию подключился советский писатель, журналист-международник Дмитрий Степанов.</t>
        </is>
      </c>
      <c r="L3255" s="2" t="inlineStr">
        <is>
          <t>Кино_СССР сводный каталог.xlsx: список телефильмов</t>
        </is>
      </c>
      <c r="M3255" s="2">
        <f>HYPERLINK("https://ru.wikipedia.org/w/index.php?search=%D0%91%D0%BE%D0%BB%D1%8C%D1%88%D0%B0%D1%8F%20%D0%B8%D0%B3%D1%80%D0%B0%201988%20%D1%84%D0%B8%D0%BB%D1%8C%D0%BC","искать")</f>
        <v/>
      </c>
      <c r="N3255" s="3" t="n"/>
      <c r="O3255" s="2" t="n"/>
    </row>
    <row r="3256">
      <c r="A3256" s="2" t="n">
        <v>3255</v>
      </c>
      <c r="B3256" s="2" t="inlineStr"/>
      <c r="C3256" s="2" t="n">
        <v>7273</v>
      </c>
      <c r="D3256" s="3" t="inlineStr">
        <is>
          <t>Бронзовая птица</t>
        </is>
      </c>
      <c r="E3256" s="2" t="n">
        <v>1973</v>
      </c>
      <c r="F3256" s="2" t="inlineStr">
        <is>
          <t>телефильм</t>
        </is>
      </c>
      <c r="G3256" s="2" t="inlineStr">
        <is>
          <t>Беларусьфильм</t>
        </is>
      </c>
      <c r="H3256" s="2" t="n">
        <v>330</v>
      </c>
      <c r="I3256" s="2" t="inlineStr"/>
      <c r="J3256" s="2" t="inlineStr"/>
      <c r="K3256" s="3" t="inlineStr">
        <is>
          <t>Телесериал. Экранизация повести Анатолия Рыбакова "Бронзовая птица". Друзья отправляются в пионерский лагерь под Москву. Это совершенно особенное место: бывшая дворянская усадьба графа Карагаева, в которой до сих пор живет старая дама, по слухам - сама графиня. Но самое интересное в том, что где-то рядом с усадьбой спрятан клад.</t>
        </is>
      </c>
      <c r="L3256" s="2" t="inlineStr">
        <is>
          <t>Кино_СССР сводный каталог.xlsx: список телефильмов</t>
        </is>
      </c>
      <c r="M3256" s="2">
        <f>HYPERLINK("https://ru.wikipedia.org/w/index.php?search=%D0%91%D1%80%D0%BE%D0%BD%D0%B7%D0%BE%D0%B2%D0%B0%D1%8F%20%D0%BF%D1%82%D0%B8%D1%86%D0%B0%201973%20%D1%84%D0%B8%D0%BB%D1%8C%D0%BC","искать")</f>
        <v/>
      </c>
      <c r="N3256" s="3" t="n"/>
      <c r="O3256" s="2" t="n"/>
    </row>
    <row r="3257">
      <c r="A3257" s="2" t="n">
        <v>3256</v>
      </c>
      <c r="B3257" s="2" t="inlineStr"/>
      <c r="C3257" s="2" t="n">
        <v>7341</v>
      </c>
      <c r="D3257" s="3" t="inlineStr">
        <is>
          <t>Визит дамы</t>
        </is>
      </c>
      <c r="E3257" s="2" t="n">
        <v>1989</v>
      </c>
      <c r="F3257" s="2" t="inlineStr">
        <is>
          <t>телефильм</t>
        </is>
      </c>
      <c r="G3257" s="2" t="n"/>
      <c r="H3257" s="2" t="n">
        <v>330</v>
      </c>
      <c r="I3257" s="2" t="inlineStr"/>
      <c r="J3257" s="2" t="inlineStr"/>
      <c r="K3257" s="3" t="inlineStr">
        <is>
          <t>Трагифарс по мотивам пьесы Ф.Дюренматта "Визит старой дамы". На свою родину, в маленький городок, приезжает миллиардерша Клер Цаханасян. Когда-то она вынуждена была отсюда бежать, нищая и опозоренная. Теперь она готова подарить городу миллиард, но взамен требует жизнь своего бывшего возлюбленного, предавшего ее в трудную минуту.</t>
        </is>
      </c>
      <c r="L3257" s="2" t="inlineStr">
        <is>
          <t>Кино_СССР сводный каталог.xlsx: список телефильмов</t>
        </is>
      </c>
      <c r="M3257" s="2">
        <f>HYPERLINK("https://ru.wikipedia.org/w/index.php?search=%D0%92%D0%B8%D0%B7%D0%B8%D1%82%20%D0%B4%D0%B0%D0%BC%D1%8B%201989%20%D1%84%D0%B8%D0%BB%D1%8C%D0%BC","искать")</f>
        <v/>
      </c>
      <c r="N3257" s="3" t="n"/>
      <c r="O3257" s="2" t="n"/>
    </row>
    <row r="3258">
      <c r="A3258" s="2" t="n">
        <v>3257</v>
      </c>
      <c r="B3258" s="2" t="inlineStr"/>
      <c r="C3258" s="2" t="n">
        <v>7624</v>
      </c>
      <c r="D3258" s="3" t="inlineStr">
        <is>
          <t>Задача с тремя неизвестными</t>
        </is>
      </c>
      <c r="E3258" s="2" t="n">
        <v>1979</v>
      </c>
      <c r="F3258" s="2" t="inlineStr">
        <is>
          <t>телефильм</t>
        </is>
      </c>
      <c r="G3258" s="2" t="n"/>
      <c r="H3258" s="2" t="n">
        <v>330</v>
      </c>
      <c r="I3258" s="2" t="inlineStr"/>
      <c r="J3258" s="2" t="inlineStr"/>
      <c r="K3258" s="3" t="inlineStr">
        <is>
          <t>Телефильм. Уголовный розыск ведет расследование дела об ограблении заводского кассира. У проходной завода точной механики и оптики двое преступников нападают на кассира. Преступникам удается скрыться на машине, ожидавшей их за углом. На место преступления прибывают работники уголовного розыска майор Дорохов и лейтенант Матушкин.</t>
        </is>
      </c>
      <c r="L3258" s="2" t="inlineStr">
        <is>
          <t>Кино_СССР сводный каталог.xlsx: список телефильмов</t>
        </is>
      </c>
      <c r="M3258" s="2">
        <f>HYPERLINK("https://ru.wikipedia.org/w/index.php?search=%D0%97%D0%B0%D0%B4%D0%B0%D1%87%D0%B0%20%D1%81%20%D1%82%D1%80%D0%B5%D0%BC%D1%8F%20%D0%BD%D0%B5%D0%B8%D0%B7%D0%B2%D0%B5%D1%81%D1%82%D0%BD%D1%8B%D0%BC%D0%B8%201979%20%D1%84%D0%B8%D0%BB%D1%8C%D0%BC","искать")</f>
        <v/>
      </c>
      <c r="N3258" s="3" t="n"/>
      <c r="O3258" s="2" t="n"/>
    </row>
    <row r="3259">
      <c r="A3259" s="2" t="n">
        <v>3258</v>
      </c>
      <c r="B3259" s="2" t="inlineStr"/>
      <c r="C3259" s="2" t="n">
        <v>8215</v>
      </c>
      <c r="D3259" s="3" t="inlineStr">
        <is>
          <t>Принц и нищий</t>
        </is>
      </c>
      <c r="E3259" s="2" t="n">
        <v>1972</v>
      </c>
      <c r="F3259" s="2" t="inlineStr">
        <is>
          <t>телефильм</t>
        </is>
      </c>
      <c r="G3259" s="2" t="n"/>
      <c r="H3259" s="2" t="n">
        <v>330</v>
      </c>
      <c r="I3259" s="2" t="inlineStr"/>
      <c r="J3259" s="2" t="inlineStr"/>
      <c r="K3259" s="3" t="inlineStr">
        <is>
          <t>Телефильм по мотивам одноименного романа Марка Твена. Молодой воришка Томи отправляется во дворец, чтобы поблагодарить своего спасителя, заплатившего за него выкуп бандитам, но неожиданно сталкивается лицом к лицу с принцем Эдуардом, который как две капли воды похож на него. Двое молодых людей решают на время поменяться местами.</t>
        </is>
      </c>
      <c r="L3259" s="2" t="inlineStr">
        <is>
          <t>Кино_СССР сводный каталог.xlsx: список телефильмов</t>
        </is>
      </c>
      <c r="M3259" s="2">
        <f>HYPERLINK("https://ru.wikipedia.org/w/index.php?search=%D0%9F%D1%80%D0%B8%D0%BD%D1%86%20%D0%B8%20%D0%BD%D0%B8%D1%89%D0%B8%D0%B9%201972%20%D1%84%D0%B8%D0%BB%D1%8C%D0%BC","искать")</f>
        <v/>
      </c>
      <c r="N3259" s="3" t="n"/>
      <c r="O3259" s="2" t="n"/>
    </row>
    <row r="3260">
      <c r="A3260" s="2" t="n">
        <v>3259</v>
      </c>
      <c r="B3260" s="2" t="inlineStr"/>
      <c r="C3260" s="2" t="n">
        <v>8288</v>
      </c>
      <c r="D3260" s="3" t="inlineStr">
        <is>
          <t>Руфь</t>
        </is>
      </c>
      <c r="E3260" s="2" t="n">
        <v>1989</v>
      </c>
      <c r="F3260" s="2" t="inlineStr">
        <is>
          <t>телефильм</t>
        </is>
      </c>
      <c r="G3260" s="2" t="n"/>
      <c r="H3260" s="2" t="n">
        <v>330</v>
      </c>
      <c r="I3260" s="2" t="inlineStr"/>
      <c r="J3260" s="2" t="inlineStr"/>
      <c r="K3260" s="3" t="inlineStr">
        <is>
          <t>Судьба героини фильма Мари Ломбаль-Булатовой повторяет жизнь французской пианистки Лотар-Шевченко, которая в 1930-е годы вышла замуж за советского дипломата, уехала с ним в Советский Союз, была репрессирована вместе с мужем и провела в тюрьме многие годы... Сценарий фильма написан Евгением Козловским по его же одноименной пьесе.</t>
        </is>
      </c>
      <c r="L3260" s="2" t="inlineStr">
        <is>
          <t>Кино_СССР сводный каталог.xlsx: список телефильмов</t>
        </is>
      </c>
      <c r="M3260" s="2">
        <f>HYPERLINK("https://ru.wikipedia.org/w/index.php?search=%D0%A0%D1%83%D1%84%D1%8C%201989%20%D1%84%D0%B8%D0%BB%D1%8C%D0%BC","искать")</f>
        <v/>
      </c>
      <c r="N3260" s="3" t="n"/>
      <c r="O3260" s="2" t="n"/>
    </row>
    <row r="3261">
      <c r="A3261" s="2" t="n">
        <v>3260</v>
      </c>
      <c r="B3261" s="2" t="inlineStr"/>
      <c r="C3261" s="2" t="n">
        <v>8845</v>
      </c>
      <c r="D3261" s="3" t="inlineStr">
        <is>
          <t>Московская любовь</t>
        </is>
      </c>
      <c r="E3261" s="2" t="n">
        <v>1991</v>
      </c>
      <c r="F3261" s="2" t="inlineStr">
        <is>
          <t>кинофильм</t>
        </is>
      </c>
      <c r="G3261" s="2" t="n"/>
      <c r="H3261" s="2" t="n">
        <v>330</v>
      </c>
      <c r="I3261" s="2" t="inlineStr"/>
      <c r="J3261" s="2" t="inlineStr"/>
      <c r="K3261" s="3" t="inlineStr">
        <is>
          <t>Два молодых бизнесмена разрабатывают рискованную финансовую операцию. Удача близка, но каждый из них оказывается перед выбором между деньгами и преданными друзьями, любимой женщиной и выгодными компаньонами. Авантюрная мелодрама из жизни "треугольников": бедняк, богач (директор банка) и юная, но умудренная житейским опытом Катя.</t>
        </is>
      </c>
      <c r="L3261" s="2" t="inlineStr">
        <is>
          <t>Кино_СССР сводный каталог.xlsx: список фильмов (доп.)</t>
        </is>
      </c>
      <c r="M3261" s="2">
        <f>HYPERLINK("https://ru.wikipedia.org/w/index.php?search=%D0%9C%D0%BE%D1%81%D0%BA%D0%BE%D0%B2%D1%81%D0%BA%D0%B0%D1%8F%20%D0%BB%D1%8E%D0%B1%D0%BE%D0%B2%D1%8C%201991%20%D1%84%D0%B8%D0%BB%D1%8C%D0%BC","искать")</f>
        <v/>
      </c>
      <c r="N3261" s="3" t="n"/>
      <c r="O3261" s="2" t="n"/>
    </row>
    <row r="3262">
      <c r="A3262" s="2" t="n">
        <v>3261</v>
      </c>
      <c r="B3262" s="2" t="inlineStr"/>
      <c r="C3262" s="2" t="n">
        <v>9028</v>
      </c>
      <c r="D3262" s="3" t="inlineStr">
        <is>
          <t>Сафари - 6</t>
        </is>
      </c>
      <c r="E3262" s="2" t="n">
        <v>1990</v>
      </c>
      <c r="F3262" s="2" t="inlineStr">
        <is>
          <t>кинофильм</t>
        </is>
      </c>
      <c r="G3262" s="2" t="n"/>
      <c r="H3262" s="2" t="n">
        <v>330</v>
      </c>
      <c r="I3262" s="2" t="inlineStr"/>
      <c r="J3262" s="2" t="inlineStr"/>
      <c r="K3262" s="3" t="inlineStr">
        <is>
          <t>В непонятно какой стране идет гражданская война. В палаточный лагерь по заданию из штаба прибывает офицер, молодой капитан Андер, не принимающий бардака и вольницы среди бойцов-"волосатиков", смахивающих на наемников. В спецгруппу Андера назначаются надежный сержант Гез и опытный капрал Гредо, с которым у сержанта старая вражда.</t>
        </is>
      </c>
      <c r="L3262" s="2" t="inlineStr">
        <is>
          <t>Кино_СССР сводный каталог.xlsx: список фильмов (доп.)</t>
        </is>
      </c>
      <c r="M3262" s="2">
        <f>HYPERLINK("https://ru.wikipedia.org/w/index.php?search=%D0%A1%D0%B0%D1%84%D0%B0%D1%80%D0%B8%20-%206%201990%20%D1%84%D0%B8%D0%BB%D1%8C%D0%BC","искать")</f>
        <v/>
      </c>
      <c r="N3262" s="3" t="n"/>
      <c r="O3262" s="2" t="n"/>
    </row>
    <row r="3263">
      <c r="A3263" s="2" t="n">
        <v>3262</v>
      </c>
      <c r="B3263" s="2" t="inlineStr"/>
      <c r="C3263" s="2" t="n">
        <v>9374</v>
      </c>
      <c r="D3263" s="3" t="inlineStr">
        <is>
          <t>Затерянный в Сибири</t>
        </is>
      </c>
      <c r="E3263" s="2" t="n">
        <v>1991</v>
      </c>
      <c r="F3263" s="2" t="inlineStr">
        <is>
          <t>кинофильм</t>
        </is>
      </c>
      <c r="G3263" s="2" t="n"/>
      <c r="H3263" s="2" t="n">
        <v>330</v>
      </c>
      <c r="I3263" s="2" t="inlineStr"/>
      <c r="J3263" s="2" t="inlineStr"/>
      <c r="K3263" s="3" t="inlineStr">
        <is>
          <t>Английского археолога Миллера, работавшего на раскопках в Иране, выкрали советские чекисты, по ошибке приняв за американского шпиона. После допросов на Лубянке ученый «сознался» в том, что работает не только на американскую, но и на английскую, а также на японскую разведки. Попав в ГУЛАГ, англичанин проходит через все круги ада.</t>
        </is>
      </c>
      <c r="L3263" s="2" t="inlineStr">
        <is>
          <t>Кино_СССР сводный каталог.xlsx: список фильмов (доп.)</t>
        </is>
      </c>
      <c r="M3263" s="2">
        <f>HYPERLINK("https://ru.wikipedia.org/w/index.php?search=%D0%97%D0%B0%D1%82%D0%B5%D1%80%D1%8F%D0%BD%D0%BD%D1%8B%D0%B9%20%D0%B2%20%D0%A1%D0%B8%D0%B1%D0%B8%D1%80%D0%B8%201991%20%D1%84%D0%B8%D0%BB%D1%8C%D0%BC","искать")</f>
        <v/>
      </c>
      <c r="N3263" s="3" t="n"/>
      <c r="O3263" s="2" t="n"/>
    </row>
    <row r="3264">
      <c r="A3264" s="2" t="n">
        <v>3263</v>
      </c>
      <c r="B3264" s="2" t="inlineStr"/>
      <c r="C3264" s="2" t="n">
        <v>9440</v>
      </c>
      <c r="D3264" s="3" t="inlineStr">
        <is>
          <t>Криминальный квартет</t>
        </is>
      </c>
      <c r="E3264" s="2" t="n">
        <v>1989</v>
      </c>
      <c r="F3264" s="2" t="inlineStr">
        <is>
          <t>кинофильм</t>
        </is>
      </c>
      <c r="G3264" s="2" t="n"/>
      <c r="H3264" s="2" t="n">
        <v>330</v>
      </c>
      <c r="I3264" s="2" t="inlineStr"/>
      <c r="J3264" s="2" t="inlineStr"/>
      <c r="K3264" s="3" t="inlineStr">
        <is>
          <t>1989 год. У четверых друзей есть общее детдомовское детство и готовность каждого в любую минуту прийти на помощь друг другу. Один из них, следователь Семён Портной, обнаруживает на торговой базе партию бракованной обуви. Затем у него пропадает сын. И тогда все четверо начинают расследование и вступают в открытую борьбу с мафией.</t>
        </is>
      </c>
      <c r="L3264" s="2" t="inlineStr">
        <is>
          <t>Кино_СССР сводный каталог.xlsx: список фильмов (доп.)</t>
        </is>
      </c>
      <c r="M3264" s="2">
        <f>HYPERLINK("https://ru.wikipedia.org/w/index.php?search=%D0%9A%D1%80%D0%B8%D0%BC%D0%B8%D0%BD%D0%B0%D0%BB%D1%8C%D0%BD%D1%8B%D0%B9%20%D0%BA%D0%B2%D0%B0%D1%80%D1%82%D0%B5%D1%82%201989%20%D1%84%D0%B8%D0%BB%D1%8C%D0%BC","искать")</f>
        <v/>
      </c>
      <c r="N3264" s="3" t="n"/>
      <c r="O3264" s="2" t="n"/>
    </row>
    <row r="3265">
      <c r="A3265" s="2" t="n">
        <v>3264</v>
      </c>
      <c r="B3265" s="2" t="inlineStr"/>
      <c r="C3265" s="2" t="n">
        <v>9490</v>
      </c>
      <c r="D3265" s="3" t="inlineStr">
        <is>
          <t>Наследница Ники</t>
        </is>
      </c>
      <c r="E3265" s="2" t="n">
        <v>1988</v>
      </c>
      <c r="F3265" s="2" t="inlineStr">
        <is>
          <t>кинофильм</t>
        </is>
      </c>
      <c r="G3265" s="2" t="n"/>
      <c r="H3265" s="2" t="n">
        <v>330</v>
      </c>
      <c r="I3265" s="2" t="inlineStr"/>
      <c r="J3265" s="2" t="inlineStr"/>
      <c r="K3265" s="3" t="inlineStr">
        <is>
          <t>Во время войны фашисты увезли в Германию племенную лошадь Зарницу, победительницу многих международных скачек. Но лошадь отказалась слушаться нового хозяина жокея Шойберга. Поэтому он был вынужден освободить из плена конюха Григория, ухаживавшего за Зарницей еще до войны. Воспользовавшись ситуацией, конюх пытался бежать и погиб.</t>
        </is>
      </c>
      <c r="L3265" s="2" t="inlineStr">
        <is>
          <t>Кино_СССР сводный каталог.xlsx: список фильмов (доп.)</t>
        </is>
      </c>
      <c r="M3265" s="2">
        <f>HYPERLINK("https://ru.wikipedia.org/w/index.php?search=%D0%9D%D0%B0%D1%81%D0%BB%D0%B5%D0%B4%D0%BD%D0%B8%D1%86%D0%B0%20%D0%9D%D0%B8%D0%BA%D0%B8%201988%20%D1%84%D0%B8%D0%BB%D1%8C%D0%BC","искать")</f>
        <v/>
      </c>
      <c r="N3265" s="3" t="n"/>
      <c r="O3265" s="2" t="n"/>
    </row>
    <row r="3266">
      <c r="A3266" s="2" t="n">
        <v>3265</v>
      </c>
      <c r="B3266" s="2" t="inlineStr"/>
      <c r="C3266" s="2" t="n">
        <v>9534</v>
      </c>
      <c r="D3266" s="3" t="inlineStr">
        <is>
          <t>Отцы</t>
        </is>
      </c>
      <c r="E3266" s="2" t="n">
        <v>1988</v>
      </c>
      <c r="F3266" s="2" t="inlineStr">
        <is>
          <t>кинофильм</t>
        </is>
      </c>
      <c r="G3266" s="2" t="n"/>
      <c r="H3266" s="2" t="n">
        <v>330</v>
      </c>
      <c r="I3266" s="2" t="inlineStr"/>
      <c r="J3266" s="2" t="inlineStr"/>
      <c r="K3266" s="3" t="inlineStr">
        <is>
          <t>Действие фильма разворачивается во второй половине 1960-х годов. Главный герой картины - молодой работник аппарата Владимир Новиков, обаятельный, образованный, энергичный человек - процветающий функционер. У Новикова юная возлюбленная - студентка Таня, на которой он никогда не женится (есть семья, двое детей, тесть из "бывших").</t>
        </is>
      </c>
      <c r="L3266" s="2" t="inlineStr">
        <is>
          <t>Кино_СССР сводный каталог.xlsx: список фильмов (доп.)</t>
        </is>
      </c>
      <c r="M3266" s="2">
        <f>HYPERLINK("https://ru.wikipedia.org/w/index.php?search=%D0%9E%D1%82%D1%86%D1%8B%201988%20%D1%84%D0%B8%D0%BB%D1%8C%D0%BC","искать")</f>
        <v/>
      </c>
      <c r="N3266" s="3" t="n"/>
      <c r="O3266" s="2" t="n"/>
    </row>
    <row r="3267">
      <c r="A3267" s="2" t="n">
        <v>3266</v>
      </c>
      <c r="B3267" s="2" t="inlineStr"/>
      <c r="C3267" s="2" t="n">
        <v>9635</v>
      </c>
      <c r="D3267" s="3" t="inlineStr">
        <is>
          <t>Седая легенда</t>
        </is>
      </c>
      <c r="E3267" s="2" t="n">
        <v>1991</v>
      </c>
      <c r="F3267" s="2" t="inlineStr">
        <is>
          <t>кинофильм</t>
        </is>
      </c>
      <c r="G3267" s="2" t="n"/>
      <c r="H3267" s="2" t="n">
        <v>330</v>
      </c>
      <c r="I3267" s="2" t="inlineStr"/>
      <c r="J3267" s="2" t="inlineStr"/>
      <c r="K3267" s="3" t="inlineStr">
        <is>
          <t>Историко-приключенческий фильм по мотивам повести Владимира Короткевича "Седая легенда". Пирует шляхта. Женится молодой князь Кизгайла. И даже весть о крестьянском мятеже не омрачает праздника. Спешит на свадьбу и старинный друг - полковник Роман Ракутович. Только не радуется его приезду невеста, предчувствуя надвигающуюся беду.</t>
        </is>
      </c>
      <c r="L3267" s="2" t="inlineStr">
        <is>
          <t>Кино_СССР сводный каталог.xlsx: список фильмов (доп.)</t>
        </is>
      </c>
      <c r="M3267" s="2">
        <f>HYPERLINK("https://ru.wikipedia.org/w/index.php?search=%D0%A1%D0%B5%D0%B4%D0%B0%D1%8F%20%D0%BB%D0%B5%D0%B3%D0%B5%D0%BD%D0%B4%D0%B0%201991%20%D1%84%D0%B8%D0%BB%D1%8C%D0%BC","искать")</f>
        <v/>
      </c>
      <c r="N3267" s="3" t="n"/>
      <c r="O3267" s="2" t="n"/>
    </row>
    <row r="3268">
      <c r="A3268" s="2" t="n">
        <v>3267</v>
      </c>
      <c r="B3268" s="2" t="inlineStr"/>
      <c r="C3268" s="2" t="n">
        <v>9645</v>
      </c>
      <c r="D3268" s="3" t="inlineStr">
        <is>
          <t>Сказка о купеческой дочери и таинственном цветке</t>
        </is>
      </c>
      <c r="E3268" s="2" t="n">
        <v>1991</v>
      </c>
      <c r="F3268" s="2" t="inlineStr">
        <is>
          <t>кинофильм</t>
        </is>
      </c>
      <c r="G3268" s="2" t="n"/>
      <c r="H3268" s="2" t="n">
        <v>330</v>
      </c>
      <c r="I3268" s="2" t="inlineStr"/>
      <c r="J3268" s="2" t="inlineStr"/>
      <c r="K3268" s="3" t="inlineStr">
        <is>
          <t>По мотивам сказки С.Т. Аксакова «Аленький цветочек». Отправляясь в дальнее странствие, купец Данила спрашивает своих дочерей, что привезти в подарок? Старшая просит волшебное зеркальце, средняя золотой венец, а младшей не нужны ни зеркала, ни венцы золотые. Нужен ей лишь цветочек аленький, краше которого нет во всем белом свете.</t>
        </is>
      </c>
      <c r="L3268" s="2" t="inlineStr">
        <is>
          <t>Кино_СССР сводный каталог.xlsx: список фильмов (доп.)</t>
        </is>
      </c>
      <c r="M3268" s="2">
        <f>HYPERLINK("https://ru.wikipedia.org/w/index.php?search=%D0%A1%D0%BA%D0%B0%D0%B7%D0%BA%D0%B0%20%D0%BE%20%D0%BA%D1%83%D0%BF%D0%B5%D1%87%D0%B5%D1%81%D0%BA%D0%BE%D0%B9%20%D0%B4%D0%BE%D1%87%D0%B5%D1%80%D0%B8%20%D0%B8%20%D1%82%D0%B0%D0%B8%D0%BD%D1%81%D1%82%D0%B2%D0%B5%D0%BD%D0%BD%D0%BE%D0%BC%20%D1%86%D0%B2%D0%B5%D1%82%D0%BA%D0%B5%201991%20%D1%84%D0%B8%D0%BB%D1%8C%D0%BC","искать")</f>
        <v/>
      </c>
      <c r="N3268" s="3" t="n"/>
      <c r="O3268" s="2" t="n"/>
    </row>
    <row r="3269">
      <c r="A3269" s="2" t="n">
        <v>3268</v>
      </c>
      <c r="B3269" s="2" t="inlineStr"/>
      <c r="C3269" s="2" t="n">
        <v>9708</v>
      </c>
      <c r="D3269" s="3" t="inlineStr">
        <is>
          <t>Украденное свидание</t>
        </is>
      </c>
      <c r="E3269" s="2" t="n">
        <v>1988</v>
      </c>
      <c r="F3269" s="2" t="inlineStr">
        <is>
          <t>кинофильм</t>
        </is>
      </c>
      <c r="G3269" s="2" t="n"/>
      <c r="H3269" s="2" t="n">
        <v>330</v>
      </c>
      <c r="I3269" s="2" t="inlineStr"/>
      <c r="J3269" s="2" t="inlineStr"/>
      <c r="K3269" s="3" t="inlineStr">
        <is>
          <t>Валентина Саар, выпускница детдома, родила ребенка и, чтобы обеспечить сыну благополучную жизнь, однажды решилась на грабеж. Ее судили и приговорили к восьми годам заключения. Надеясь на то, что хоть ребенку повезет в этой никчемной жизни, она отказалась от сына. Мальчика усыновила благополучная семья - и была благодарна судьбе.</t>
        </is>
      </c>
      <c r="L3269" s="2" t="inlineStr">
        <is>
          <t>Кино_СССР сводный каталог.xlsx: список фильмов (доп.)</t>
        </is>
      </c>
      <c r="M3269" s="2">
        <f>HYPERLINK("https://ru.wikipedia.org/w/index.php?search=%D0%A3%D0%BA%D1%80%D0%B0%D0%B4%D0%B5%D0%BD%D0%BD%D0%BE%D0%B5%20%D1%81%D0%B2%D0%B8%D0%B4%D0%B0%D0%BD%D0%B8%D0%B5%201988%20%D1%84%D0%B8%D0%BB%D1%8C%D0%BC","искать")</f>
        <v/>
      </c>
      <c r="N3269" s="3" t="n"/>
      <c r="O3269" s="2" t="n"/>
    </row>
    <row r="3270">
      <c r="A3270" s="2" t="n">
        <v>3269</v>
      </c>
      <c r="B3270" s="2" t="inlineStr"/>
      <c r="C3270" s="2" t="n">
        <v>7321</v>
      </c>
      <c r="D3270" s="3" t="inlineStr">
        <is>
          <t>Веришь, не веришь</t>
        </is>
      </c>
      <c r="E3270" s="2" t="n">
        <v>1971</v>
      </c>
      <c r="F3270" s="2" t="inlineStr">
        <is>
          <t>телефильм</t>
        </is>
      </c>
      <c r="G3270" s="2" t="n"/>
      <c r="H3270" s="2" t="n">
        <v>331</v>
      </c>
      <c r="I3270" s="2" t="inlineStr"/>
      <c r="J3270" s="2" t="inlineStr"/>
      <c r="K3270" s="3" t="inlineStr">
        <is>
          <t>Вернувшись из армии, Александр Макейчик узнает, что Тоня, которую он любит, в институт не поступила, встретила другого парня, стала матерью, одна воспитывает ребенка и работает на нефтепромысле в Гомельской области. Саша едет на буровую к Тоне. Отношения между героями складываются не легко, но друг без друга им будет еще труднее.</t>
        </is>
      </c>
      <c r="L3270" s="2" t="inlineStr">
        <is>
          <t>Кино_СССР сводный каталог.xlsx: список телефильмов</t>
        </is>
      </c>
      <c r="M3270" s="2">
        <f>HYPERLINK("https://ru.wikipedia.org/w/index.php?search=%D0%92%D0%B5%D1%80%D0%B8%D1%88%D1%8C%2C%20%D0%BD%D0%B5%20%D0%B2%D0%B5%D1%80%D0%B8%D1%88%D1%8C%201971%20%D1%84%D0%B8%D0%BB%D1%8C%D0%BC","искать")</f>
        <v/>
      </c>
      <c r="N3270" s="3" t="n"/>
      <c r="O3270" s="2" t="n"/>
    </row>
    <row r="3271">
      <c r="A3271" s="2" t="n">
        <v>3270</v>
      </c>
      <c r="B3271" s="2" t="inlineStr"/>
      <c r="C3271" s="2" t="n">
        <v>7354</v>
      </c>
      <c r="D3271" s="3" t="inlineStr">
        <is>
          <t>Возвращение Будулая</t>
        </is>
      </c>
      <c r="E3271" s="2" t="n">
        <v>1985</v>
      </c>
      <c r="F3271" s="2" t="inlineStr">
        <is>
          <t>телефильм</t>
        </is>
      </c>
      <c r="G3271" s="2" t="inlineStr">
        <is>
          <t>Творческое объединение «Экран»</t>
        </is>
      </c>
      <c r="H3271" s="2" t="n">
        <v>331</v>
      </c>
      <c r="I3271" s="2" t="inlineStr"/>
      <c r="J3271" s="2" t="inlineStr"/>
      <c r="K3271" s="3" t="inlineStr">
        <is>
          <t>Продолжение 4-х серийного телефильма "Цыган". Более полугода не возвращалась память к жестоко избитому бандитами цыгану Будулаю. Случайная встреча с сыном Ваней возвращает герою память. Вместе с друзьями и нарядом милиции Будулаю удается задержать преступников, после чего он возвращается к Клавдии и сыну, в донской хутор Вербный.</t>
        </is>
      </c>
      <c r="L3271" s="2" t="inlineStr">
        <is>
          <t>Кино_СССР сводный каталог.xlsx: список телефильмов</t>
        </is>
      </c>
      <c r="M3271" s="2">
        <f>HYPERLINK("https://ru.wikipedia.org/w/index.php?search=%D0%92%D0%BE%D0%B7%D0%B2%D1%80%D0%B0%D1%89%D0%B5%D0%BD%D0%B8%D0%B5%20%D0%91%D1%83%D0%B4%D1%83%D0%BB%D0%B0%D1%8F%201985%20%D1%84%D0%B8%D0%BB%D1%8C%D0%BC","искать")</f>
        <v/>
      </c>
      <c r="N3271" s="3" t="n"/>
      <c r="O3271" s="2" t="n"/>
    </row>
    <row r="3272">
      <c r="A3272" s="2" t="n">
        <v>3271</v>
      </c>
      <c r="B3272" s="2" t="inlineStr"/>
      <c r="C3272" s="2" t="n">
        <v>7667</v>
      </c>
      <c r="D3272" s="3" t="inlineStr">
        <is>
          <t>И это всё о нём</t>
        </is>
      </c>
      <c r="E3272" s="2" t="n">
        <v>1977</v>
      </c>
      <c r="F3272" s="2" t="inlineStr">
        <is>
          <t>телефильм</t>
        </is>
      </c>
      <c r="G3272" s="2" t="n"/>
      <c r="H3272" s="2" t="n">
        <v>331</v>
      </c>
      <c r="I3272" s="2" t="inlineStr"/>
      <c r="J3272" s="2" t="inlineStr"/>
      <c r="K3272" s="3" t="inlineStr">
        <is>
          <t>Телесериал по одноименному роману В.Липатова. Действие происходит в одном из сибирских леспромхозов, куда по делу об убийстве молодого рабочего - тракториста Евгения Столетова приезжает следователь из Москвы Прохоров. Он встречается с другом погибшего Андреем Лузгиным, который считает, что Евгений не покончил с собой, а был убит.</t>
        </is>
      </c>
      <c r="L3272" s="2" t="inlineStr">
        <is>
          <t>Кино_СССР сводный каталог.xlsx: список телефильмов</t>
        </is>
      </c>
      <c r="M3272" s="2">
        <f>HYPERLINK("https://ru.wikipedia.org/w/index.php?search=%D0%98%20%D1%8D%D1%82%D0%BE%20%D0%B2%D1%81%D1%91%20%D0%BE%20%D0%BD%D1%91%D0%BC%201977%20%D1%84%D0%B8%D0%BB%D1%8C%D0%BC","искать")</f>
        <v/>
      </c>
      <c r="N3272" s="3" t="n"/>
      <c r="O3272" s="2" t="n"/>
    </row>
    <row r="3273">
      <c r="A3273" s="2" t="n">
        <v>3272</v>
      </c>
      <c r="B3273" s="2" t="inlineStr"/>
      <c r="C3273" s="2" t="n">
        <v>8394</v>
      </c>
      <c r="D3273" s="3" t="inlineStr">
        <is>
          <t>Старая крепость</t>
        </is>
      </c>
      <c r="E3273" s="2" t="n">
        <v>1972</v>
      </c>
      <c r="F3273" s="2" t="inlineStr">
        <is>
          <t>телефильм</t>
        </is>
      </c>
      <c r="G3273" s="2" t="n"/>
      <c r="H3273" s="2" t="n">
        <v>331</v>
      </c>
      <c r="I3273" s="2" t="inlineStr"/>
      <c r="J3273" s="2" t="inlineStr"/>
      <c r="K3273" s="3" t="inlineStr">
        <is>
          <t>Телесериал по трилогии Владимира Беляева. Состоит из трех частей: "Комиссар Сергушин" (1-3 серии); "Дом с привидениями" (4-5 серии); "Город у моря" (6-7 серии). Фильм рассказывает о ребятах из приграничного украинского города Каменец-Подольского, которые становятся свидетелями и участниками революционных боев за Советскую власть.</t>
        </is>
      </c>
      <c r="L3273" s="2" t="inlineStr">
        <is>
          <t>Кино_СССР сводный каталог.xlsx: список телефильмов</t>
        </is>
      </c>
      <c r="M3273" s="2">
        <f>HYPERLINK("https://ru.wikipedia.org/w/index.php?search=%D0%A1%D1%82%D0%B0%D1%80%D0%B0%D1%8F%20%D0%BA%D1%80%D0%B5%D0%BF%D0%BE%D1%81%D1%82%D1%8C%201972%20%D1%84%D0%B8%D0%BB%D1%8C%D0%BC","искать")</f>
        <v/>
      </c>
      <c r="N3273" s="3" t="n"/>
      <c r="O3273" s="2" t="n"/>
    </row>
    <row r="3274">
      <c r="A3274" s="2" t="n">
        <v>3273</v>
      </c>
      <c r="B3274" s="2" t="inlineStr"/>
      <c r="C3274" s="2" t="n">
        <v>8515</v>
      </c>
      <c r="D3274" s="3" t="inlineStr">
        <is>
          <t>Формула любви</t>
        </is>
      </c>
      <c r="E3274" s="2" t="n">
        <v>1984</v>
      </c>
      <c r="F3274" s="2" t="inlineStr">
        <is>
          <t>телефильм</t>
        </is>
      </c>
      <c r="G3274" s="2" t="n"/>
      <c r="H3274" s="2" t="n">
        <v>331</v>
      </c>
      <c r="I3274" s="2" t="inlineStr"/>
      <c r="J3274" s="2" t="inlineStr"/>
      <c r="K3274" s="3" t="inlineStr">
        <is>
          <t>По повести А.Н.Толстого "Граф Калиостро". Искрящаяся юмором ироническая комедия Марка Захарова с созвездием великолепных актеров. Знаменитый авантюрист граф Калиостро в сопровождении своей весьма экстравагантной свиты прибывает в Россию. Удирая от гвардейцев Потемкина, вся эта развеселая компания застревает в российской глубинке.</t>
        </is>
      </c>
      <c r="L3274" s="2" t="inlineStr">
        <is>
          <t>Кино_СССР сводный каталог.xlsx: список телефильмов</t>
        </is>
      </c>
      <c r="M3274" s="2">
        <f>HYPERLINK("https://ru.wikipedia.org/w/index.php?search=%D0%A4%D0%BE%D1%80%D0%BC%D1%83%D0%BB%D0%B0%20%D0%BB%D1%8E%D0%B1%D0%B2%D0%B8%201984%20%D1%84%D0%B8%D0%BB%D1%8C%D0%BC","искать")</f>
        <v/>
      </c>
      <c r="N3274" s="3" t="n"/>
      <c r="O3274" s="2" t="n"/>
    </row>
    <row r="3275">
      <c r="A3275" s="2" t="n">
        <v>3274</v>
      </c>
      <c r="B3275" s="2" t="inlineStr"/>
      <c r="C3275" s="2" t="n">
        <v>8520</v>
      </c>
      <c r="D3275" s="3" t="inlineStr">
        <is>
          <t>Хабиб - повелитель змей</t>
        </is>
      </c>
      <c r="E3275" s="2" t="n">
        <v>1972</v>
      </c>
      <c r="F3275" s="2" t="inlineStr">
        <is>
          <t>телефильм</t>
        </is>
      </c>
      <c r="G3275" s="2" t="n"/>
      <c r="H3275" s="2" t="n">
        <v>331</v>
      </c>
      <c r="I3275" s="2" t="inlineStr"/>
      <c r="J3275" s="2" t="inlineStr"/>
      <c r="K3275" s="3" t="inlineStr">
        <is>
          <t>По мотивам повести Х.Назарова «Рыжик и Пятнашка». Действие происходит в 1920-е годы в горах Таджикистана в маленьком затерянном кишлаке. Несладко живется пастушонку Хабибу у чужой женщины Малики, но мальчик не озлобляется и не черствеет душой. Он спасает из горного потока щенка, заботится о раненом козленке и даже приручает змей.</t>
        </is>
      </c>
      <c r="L3275" s="2" t="inlineStr">
        <is>
          <t>Кино_СССР сводный каталог.xlsx: список телефильмов</t>
        </is>
      </c>
      <c r="M3275" s="2">
        <f>HYPERLINK("https://ru.wikipedia.org/w/index.php?search=%D0%A5%D0%B0%D0%B1%D0%B8%D0%B1%20-%20%D0%BF%D0%BE%D0%B2%D0%B5%D0%BB%D0%B8%D1%82%D0%B5%D0%BB%D1%8C%20%D0%B7%D0%BC%D0%B5%D0%B9%201972%20%D1%84%D0%B8%D0%BB%D1%8C%D0%BC","искать")</f>
        <v/>
      </c>
      <c r="N3275" s="3" t="n"/>
      <c r="O3275" s="2" t="n"/>
    </row>
    <row r="3276">
      <c r="A3276" s="2" t="n">
        <v>3275</v>
      </c>
      <c r="B3276" s="2" t="inlineStr"/>
      <c r="C3276" s="2" t="n">
        <v>8614</v>
      </c>
      <c r="D3276" s="3" t="inlineStr">
        <is>
          <t>Я тебя ненавижу</t>
        </is>
      </c>
      <c r="E3276" s="2" t="n">
        <v>1986</v>
      </c>
      <c r="F3276" s="2" t="inlineStr">
        <is>
          <t>телефильм</t>
        </is>
      </c>
      <c r="G3276" s="2" t="n"/>
      <c r="H3276" s="2" t="n">
        <v>331</v>
      </c>
      <c r="I3276" s="2" t="inlineStr"/>
      <c r="J3276" s="2" t="inlineStr"/>
      <c r="K3276" s="3" t="inlineStr">
        <is>
          <t>В основе сюжета - история встречи и примирения после многолетней разлуки супругов Михайловых, осознание ими совершенной в молодости ошибки. Когда-то они поленились понять друг друга. Он сгоряча рванул на стройку, а она, смирившись с его отъездом, обиду не забывала. Спустя несколько лет герой приехал к жене и повзрослевшей дочери.</t>
        </is>
      </c>
      <c r="L3276" s="2" t="inlineStr">
        <is>
          <t>Кино_СССР сводный каталог.xlsx: список телефильмов</t>
        </is>
      </c>
      <c r="M3276" s="2">
        <f>HYPERLINK("https://ru.wikipedia.org/w/index.php?search=%D0%AF%20%D1%82%D0%B5%D0%B1%D1%8F%20%D0%BD%D0%B5%D0%BD%D0%B0%D0%B2%D0%B8%D0%B6%D1%83%201986%20%D1%84%D0%B8%D0%BB%D1%8C%D0%BC","искать")</f>
        <v/>
      </c>
      <c r="N3276" s="3" t="n"/>
      <c r="O3276" s="2" t="n"/>
    </row>
    <row r="3277">
      <c r="A3277" s="2" t="n">
        <v>3276</v>
      </c>
      <c r="B3277" s="2" t="inlineStr"/>
      <c r="C3277" s="2" t="n">
        <v>8778</v>
      </c>
      <c r="D3277" s="3" t="inlineStr">
        <is>
          <t>Крест милосердия</t>
        </is>
      </c>
      <c r="E3277" s="2" t="n">
        <v>1991</v>
      </c>
      <c r="F3277" s="2" t="inlineStr">
        <is>
          <t>кинофильм</t>
        </is>
      </c>
      <c r="G3277" s="2" t="n"/>
      <c r="H3277" s="2" t="n">
        <v>331</v>
      </c>
      <c r="I3277" s="2" t="inlineStr"/>
      <c r="J3277" s="2" t="inlineStr"/>
      <c r="K3277" s="3" t="inlineStr">
        <is>
          <t>Фильм посвящен жизненному и творческому пути знаменитой белорусской поэтессы, просветителя и педагога Алоизы Пашкевич (1876-1916). После окончания Виленской частной гимназии она поступает в Петербург на Высшие курсы Лесгафта, знакомится со студентами-земляками. Белорусское землячество затевает издание газеты на белорусском языке.</t>
        </is>
      </c>
      <c r="L3277" s="2" t="inlineStr">
        <is>
          <t>Кино_СССР сводный каталог.xlsx: список фильмов (доп.)</t>
        </is>
      </c>
      <c r="M3277" s="2">
        <f>HYPERLINK("https://ru.wikipedia.org/w/index.php?search=%D0%9A%D1%80%D0%B5%D1%81%D1%82%20%D0%BC%D0%B8%D0%BB%D0%BE%D1%81%D0%B5%D1%80%D0%B4%D0%B8%D1%8F%201991%20%D1%84%D0%B8%D0%BB%D1%8C%D0%BC","искать")</f>
        <v/>
      </c>
      <c r="N3277" s="3" t="n"/>
      <c r="O3277" s="2" t="n"/>
    </row>
    <row r="3278">
      <c r="A3278" s="2" t="n">
        <v>3277</v>
      </c>
      <c r="B3278" s="2" t="inlineStr"/>
      <c r="C3278" s="2" t="n">
        <v>8914</v>
      </c>
      <c r="D3278" s="3" t="inlineStr">
        <is>
          <t>Павло Полуботок</t>
        </is>
      </c>
      <c r="E3278" s="2" t="n">
        <v>1991</v>
      </c>
      <c r="F3278" s="2" t="inlineStr">
        <is>
          <t>кинофильм</t>
        </is>
      </c>
      <c r="G3278" s="2" t="n"/>
      <c r="H3278" s="2" t="n">
        <v>331</v>
      </c>
      <c r="I3278" s="2" t="inlineStr"/>
      <c r="J3278" s="2" t="inlineStr"/>
      <c r="K3278" s="3" t="inlineStr">
        <is>
          <t>По пьесе «Павло Полуботок» (Кость Буревий) о трагическом периоде истории Украины, который наступил после того, как гетман И. Мазепа начал борьбу против колониальной политики Москвы. Гетман Полуботок также хотел видеть Украину равноправной союзницей Москвы. Он на глазах Петра I умирает в тюрьме, но не отрекается от своих взглядов.</t>
        </is>
      </c>
      <c r="L3278" s="2" t="inlineStr">
        <is>
          <t>Кино_СССР сводный каталог.xlsx: список фильмов (доп.)</t>
        </is>
      </c>
      <c r="M3278" s="2">
        <f>HYPERLINK("https://ru.wikipedia.org/w/index.php?search=%D0%9F%D0%B0%D0%B2%D0%BB%D0%BE%20%D0%9F%D0%BE%D0%BB%D1%83%D0%B1%D0%BE%D1%82%D0%BE%D0%BA%201991%20%D1%84%D0%B8%D0%BB%D1%8C%D0%BC","искать")</f>
        <v/>
      </c>
      <c r="N3278" s="3" t="n"/>
      <c r="O3278" s="2" t="n"/>
    </row>
    <row r="3279">
      <c r="A3279" s="2" t="n">
        <v>3278</v>
      </c>
      <c r="B3279" s="2" t="inlineStr"/>
      <c r="C3279" s="2" t="n">
        <v>9077</v>
      </c>
      <c r="D3279" s="3" t="inlineStr">
        <is>
          <t>Сурайя</t>
        </is>
      </c>
      <c r="E3279" s="2" t="n">
        <v>1987</v>
      </c>
      <c r="F3279" s="2" t="inlineStr">
        <is>
          <t>кинофильм</t>
        </is>
      </c>
      <c r="G3279" s="2" t="n"/>
      <c r="H3279" s="2" t="n">
        <v>331</v>
      </c>
      <c r="I3279" s="2" t="inlineStr"/>
      <c r="J3279" s="2" t="inlineStr"/>
      <c r="K3279" s="3" t="inlineStr">
        <is>
          <t>Молодая доярка Сурайя из далекого горного села разыскивает в городе своего жениха Сейфетдина. Она узнает, что тот давно женат, имеет сына, который живет у старого больного деда, поскольку Сейфетдин отбывает наказание за хулиганский поступок. Сурайя увозит мальчика в село, чтобы заботиться о нем, но тут появляется жена Сейфетдина.</t>
        </is>
      </c>
      <c r="L3279" s="2" t="inlineStr">
        <is>
          <t>Кино_СССР сводный каталог.xlsx: список фильмов (доп.)</t>
        </is>
      </c>
      <c r="M3279" s="2">
        <f>HYPERLINK("https://ru.wikipedia.org/w/index.php?search=%D0%A1%D1%83%D1%80%D0%B0%D0%B9%D1%8F%201987%20%D1%84%D0%B8%D0%BB%D1%8C%D0%BC","искать")</f>
        <v/>
      </c>
      <c r="N3279" s="3" t="n"/>
      <c r="O3279" s="2" t="n"/>
    </row>
    <row r="3280">
      <c r="A3280" s="2" t="n">
        <v>3279</v>
      </c>
      <c r="B3280" s="2" t="inlineStr"/>
      <c r="C3280" s="2" t="n">
        <v>9622</v>
      </c>
      <c r="D3280" s="3" t="inlineStr">
        <is>
          <t>Рой</t>
        </is>
      </c>
      <c r="E3280" s="2" t="n">
        <v>1990</v>
      </c>
      <c r="F3280" s="2" t="inlineStr">
        <is>
          <t>кинофильм</t>
        </is>
      </c>
      <c r="G3280" s="2" t="n"/>
      <c r="H3280" s="2" t="n">
        <v>331</v>
      </c>
      <c r="I3280" s="2" t="inlineStr"/>
      <c r="J3280" s="2" t="inlineStr"/>
      <c r="K3280" s="3" t="inlineStr">
        <is>
          <t>По одноименному роману С.Алексеева. Роман-сибириада с попыткой философского осмысления деревенской жизни. В центре повествования история сибирского рода Заварзиных, издавна живущего пчелиным промыслом. После того, как однажды в ульи проник непонятный вирус, обвинения между двумя соседними хуторами достигли накала настоящей войны.</t>
        </is>
      </c>
      <c r="L3280" s="2" t="inlineStr">
        <is>
          <t>Кино_СССР сводный каталог.xlsx: список фильмов (доп.)</t>
        </is>
      </c>
      <c r="M3280" s="2">
        <f>HYPERLINK("https://ru.wikipedia.org/w/index.php?search=%D0%A0%D0%BE%D0%B9%201990%20%D1%84%D0%B8%D0%BB%D1%8C%D0%BC","искать")</f>
        <v/>
      </c>
      <c r="N3280" s="3" t="n"/>
      <c r="O3280" s="2" t="n"/>
    </row>
    <row r="3281">
      <c r="A3281" s="2" t="n">
        <v>3280</v>
      </c>
      <c r="B3281" s="2" t="inlineStr"/>
      <c r="C3281" s="2" t="n">
        <v>10606</v>
      </c>
      <c r="D3281" s="3" t="inlineStr">
        <is>
          <t>День открытых дверей</t>
        </is>
      </c>
      <c r="E3281" s="2" t="n">
        <v>1975</v>
      </c>
      <c r="F3281" s="2" t="inlineStr">
        <is>
          <t>фильм-спектакль</t>
        </is>
      </c>
      <c r="G3281" s="2" t="inlineStr">
        <is>
          <t>Центральное телевидение</t>
        </is>
      </c>
      <c r="H3281" s="2" t="n">
        <v>331</v>
      </c>
      <c r="I3281" s="2" t="inlineStr"/>
      <c r="J3281" s="2" t="inlineStr"/>
      <c r="K3281" s="3" t="inlineStr">
        <is>
          <t>Главные герои - Оля и Саша - сдают экзамены в институт. Она сдала, он - нет. Но за время экзаменов и подготовки к ним они полюбили друг друга, и, как уверены, навсегда. Он идет в армию, она бросает учебу и идет работать. Проходят два года, многое изменилось в их жизни. Как она сложится в дальнейшем? Прямого ответа авторы не дают.</t>
        </is>
      </c>
      <c r="L3281" s="2" t="inlineStr">
        <is>
          <t>https://www.kino-teatr.ru/teatr/movie/92372/annot/</t>
        </is>
      </c>
      <c r="M3281" s="2">
        <f>HYPERLINK("https://ru.wikipedia.org/w/index.php?search=%D0%94%D0%B5%D0%BD%D1%8C%20%D0%BE%D1%82%D0%BA%D1%80%D1%8B%D1%82%D1%8B%D1%85%20%D0%B4%D0%B2%D0%B5%D1%80%D0%B5%D0%B9%201975%20%D1%84%D0%B8%D0%BB%D1%8C%D0%BC","искать")</f>
        <v/>
      </c>
      <c r="N3281" s="3" t="n"/>
      <c r="O3281" s="2" t="n"/>
    </row>
    <row r="3282">
      <c r="A3282" s="2" t="n">
        <v>3281</v>
      </c>
      <c r="B3282" s="2" t="inlineStr"/>
      <c r="C3282" s="2" t="n">
        <v>11261</v>
      </c>
      <c r="D3282" s="3" t="inlineStr">
        <is>
          <t>Картина</t>
        </is>
      </c>
      <c r="E3282" s="2" t="n">
        <v>1989</v>
      </c>
      <c r="F3282" s="2" t="inlineStr">
        <is>
          <t>фильм-спектакль</t>
        </is>
      </c>
      <c r="G3282" s="2" t="inlineStr">
        <is>
          <t>Главная редакция литературно-драматических программ ЦТ</t>
        </is>
      </c>
      <c r="H3282" s="2" t="n">
        <v>331</v>
      </c>
      <c r="I3282" s="2" t="inlineStr"/>
      <c r="J3282" s="2" t="inlineStr"/>
      <c r="K3282" s="3" t="inlineStr">
        <is>
          <t>По одноименной пьесе В.Славкина.
Инженера, проживающего в гостиничном номере, посещает местный художник-неудачник, автор картины, много лет висящей на стене этой комнаты. Когда-то он подарил ее любимой женщине, директору гостиницы. Встреча двух мужчин завершилась твердым намерением последнего написать главную картину своей жизни.</t>
        </is>
      </c>
      <c r="L3282" s="2" t="inlineStr">
        <is>
          <t>https://www.kino-teatr.ru/teatr/movie/8287/annot/</t>
        </is>
      </c>
      <c r="M3282" s="2">
        <f>HYPERLINK("https://ru.wikipedia.org/w/index.php?search=%D0%9A%D0%B0%D1%80%D1%82%D0%B8%D0%BD%D0%B0%201989%20%D1%84%D0%B8%D0%BB%D1%8C%D0%BC","искать")</f>
        <v/>
      </c>
      <c r="N3282" s="3" t="n"/>
      <c r="O3282" s="2" t="n"/>
    </row>
    <row r="3283">
      <c r="A3283" s="2" t="n">
        <v>3282</v>
      </c>
      <c r="B3283" s="2" t="inlineStr"/>
      <c r="C3283" s="2" t="n">
        <v>8431</v>
      </c>
      <c r="D3283" s="3" t="inlineStr">
        <is>
          <t>Тайна Эндхауза</t>
        </is>
      </c>
      <c r="E3283" s="2" t="n">
        <v>1981</v>
      </c>
      <c r="F3283" s="2" t="inlineStr">
        <is>
          <t>телефильм</t>
        </is>
      </c>
      <c r="G3283" s="2" t="n"/>
      <c r="H3283" s="2" t="n">
        <v>332</v>
      </c>
      <c r="I3283" s="2" t="inlineStr"/>
      <c r="J3283" s="2" t="inlineStr"/>
      <c r="K3283" s="3" t="inlineStr">
        <is>
          <t>Двухсерийный телефильм поставлен по одноимённому роману Агаты Кристи. Во время отдыха на английском побережье Эркюль Пуаро и капитан Гастингс знакомятся с молодой и очаровательной Ник Бакли. После первой беседы с ней Пуаро показывает Гастингсу пулю, которая задела шляпку мисс Бакли. Пуаро решает защитить Ник и поймать преступника.</t>
        </is>
      </c>
      <c r="L3283" s="2" t="inlineStr">
        <is>
          <t>Кино_СССР сводный каталог.xlsx: список телефильмов</t>
        </is>
      </c>
      <c r="M3283" s="2">
        <f>HYPERLINK("https://ru.wikipedia.org/w/index.php?search=%D0%A2%D0%B0%D0%B9%D0%BD%D0%B0%20%D0%AD%D0%BD%D0%B4%D1%85%D0%B0%D1%83%D0%B7%D0%B0%201981%20%D1%84%D0%B8%D0%BB%D1%8C%D0%BC","искать")</f>
        <v/>
      </c>
      <c r="N3283" s="3" t="n"/>
      <c r="O3283" s="2" t="n"/>
    </row>
    <row r="3284">
      <c r="A3284" s="2" t="n">
        <v>3283</v>
      </c>
      <c r="B3284" s="2" t="inlineStr"/>
      <c r="C3284" s="2" t="n">
        <v>8566</v>
      </c>
      <c r="D3284" s="3" t="inlineStr">
        <is>
          <t>Что там, за поворотом?</t>
        </is>
      </c>
      <c r="E3284" s="2" t="n">
        <v>1980</v>
      </c>
      <c r="F3284" s="2" t="inlineStr">
        <is>
          <t>телефильм</t>
        </is>
      </c>
      <c r="G3284" s="2" t="n"/>
      <c r="H3284" s="2" t="n">
        <v>332</v>
      </c>
      <c r="I3284" s="2" t="inlineStr"/>
      <c r="J3284" s="2" t="inlineStr"/>
      <c r="K3284" s="3" t="inlineStr">
        <is>
          <t>Телефильм. Юный герой, школьник, едет в деревню, где в годы Великой Отечественной войны в бою погиб его дед. В деревне мальчик находит друзей среди сверстников. Ребята решают тайно, своими силами, строить памятник погибшим воинам. Постепенно их работа перестает быть тайной — и односельчане присоединяются к строительству памятника.</t>
        </is>
      </c>
      <c r="L3284" s="2" t="inlineStr">
        <is>
          <t>Кино_СССР сводный каталог.xlsx: список телефильмов</t>
        </is>
      </c>
      <c r="M3284" s="2">
        <f>HYPERLINK("https://ru.wikipedia.org/w/index.php?search=%D0%A7%D1%82%D0%BE%20%D1%82%D0%B0%D0%BC%2C%20%D0%B7%D0%B0%20%D0%BF%D0%BE%D0%B2%D0%BE%D1%80%D0%BE%D1%82%D0%BE%D0%BC%3F%201980%20%D1%84%D0%B8%D0%BB%D1%8C%D0%BC","искать")</f>
        <v/>
      </c>
      <c r="N3284" s="3" t="n"/>
      <c r="O3284" s="2" t="n"/>
    </row>
    <row r="3285">
      <c r="A3285" s="2" t="n">
        <v>3284</v>
      </c>
      <c r="B3285" s="2" t="inlineStr"/>
      <c r="C3285" s="2" t="n">
        <v>8574</v>
      </c>
      <c r="D3285" s="3" t="inlineStr">
        <is>
          <t>Шаги императора</t>
        </is>
      </c>
      <c r="E3285" s="2" t="n">
        <v>1991</v>
      </c>
      <c r="F3285" s="2" t="inlineStr">
        <is>
          <t>телефильм</t>
        </is>
      </c>
      <c r="G3285" s="2" t="inlineStr">
        <is>
          <t>«Лентелефильм»</t>
        </is>
      </c>
      <c r="H3285" s="2" t="n">
        <v>332</v>
      </c>
      <c r="I3285" s="2" t="inlineStr"/>
      <c r="J3285" s="2" t="inlineStr"/>
      <c r="K3285" s="3" t="inlineStr">
        <is>
          <t>По мотивам повести Ю.Тынянова «Поручик Киже». В фильме рассказывается о событиях, происходивших в эпоху Павла I, но, конечно же, он посвящен времени, в котором жил Тынянов. В нем рассказан анекдотический случай далекой павловской эпохи: из-за случайной ошибки писаря в бумагах возникает вместо слов "подпоручики же" подпоручик Киже.</t>
        </is>
      </c>
      <c r="L3285" s="2" t="inlineStr">
        <is>
          <t>Кино_СССР сводный каталог.xlsx: список телефильмов</t>
        </is>
      </c>
      <c r="M3285" s="2">
        <f>HYPERLINK("https://ru.wikipedia.org/w/index.php?search=%D0%A8%D0%B0%D0%B3%D0%B8%20%D0%B8%D0%BC%D0%BF%D0%B5%D1%80%D0%B0%D1%82%D0%BE%D1%80%D0%B0%201991%20%D1%84%D0%B8%D0%BB%D1%8C%D0%BC","искать")</f>
        <v/>
      </c>
      <c r="N3285" s="3" t="n"/>
      <c r="O3285" s="2" t="n"/>
    </row>
    <row r="3286">
      <c r="A3286" s="2" t="n">
        <v>3285</v>
      </c>
      <c r="B3286" s="2" t="inlineStr"/>
      <c r="C3286" s="2" t="n">
        <v>8709</v>
      </c>
      <c r="D3286" s="3" t="inlineStr">
        <is>
          <t>Дом свиданий</t>
        </is>
      </c>
      <c r="E3286" s="2" t="n">
        <v>1991</v>
      </c>
      <c r="F3286" s="2" t="inlineStr">
        <is>
          <t>кинофильм</t>
        </is>
      </c>
      <c r="G3286" s="2" t="n"/>
      <c r="H3286" s="2" t="n">
        <v>332</v>
      </c>
      <c r="I3286" s="2" t="inlineStr"/>
      <c r="J3286" s="2" t="inlineStr"/>
      <c r="K3286" s="3" t="inlineStr">
        <is>
          <t>В загородном коттедже совершено зверское преступление. Убит хозяин подпольного публичного дома для элитных клиентов. Милиция, приехавшая на вызов, начинает допрос. Свидетелями оказываются четыре девушки по вызову, находившиеся в это время в особняке. Однако через какое-то время дамы приходят к выводу, что это "подставная" милиция.</t>
        </is>
      </c>
      <c r="L3286" s="2" t="inlineStr">
        <is>
          <t>Кино_СССР сводный каталог.xlsx: список фильмов (доп.)</t>
        </is>
      </c>
      <c r="M3286" s="2">
        <f>HYPERLINK("https://ru.wikipedia.org/w/index.php?search=%D0%94%D0%BE%D0%BC%20%D1%81%D0%B2%D0%B8%D0%B4%D0%B0%D0%BD%D0%B8%D0%B9%201991%20%D1%84%D0%B8%D0%BB%D1%8C%D0%BC","искать")</f>
        <v/>
      </c>
      <c r="N3286" s="3" t="n"/>
      <c r="O3286" s="2" t="n"/>
    </row>
    <row r="3287">
      <c r="A3287" s="2" t="n">
        <v>3286</v>
      </c>
      <c r="B3287" s="2" t="inlineStr"/>
      <c r="C3287" s="2" t="n">
        <v>8720</v>
      </c>
      <c r="D3287" s="3" t="inlineStr">
        <is>
          <t>Женская тюряга</t>
        </is>
      </c>
      <c r="E3287" s="2" t="n">
        <v>1991</v>
      </c>
      <c r="F3287" s="2" t="inlineStr">
        <is>
          <t>кинофильм</t>
        </is>
      </c>
      <c r="G3287" s="2" t="n"/>
      <c r="H3287" s="2" t="n">
        <v>332</v>
      </c>
      <c r="I3287" s="2" t="inlineStr"/>
      <c r="J3287" s="2" t="inlineStr"/>
      <c r="K3287" s="3" t="inlineStr">
        <is>
          <t>Мадина в состоянии транса из-за любимого человека совершает преступление, попадает в тюрьму, а затем в колонию. Многих из заключенных женщин "ломают" обстоятельства. Hо есть и такие, которым даже в крайних ситуациях удается сохранить свое достоинство и независимость. Впервые в отечественном кино исследуются проблемы женской любви.</t>
        </is>
      </c>
      <c r="L3287" s="2" t="inlineStr">
        <is>
          <t>Кино_СССР сводный каталог.xlsx: список фильмов (доп.)</t>
        </is>
      </c>
      <c r="M3287" s="2">
        <f>HYPERLINK("https://ru.wikipedia.org/w/index.php?search=%D0%96%D0%B5%D0%BD%D1%81%D0%BA%D0%B0%D1%8F%20%D1%82%D1%8E%D1%80%D1%8F%D0%B3%D0%B0%201991%20%D1%84%D0%B8%D0%BB%D1%8C%D0%BC","искать")</f>
        <v/>
      </c>
      <c r="N3287" s="3" t="n"/>
      <c r="O3287" s="2" t="n"/>
    </row>
    <row r="3288">
      <c r="A3288" s="2" t="n">
        <v>3287</v>
      </c>
      <c r="B3288" s="2" t="inlineStr"/>
      <c r="C3288" s="2" t="n">
        <v>8726</v>
      </c>
      <c r="D3288" s="3" t="inlineStr">
        <is>
          <t>За день до...</t>
        </is>
      </c>
      <c r="E3288" s="2" t="n">
        <v>1991</v>
      </c>
      <c r="F3288" s="2" t="inlineStr">
        <is>
          <t>кинофильм</t>
        </is>
      </c>
      <c r="G3288" s="2" t="n"/>
      <c r="H3288" s="2" t="n">
        <v>332</v>
      </c>
      <c r="I3288" s="2" t="inlineStr"/>
      <c r="J3288" s="2" t="inlineStr"/>
      <c r="K3288" s="3" t="inlineStr">
        <is>
          <t>История лирических дилетантов в среде профессиональных убийц. Компания творческой молодежи пытается в заповедной квартире сохранить островок безопасности, покоя, свой особый стиль жизни и отношений. Hо эта свобода дорого им обходится. Начинается лента как плохой советский детектив, а заканчивается как лихой "кооперативный" боевик.</t>
        </is>
      </c>
      <c r="L3288" s="2" t="inlineStr">
        <is>
          <t>Кино_СССР сводный каталог.xlsx: список фильмов (доп.)</t>
        </is>
      </c>
      <c r="M3288" s="2">
        <f>HYPERLINK("https://ru.wikipedia.org/w/index.php?search=%D0%97%D0%B0%20%D0%B4%D0%B5%D0%BD%D1%8C%20%D0%B4%D0%BE...%201991%20%D1%84%D0%B8%D0%BB%D1%8C%D0%BC","искать")</f>
        <v/>
      </c>
      <c r="N3288" s="3" t="n"/>
      <c r="O3288" s="2" t="n"/>
    </row>
    <row r="3289">
      <c r="A3289" s="2" t="n">
        <v>3288</v>
      </c>
      <c r="B3289" s="2" t="inlineStr"/>
      <c r="C3289" s="2" t="n">
        <v>8730</v>
      </c>
      <c r="D3289" s="3" t="inlineStr">
        <is>
          <t>Заряженные смертью</t>
        </is>
      </c>
      <c r="E3289" s="2" t="n">
        <v>1991</v>
      </c>
      <c r="F3289" s="2" t="inlineStr">
        <is>
          <t>кинофильм</t>
        </is>
      </c>
      <c r="G3289" s="2" t="n"/>
      <c r="H3289" s="2" t="n">
        <v>332</v>
      </c>
      <c r="I3289" s="2" t="inlineStr"/>
      <c r="J3289" s="2" t="inlineStr"/>
      <c r="K3289" s="3" t="inlineStr">
        <is>
          <t>О совместной борьбе советских пограничников и службы береговой охраны США с группой особо опасных преступников. К советским пограничникам поступила информация о готовящемся на Дальнем Востоке транзите наркотиков на борту американского сейнера. В то же время из лагеря строго режима совершает побег группа особо опасных преступников.</t>
        </is>
      </c>
      <c r="L3289" s="2" t="inlineStr">
        <is>
          <t>Кино_СССР сводный каталог.xlsx: список фильмов (доп.)</t>
        </is>
      </c>
      <c r="M3289" s="2">
        <f>HYPERLINK("https://ru.wikipedia.org/w/index.php?search=%D0%97%D0%B0%D1%80%D1%8F%D0%B6%D0%B5%D0%BD%D0%BD%D1%8B%D0%B5%20%D1%81%D0%BC%D0%B5%D1%80%D1%82%D1%8C%D1%8E%201991%20%D1%84%D0%B8%D0%BB%D1%8C%D0%BC","искать")</f>
        <v/>
      </c>
      <c r="N3289" s="3" t="n"/>
      <c r="O3289" s="2" t="n"/>
    </row>
    <row r="3290">
      <c r="A3290" s="2" t="n">
        <v>3289</v>
      </c>
      <c r="B3290" s="2" t="inlineStr"/>
      <c r="C3290" s="2" t="n">
        <v>9321</v>
      </c>
      <c r="D3290" s="3" t="inlineStr">
        <is>
          <t>Дама с попугаем</t>
        </is>
      </c>
      <c r="E3290" s="2" t="n">
        <v>1988</v>
      </c>
      <c r="F3290" s="2" t="inlineStr">
        <is>
          <t>кинофильм</t>
        </is>
      </c>
      <c r="G3290" s="2" t="n"/>
      <c r="H3290" s="2" t="n">
        <v>332</v>
      </c>
      <c r="I3290" s="2" t="inlineStr"/>
      <c r="J3290" s="2" t="inlineStr"/>
      <c r="K3290" s="3" t="inlineStr">
        <is>
          <t>На курорте Сергей легко знакомится с девушками, представляясь то пилотом, летающим за рубеж, то работником Внешторга. Женщина, одиноко сидящая на пляже с попугаем в клетке, не особенно настроена флиртовать, но охотно рассказывает о своём сыне — круглом отличнике, которого даже показывали профессору из Новосибирского Академгородка.</t>
        </is>
      </c>
      <c r="L3290" s="2" t="inlineStr">
        <is>
          <t>Кино_СССР сводный каталог.xlsx: список фильмов (доп.)</t>
        </is>
      </c>
      <c r="M3290" s="2">
        <f>HYPERLINK("https://ru.wikipedia.org/w/index.php?search=%D0%94%D0%B0%D0%BC%D0%B0%20%D1%81%20%D0%BF%D0%BE%D0%BF%D1%83%D0%B3%D0%B0%D0%B5%D0%BC%201988%20%D1%84%D0%B8%D0%BB%D1%8C%D0%BC","искать")</f>
        <v/>
      </c>
      <c r="N3290" s="3" t="n"/>
      <c r="O3290" s="2" t="n"/>
    </row>
    <row r="3291">
      <c r="A3291" s="2" t="n">
        <v>3290</v>
      </c>
      <c r="B3291" s="2" t="inlineStr"/>
      <c r="C3291" s="2" t="n">
        <v>9455</v>
      </c>
      <c r="D3291" s="3" t="inlineStr">
        <is>
          <t>Ловкач и Хиппоза</t>
        </is>
      </c>
      <c r="E3291" s="2" t="n">
        <v>1990</v>
      </c>
      <c r="F3291" s="2" t="inlineStr">
        <is>
          <t>кинофильм</t>
        </is>
      </c>
      <c r="G3291" s="2" t="n"/>
      <c r="H3291" s="2" t="n">
        <v>332</v>
      </c>
      <c r="I3291" s="2" t="inlineStr"/>
      <c r="J3291" s="2" t="inlineStr"/>
      <c r="K3291" s="3" t="inlineStr">
        <is>
          <t>Шофёр Александр Ловкачёв по прозвищу Ловкач договаривается с одной из криминальных группировок, что за хорошую плату он перегонит их машину в Ялту. По дороге автостопом к нему подсаживается девчонка без определённых занятий по прозвищу Хиппоза. Взаимная настороженность по отношению друг к другу вскоре перейдёт в симпатию и любовь.</t>
        </is>
      </c>
      <c r="L3291" s="2" t="inlineStr">
        <is>
          <t>Кино_СССР сводный каталог.xlsx: список фильмов (доп.)</t>
        </is>
      </c>
      <c r="M3291" s="2">
        <f>HYPERLINK("https://ru.wikipedia.org/w/index.php?search=%D0%9B%D0%BE%D0%B2%D0%BA%D0%B0%D1%87%20%D0%B8%20%D0%A5%D0%B8%D0%BF%D0%BF%D0%BE%D0%B7%D0%B0%201990%20%D1%84%D0%B8%D0%BB%D1%8C%D0%BC","искать")</f>
        <v/>
      </c>
      <c r="N3291" s="3" t="n"/>
      <c r="O3291" s="2" t="n"/>
    </row>
    <row r="3292">
      <c r="A3292" s="2" t="n">
        <v>3291</v>
      </c>
      <c r="B3292" s="2" t="inlineStr"/>
      <c r="C3292" s="2" t="n">
        <v>9576</v>
      </c>
      <c r="D3292" s="3" t="inlineStr">
        <is>
          <t>Последняя ночь Шахерезады</t>
        </is>
      </c>
      <c r="E3292" s="2" t="n">
        <v>1987</v>
      </c>
      <c r="F3292" s="2" t="inlineStr">
        <is>
          <t>кинофильм</t>
        </is>
      </c>
      <c r="G3292" s="2" t="n"/>
      <c r="H3292" s="2" t="n">
        <v>332</v>
      </c>
      <c r="I3292" s="2" t="inlineStr"/>
      <c r="J3292" s="2" t="inlineStr"/>
      <c r="K3292" s="3" t="inlineStr">
        <is>
          <t>По мотивам цикла «Тысяча и одна ночь». Последний фильм трилогии, начатой лентами «Новые сказки Шахерезады» и «И еще одна ночь Шахерезады», снятой по мотивам знаменитого сказочного цикла. Герои фильма — башмачник Маруф и дочь калифа Эсмигюль, которая, полюбив всем сердцем юношу, тем не менее заставит его побороться за свое счастье.</t>
        </is>
      </c>
      <c r="L3292" s="2" t="inlineStr">
        <is>
          <t>Кино_СССР сводный каталог.xlsx: список фильмов (доп.)</t>
        </is>
      </c>
      <c r="M3292" s="2">
        <f>HYPERLINK("https://ru.wikipedia.org/w/index.php?search=%D0%9F%D0%BE%D1%81%D0%BB%D0%B5%D0%B4%D0%BD%D1%8F%D1%8F%20%D0%BD%D0%BE%D1%87%D1%8C%20%D0%A8%D0%B0%D1%85%D0%B5%D1%80%D0%B5%D0%B7%D0%B0%D0%B4%D1%8B%201987%20%D1%84%D0%B8%D0%BB%D1%8C%D0%BC","искать")</f>
        <v/>
      </c>
      <c r="N3292" s="3" t="n"/>
      <c r="O3292" s="2" t="n"/>
    </row>
    <row r="3293">
      <c r="A3293" s="2" t="n">
        <v>3292</v>
      </c>
      <c r="B3293" s="2" t="inlineStr"/>
      <c r="C3293" s="2" t="n">
        <v>11361</v>
      </c>
      <c r="D3293" s="3" t="inlineStr">
        <is>
          <t>Волшебная белая ночь</t>
        </is>
      </c>
      <c r="E3293" s="2" t="n">
        <v>1984</v>
      </c>
      <c r="F3293" s="2" t="inlineStr">
        <is>
          <t>не игровое</t>
        </is>
      </c>
      <c r="G3293" s="2" t="n"/>
      <c r="H3293" s="2" t="n">
        <v>332</v>
      </c>
      <c r="I3293" s="2" t="inlineStr"/>
      <c r="J3293" s="2" t="inlineStr"/>
      <c r="K3293" s="3" t="inlineStr">
        <is>
          <t>Фильм-концерт знаменитого итальянского дуэта Аль Бано и Ромины Пауэр. 1984 год ознаменовался для них победой на фестивале в Сан-Ремо и последовавшим вслед за этим посещением Страны Советов. В Ленинграде прославленных исполнителей не могли отпустить просто так, не показав им все культурные достопримечательности по полной программе.</t>
        </is>
      </c>
      <c r="L3293" s="2" t="inlineStr">
        <is>
          <t>Кино_СССР телефильмы и пропуски включить в базу.xlsx</t>
        </is>
      </c>
      <c r="M3293" s="2">
        <f>HYPERLINK("https://ru.wikipedia.org/w/index.php?search=%D0%92%D0%BE%D0%BB%D1%88%D0%B5%D0%B1%D0%BD%D0%B0%D1%8F%20%D0%B1%D0%B5%D0%BB%D0%B0%D1%8F%20%D0%BD%D0%BE%D1%87%D1%8C%201984%20%D1%84%D0%B8%D0%BB%D1%8C%D0%BC","искать")</f>
        <v/>
      </c>
      <c r="N3293" s="3" t="n"/>
      <c r="O3293" s="2" t="n"/>
    </row>
    <row r="3294">
      <c r="A3294" s="2" t="n">
        <v>3293</v>
      </c>
      <c r="B3294" s="2" t="inlineStr"/>
      <c r="C3294" s="2" t="n">
        <v>7381</v>
      </c>
      <c r="D3294" s="3" t="inlineStr">
        <is>
          <t>Вот опять окно...</t>
        </is>
      </c>
      <c r="E3294" s="2" t="n">
        <v>1982</v>
      </c>
      <c r="F3294" s="2" t="inlineStr">
        <is>
          <t>телефильм</t>
        </is>
      </c>
      <c r="G3294" s="2" t="inlineStr">
        <is>
          <t>Лентелефильм</t>
        </is>
      </c>
      <c r="H3294" s="2" t="n">
        <v>333</v>
      </c>
      <c r="I3294" s="2" t="inlineStr"/>
      <c r="J3294" s="2" t="inlineStr"/>
      <c r="K3294" s="3" t="inlineStr">
        <is>
          <t>Дом. Три квартиры.... Фильм, состоящий из трех новелл, которые связаны музыкальным сюжетом - песней С.Пожлакова на стихи М. Цветаевой "Вот опять окно..." Первая новелла - по рассказу Г.Горышина “Сто роялей”. Иван Кораблев (Н.Трофимов), начальник цеха по производству роялей приходит в гости к профессору консерватории Сосновскому (В.</t>
        </is>
      </c>
      <c r="L3294" s="2" t="inlineStr">
        <is>
          <t>Кино_СССР сводный каталог.xlsx: список телефильмов</t>
        </is>
      </c>
      <c r="M3294" s="2">
        <f>HYPERLINK("https://ru.wikipedia.org/w/index.php?search=%D0%92%D0%BE%D1%82%20%D0%BE%D0%BF%D1%8F%D1%82%D1%8C%20%D0%BE%D0%BA%D0%BD%D0%BE...%201982%20%D1%84%D0%B8%D0%BB%D1%8C%D0%BC","искать")</f>
        <v/>
      </c>
      <c r="N3294" s="3" t="n"/>
      <c r="O3294" s="2" t="n"/>
    </row>
    <row r="3295">
      <c r="A3295" s="2" t="n">
        <v>3294</v>
      </c>
      <c r="B3295" s="2" t="inlineStr"/>
      <c r="C3295" s="2" t="n">
        <v>7393</v>
      </c>
      <c r="D3295" s="3" t="inlineStr">
        <is>
          <t>Время свиданий</t>
        </is>
      </c>
      <c r="E3295" s="2" t="n">
        <v>1986</v>
      </c>
      <c r="F3295" s="2" t="inlineStr">
        <is>
          <t>телефильм</t>
        </is>
      </c>
      <c r="G3295" s="2" t="inlineStr">
        <is>
          <t>Свердловская киностудия по заказу Гостелерадио СССР</t>
        </is>
      </c>
      <c r="H3295" s="2" t="n">
        <v>333</v>
      </c>
      <c r="I3295" s="2" t="inlineStr"/>
      <c r="J3295" s="2" t="inlineStr"/>
      <c r="K3295" s="3" t="inlineStr">
        <is>
          <t>В провинциальный городок на старой фронтовой машине "Виллис" приезжает ветеран Великой Отечественной войны Аполлон Голуб, чтобы навестить бывшего командира. Машина привлекает внимание подростка Валерки Елкина. Он угоняет ее и попадает в аварию. Так происходит знакомство мальчишки и старого фронтовика, переросшее в настоящую дружбу.</t>
        </is>
      </c>
      <c r="L3295" s="2" t="inlineStr">
        <is>
          <t>Кино_СССР сводный каталог.xlsx: список телефильмов</t>
        </is>
      </c>
      <c r="M3295" s="2">
        <f>HYPERLINK("https://ru.wikipedia.org/w/index.php?search=%D0%92%D1%80%D0%B5%D0%BC%D1%8F%20%D1%81%D0%B2%D0%B8%D0%B4%D0%B0%D0%BD%D0%B8%D0%B9%201986%20%D1%84%D0%B8%D0%BB%D1%8C%D0%BC","искать")</f>
        <v/>
      </c>
      <c r="N3295" s="3" t="n"/>
      <c r="O3295" s="2" t="n"/>
    </row>
    <row r="3296">
      <c r="A3296" s="2" t="n">
        <v>3295</v>
      </c>
      <c r="B3296" s="2" t="inlineStr"/>
      <c r="C3296" s="2" t="n">
        <v>7475</v>
      </c>
      <c r="D3296" s="3" t="inlineStr">
        <is>
          <t>Два дня в начале декабря</t>
        </is>
      </c>
      <c r="E3296" s="2" t="n">
        <v>1981</v>
      </c>
      <c r="F3296" s="2" t="inlineStr">
        <is>
          <t>телефильм</t>
        </is>
      </c>
      <c r="G3296" s="2" t="n"/>
      <c r="H3296" s="2" t="n">
        <v>333</v>
      </c>
      <c r="I3296" s="2" t="inlineStr"/>
      <c r="J3296" s="2" t="inlineStr"/>
      <c r="K3296" s="3" t="inlineStr">
        <is>
          <t>Телевизионный фильм. О двух днях из жизни секретаря сельского райкома партии Анны Сергеевны Кулешовой. Наряду с решением ряда сложных общественных проблем, ей приходится решать и немало личных вопросов, связанных с судьбой дочери, терпеливо ожидать приезда мужа - майора, участвующего в обезвреживании бомб, наследия прошедшей войны.</t>
        </is>
      </c>
      <c r="L3296" s="2" t="inlineStr">
        <is>
          <t>Кино_СССР сводный каталог.xlsx: список телефильмов</t>
        </is>
      </c>
      <c r="M3296" s="2">
        <f>HYPERLINK("https://ru.wikipedia.org/w/index.php?search=%D0%94%D0%B2%D0%B0%20%D0%B4%D0%BD%D1%8F%20%D0%B2%20%D0%BD%D0%B0%D1%87%D0%B0%D0%BB%D0%B5%20%D0%B4%D0%B5%D0%BA%D0%B0%D0%B1%D1%80%D1%8F%201981%20%D1%84%D0%B8%D0%BB%D1%8C%D0%BC","искать")</f>
        <v/>
      </c>
      <c r="N3296" s="3" t="n"/>
      <c r="O3296" s="2" t="n"/>
    </row>
    <row r="3297">
      <c r="A3297" s="2" t="n">
        <v>3296</v>
      </c>
      <c r="B3297" s="2" t="inlineStr"/>
      <c r="C3297" s="2" t="n">
        <v>7519</v>
      </c>
      <c r="D3297" s="3" t="inlineStr">
        <is>
          <t>Дни и годы Николая Батыгина</t>
        </is>
      </c>
      <c r="E3297" s="2" t="n">
        <v>1987</v>
      </c>
      <c r="F3297" s="2" t="inlineStr">
        <is>
          <t>телефильм</t>
        </is>
      </c>
      <c r="G3297" s="2" t="n"/>
      <c r="H3297" s="2" t="n">
        <v>333</v>
      </c>
      <c r="I3297" s="2" t="inlineStr"/>
      <c r="J3297" s="2" t="inlineStr"/>
      <c r="K3297" s="3" t="inlineStr">
        <is>
          <t>Сериал о трудной судьбе мастера-стеклодува Николая Батыгина. В одной из глухих губерний царской России живёт семья Батыгиных, глава которой - Разумей - настоящий волшебник хрустальных дел. По вине хозяина стекольного завода Пальцева талантливый мастер и его жена гибнут, а их сын Коля вынужден идти на тяжелую работу на тот же завод.</t>
        </is>
      </c>
      <c r="L3297" s="2" t="inlineStr">
        <is>
          <t>Кино_СССР сводный каталог.xlsx: список телефильмов</t>
        </is>
      </c>
      <c r="M3297" s="2">
        <f>HYPERLINK("https://ru.wikipedia.org/w/index.php?search=%D0%94%D0%BD%D0%B8%20%D0%B8%20%D0%B3%D0%BE%D0%B4%D1%8B%20%D0%9D%D0%B8%D0%BA%D0%BE%D0%BB%D0%B0%D1%8F%20%D0%91%D0%B0%D1%82%D1%8B%D0%B3%D0%B8%D0%BD%D0%B0%201987%20%D1%84%D0%B8%D0%BB%D1%8C%D0%BC","искать")</f>
        <v/>
      </c>
      <c r="N3297" s="3" t="n"/>
      <c r="O3297" s="2" t="n"/>
    </row>
    <row r="3298">
      <c r="A3298" s="2" t="n">
        <v>3297</v>
      </c>
      <c r="B3298" s="2" t="inlineStr"/>
      <c r="C3298" s="2" t="n">
        <v>7564</v>
      </c>
      <c r="D3298" s="3" t="inlineStr">
        <is>
          <t>Дубровский</t>
        </is>
      </c>
      <c r="E3298" s="2" t="n">
        <v>1988</v>
      </c>
      <c r="F3298" s="2" t="inlineStr">
        <is>
          <t>телефильм</t>
        </is>
      </c>
      <c r="G3298" s="2" t="n"/>
      <c r="H3298" s="2" t="n">
        <v>333</v>
      </c>
      <c r="I3298" s="2" t="inlineStr"/>
      <c r="J3298" s="2" t="inlineStr"/>
      <c r="K3298" s="3" t="inlineStr">
        <is>
          <t>Экранизация одноименного романа А.С. Пушкина. Молодой барин Владимир Дубровский приезжает в поместье к отцу, у которого давно идет тяжба с соседом – деспотичным помещиком Троекуровым. Тяжба завершается полным разорением, а затем и смертью отца. Дубровский, к этому времени успевший влюбиться в Машеньку Троекурову, решается на месть.</t>
        </is>
      </c>
      <c r="L3298" s="2" t="inlineStr">
        <is>
          <t>Кино_СССР сводный каталог.xlsx: список телефильмов</t>
        </is>
      </c>
      <c r="M3298" s="2">
        <f>HYPERLINK("https://ru.wikipedia.org/w/index.php?search=%D0%94%D1%83%D0%B1%D1%80%D0%BE%D0%B2%D1%81%D0%BA%D0%B8%D0%B9%201988%20%D1%84%D0%B8%D0%BB%D1%8C%D0%BC","искать")</f>
        <v/>
      </c>
      <c r="N3298" s="3" t="n"/>
      <c r="O3298" s="2" t="n"/>
    </row>
    <row r="3299">
      <c r="A3299" s="2" t="n">
        <v>3298</v>
      </c>
      <c r="B3299" s="2" t="inlineStr"/>
      <c r="C3299" s="2" t="n">
        <v>7769</v>
      </c>
      <c r="D3299" s="3" t="inlineStr">
        <is>
          <t>Красный велосипед</t>
        </is>
      </c>
      <c r="E3299" s="2" t="n">
        <v>1979</v>
      </c>
      <c r="F3299" s="2" t="inlineStr">
        <is>
          <t>телефильм</t>
        </is>
      </c>
      <c r="G3299" s="2" t="n"/>
      <c r="H3299" s="2" t="n">
        <v>333</v>
      </c>
      <c r="I3299" s="2" t="inlineStr"/>
      <c r="J3299" s="2" t="inlineStr"/>
      <c r="K3299" s="3" t="inlineStr">
        <is>
          <t>Телефильм. 1918 год. Несмотря на заключение мира между Советской Россией и Германией, на границе продолжаются провокации. В родную деревню возвращается солдат Якуб Ковалёнок. На ярмарке он пытается купить коня, готов выложить за него все,даже продать гранату. Её выхватывает какой-то паныч и убегая оставляет Якубу красный велосипед.</t>
        </is>
      </c>
      <c r="L3299" s="2" t="inlineStr">
        <is>
          <t>Кино_СССР сводный каталог.xlsx: список телефильмов</t>
        </is>
      </c>
      <c r="M3299" s="2">
        <f>HYPERLINK("https://ru.wikipedia.org/w/index.php?search=%D0%9A%D1%80%D0%B0%D1%81%D0%BD%D1%8B%D0%B9%20%D0%B2%D0%B5%D0%BB%D0%BE%D1%81%D0%B8%D0%BF%D0%B5%D0%B4%201979%20%D1%84%D0%B8%D0%BB%D1%8C%D0%BC","искать")</f>
        <v/>
      </c>
      <c r="N3299" s="3" t="n"/>
      <c r="O3299" s="2" t="n"/>
    </row>
    <row r="3300">
      <c r="A3300" s="2" t="n">
        <v>3299</v>
      </c>
      <c r="B3300" s="2" t="inlineStr"/>
      <c r="C3300" s="2" t="n">
        <v>7905</v>
      </c>
      <c r="D3300" s="3" t="inlineStr">
        <is>
          <t>Мудромер</t>
        </is>
      </c>
      <c r="E3300" s="2" t="n">
        <v>1988</v>
      </c>
      <c r="F3300" s="2" t="inlineStr">
        <is>
          <t>телефильм</t>
        </is>
      </c>
      <c r="G3300" s="2" t="n"/>
      <c r="H3300" s="2" t="n">
        <v>333</v>
      </c>
      <c r="I3300" s="2" t="inlineStr"/>
      <c r="J3300" s="2" t="inlineStr"/>
      <c r="K3300" s="3" t="inlineStr">
        <is>
          <t>По одноименной пьесе белорусского драматурга Николая Матуковского. Изобретатель Николай Мурашко сконструировал прибор, измеряющий степень человеческого интеллекта, и называет его "дуромер". На талантливого человека прибор реагирует арией князя Игоря, на гения - музыкой Глинки "Славься", на дурака - полонезом Огинского, и так далее.</t>
        </is>
      </c>
      <c r="L3300" s="2" t="inlineStr">
        <is>
          <t>Кино_СССР сводный каталог.xlsx: список телефильмов</t>
        </is>
      </c>
      <c r="M3300" s="2">
        <f>HYPERLINK("https://ru.wikipedia.org/w/index.php?search=%D0%9C%D1%83%D0%B4%D1%80%D0%BE%D0%BC%D0%B5%D1%80%201988%20%D1%84%D0%B8%D0%BB%D1%8C%D0%BC","искать")</f>
        <v/>
      </c>
      <c r="N3300" s="3" t="n"/>
      <c r="O3300" s="2" t="n"/>
    </row>
    <row r="3301">
      <c r="A3301" s="2" t="n">
        <v>3300</v>
      </c>
      <c r="B3301" s="2" t="inlineStr"/>
      <c r="C3301" s="2" t="n">
        <v>8378</v>
      </c>
      <c r="D3301" s="3" t="inlineStr">
        <is>
          <t>Сокровища республики</t>
        </is>
      </c>
      <c r="E3301" s="2" t="n">
        <v>1964</v>
      </c>
      <c r="F3301" s="2" t="inlineStr">
        <is>
          <t>телефильм</t>
        </is>
      </c>
      <c r="G3301" s="2" t="inlineStr">
        <is>
          <t>Мосфильм</t>
        </is>
      </c>
      <c r="H3301" s="2" t="n">
        <v>333</v>
      </c>
      <c r="I3301" s="2" t="inlineStr"/>
      <c r="J3301" s="2" t="inlineStr"/>
      <c r="K3301" s="3" t="inlineStr">
        <is>
          <t>Историко-приключенческий телевизионный фильм. По мотивам рассказов Юрия Германа. О советских чекистах, в первые годы Советской власти предотвративших вывоз за рубеж художественных полотен старых мастеров. Руководил операцией лично Ф. Э. Дзержинский (Ю. Балмусов). В фильме звучит песня Вано Мурадели на стихи Евгения Долматовского ".</t>
        </is>
      </c>
      <c r="L3301" s="2" t="inlineStr">
        <is>
          <t>Кино_СССР сводный каталог.xlsx: список телефильмов</t>
        </is>
      </c>
      <c r="M3301" s="2">
        <f>HYPERLINK("https://ru.wikipedia.org/w/index.php?search=%D0%A1%D0%BE%D0%BA%D1%80%D0%BE%D0%B2%D0%B8%D1%89%D0%B0%20%D1%80%D0%B5%D1%81%D0%BF%D1%83%D0%B1%D0%BB%D0%B8%D0%BA%D0%B8%201964%20%D1%84%D0%B8%D0%BB%D1%8C%D0%BC","искать")</f>
        <v/>
      </c>
      <c r="N3301" s="3" t="n"/>
      <c r="O3301" s="2" t="n"/>
    </row>
    <row r="3302">
      <c r="A3302" s="2" t="n">
        <v>3301</v>
      </c>
      <c r="B3302" s="2" t="inlineStr"/>
      <c r="C3302" s="2" t="n">
        <v>8555</v>
      </c>
      <c r="D3302" s="3" t="inlineStr">
        <is>
          <t>Чёрный замок Ольшанский</t>
        </is>
      </c>
      <c r="E3302" s="2" t="n">
        <v>1983</v>
      </c>
      <c r="F3302" s="2" t="inlineStr">
        <is>
          <t>телефильм</t>
        </is>
      </c>
      <c r="G3302" s="2" t="n"/>
      <c r="H3302" s="2" t="n">
        <v>333</v>
      </c>
      <c r="I3302" s="2" t="inlineStr"/>
      <c r="J3302" s="2" t="inlineStr"/>
      <c r="K3302" s="3" t="inlineStr">
        <is>
          <t>По одноименному роману Владимира Короткевича. Палеограф и писатель Антон Глебович Космич находит в переплете старинной книги пергамент с зашифрованными сведениями о спрятанных в подземелье замка сокровищах. Постепенно выясняется, что сокровища ищет и последний отпрыск рода князей Ольшанских, в годы войны сотрудничавший с фашистами.</t>
        </is>
      </c>
      <c r="L3302" s="2" t="inlineStr">
        <is>
          <t>Кино_СССР сводный каталог.xlsx: список телефильмов</t>
        </is>
      </c>
      <c r="M3302" s="2">
        <f>HYPERLINK("https://ru.wikipedia.org/w/index.php?search=%D0%A7%D1%91%D1%80%D0%BD%D1%8B%D0%B9%20%D0%B7%D0%B0%D0%BC%D0%BE%D0%BA%20%D0%9E%D0%BB%D1%8C%D1%88%D0%B0%D0%BD%D1%81%D0%BA%D0%B8%D0%B9%201983%20%D1%84%D0%B8%D0%BB%D1%8C%D0%BC","искать")</f>
        <v/>
      </c>
      <c r="N3302" s="3" t="n"/>
      <c r="O3302" s="2" t="n"/>
    </row>
    <row r="3303">
      <c r="A3303" s="2" t="n">
        <v>3302</v>
      </c>
      <c r="B3303" s="2" t="inlineStr"/>
      <c r="C3303" s="2" t="n">
        <v>8829</v>
      </c>
      <c r="D3303" s="3" t="inlineStr">
        <is>
          <t>Мель</t>
        </is>
      </c>
      <c r="E3303" s="2" t="n">
        <v>1988</v>
      </c>
      <c r="F3303" s="2" t="inlineStr">
        <is>
          <t>кинофильм</t>
        </is>
      </c>
      <c r="G3303" s="2" t="n"/>
      <c r="H3303" s="2" t="n">
        <v>333</v>
      </c>
      <c r="I3303" s="2" t="inlineStr"/>
      <c r="J3303" s="2" t="inlineStr"/>
      <c r="K3303" s="3" t="inlineStr">
        <is>
          <t>Сценарист Васильев заинтересовался судьбой Лапиньша - бывшего капитана супертраулера "Малахит". Лапиньш был отстранен от должности и лишен капитанского диплома после аварии, произошедшей более полугода назад - супертраулер "Малахит" сел на мель. Дело рассматривал суд. Васильев в поисках истины пошел по следам драматических событий.</t>
        </is>
      </c>
      <c r="L3303" s="2" t="inlineStr">
        <is>
          <t>Кино_СССР сводный каталог.xlsx: список фильмов (доп.)</t>
        </is>
      </c>
      <c r="M3303" s="2">
        <f>HYPERLINK("https://ru.wikipedia.org/w/index.php?search=%D0%9C%D0%B5%D0%BB%D1%8C%201988%20%D1%84%D0%B8%D0%BB%D1%8C%D0%BC","искать")</f>
        <v/>
      </c>
      <c r="N3303" s="3" t="n"/>
      <c r="O3303" s="2" t="n"/>
    </row>
    <row r="3304">
      <c r="A3304" s="2" t="n">
        <v>3303</v>
      </c>
      <c r="B3304" s="2" t="inlineStr"/>
      <c r="C3304" s="2" t="n">
        <v>9081</v>
      </c>
      <c r="D3304" s="3" t="inlineStr">
        <is>
          <t>Счастливые дни</t>
        </is>
      </c>
      <c r="E3304" s="2" t="n">
        <v>1991</v>
      </c>
      <c r="F3304" s="2" t="inlineStr">
        <is>
          <t>кинофильм</t>
        </is>
      </c>
      <c r="G3304" s="2" t="n"/>
      <c r="H3304" s="2" t="n">
        <v>333</v>
      </c>
      <c r="I3304" s="2" t="inlineStr"/>
      <c r="J3304" s="2" t="inlineStr"/>
      <c r="K3304" s="3" t="inlineStr">
        <is>
          <t>Пустынный, как будто вымерший Петербург вне времени и вне эпох - провалы окон облупившихся старинных домов, провалы дверей трамваев без пассажиров, грохочущих неизвестно куда по совершенно безлюдным улицам. По этим улицам, мимо этих домов и этих трамваев, одиноко бредет ОН - человек без имени, без памяти, без прошлого и без друзей.</t>
        </is>
      </c>
      <c r="L3304" s="2" t="inlineStr">
        <is>
          <t>Кино_СССР сводный каталог.xlsx: список фильмов (доп.)</t>
        </is>
      </c>
      <c r="M3304" s="2">
        <f>HYPERLINK("https://ru.wikipedia.org/w/index.php?search=%D0%A1%D1%87%D0%B0%D1%81%D1%82%D0%BB%D0%B8%D0%B2%D1%8B%D0%B5%20%D0%B4%D0%BD%D0%B8%201991%20%D1%84%D0%B8%D0%BB%D1%8C%D0%BC","искать")</f>
        <v/>
      </c>
      <c r="N3304" s="3" t="n"/>
      <c r="O3304" s="2" t="n"/>
    </row>
    <row r="3305">
      <c r="A3305" s="2" t="n">
        <v>3304</v>
      </c>
      <c r="B3305" s="2" t="inlineStr"/>
      <c r="C3305" s="2" t="n">
        <v>9146</v>
      </c>
      <c r="D3305" s="3" t="inlineStr">
        <is>
          <t>Хорезмийская легенда</t>
        </is>
      </c>
      <c r="E3305" s="2" t="n">
        <v>1978</v>
      </c>
      <c r="F3305" s="2" t="inlineStr">
        <is>
          <t>кинофильм</t>
        </is>
      </c>
      <c r="G3305" s="2" t="n"/>
      <c r="H3305" s="2" t="n">
        <v>333</v>
      </c>
      <c r="I3305" s="2" t="inlineStr"/>
      <c r="J3305" s="2" t="inlineStr"/>
      <c r="K3305" s="3" t="inlineStr">
        <is>
          <t>По мотивам узбекских народных сказок. Конец XIII века. В Хиве правит жестокий Хан, пожелавший взять в жены красавицу Малику - невесту скорняка Максута, отважного джигита. Чтобы избавиться от Максута, Хан отправляет его искать хорезмийских мастеров, угнанных когда-то в рабство. Им предстоит построить новый дворец своему Хану в Хиве.</t>
        </is>
      </c>
      <c r="L3305" s="2" t="inlineStr">
        <is>
          <t>Кино_СССР сводный каталог.xlsx: список фильмов (доп.)</t>
        </is>
      </c>
      <c r="M3305" s="2">
        <f>HYPERLINK("https://ru.wikipedia.org/w/index.php?search=%D0%A5%D0%BE%D1%80%D0%B5%D0%B7%D0%BC%D0%B8%D0%B9%D1%81%D0%BA%D0%B0%D1%8F%20%D0%BB%D0%B5%D0%B3%D0%B5%D0%BD%D0%B4%D0%B0%201978%20%D1%84%D0%B8%D0%BB%D1%8C%D0%BC","искать")</f>
        <v/>
      </c>
      <c r="N3305" s="3" t="n"/>
      <c r="O3305" s="2" t="n"/>
    </row>
    <row r="3306">
      <c r="A3306" s="2" t="n">
        <v>3305</v>
      </c>
      <c r="B3306" s="2" t="inlineStr"/>
      <c r="C3306" s="2" t="n">
        <v>10185</v>
      </c>
      <c r="D3306" s="3" t="inlineStr">
        <is>
          <t>В прекрасном и яростном мире</t>
        </is>
      </c>
      <c r="E3306" s="2" t="n">
        <v>1967</v>
      </c>
      <c r="F3306" s="2" t="inlineStr">
        <is>
          <t>фильм-спектакль</t>
        </is>
      </c>
      <c r="G3306" s="2" t="inlineStr">
        <is>
          <t>Центральное телевидение</t>
        </is>
      </c>
      <c r="H3306" s="2" t="n">
        <v>333</v>
      </c>
      <c r="I3306" s="2" t="inlineStr"/>
      <c r="J3306" s="2" t="inlineStr"/>
      <c r="K3306" s="3" t="inlineStr">
        <is>
          <t>Из цикла "Литературный театр".
По одноименному рассказу Андрея Платонова.
Машинист паровоза Мальцев осужден за создание аварийной ситуации, в которой он был не виноват. Помощник машиниста, Костя, борется за реабилитацию своего старшего друга, добиваясь проведения сложного следственного эксперимента.
Вступительное слово Ии Саввиной.</t>
        </is>
      </c>
      <c r="L3306" s="2" t="inlineStr">
        <is>
          <t>https://www.kino-teatr.ru/teatr/movie/81414/annot/</t>
        </is>
      </c>
      <c r="M3306" s="2">
        <f>HYPERLINK("https://ru.wikipedia.org/w/index.php?search=%D0%92%20%D0%BF%D1%80%D0%B5%D0%BA%D1%80%D0%B0%D1%81%D0%BD%D0%BE%D0%BC%20%D0%B8%20%D1%8F%D1%80%D0%BE%D1%81%D1%82%D0%BD%D0%BE%D0%BC%20%D0%BC%D0%B8%D1%80%D0%B5%201967%20%D1%84%D0%B8%D0%BB%D1%8C%D0%BC","искать")</f>
        <v/>
      </c>
      <c r="N3306" s="3" t="n"/>
      <c r="O3306" s="2" t="n"/>
    </row>
    <row r="3307">
      <c r="A3307" s="2" t="n">
        <v>3306</v>
      </c>
      <c r="B3307" s="2" t="inlineStr"/>
      <c r="C3307" s="2" t="n">
        <v>7904</v>
      </c>
      <c r="D3307" s="3" t="inlineStr">
        <is>
          <t>Моя улица</t>
        </is>
      </c>
      <c r="E3307" s="2" t="n">
        <v>1970</v>
      </c>
      <c r="F3307" s="2" t="inlineStr">
        <is>
          <t>телефильм</t>
        </is>
      </c>
      <c r="G3307" s="2" t="n"/>
      <c r="H3307" s="2" t="n">
        <v>334</v>
      </c>
      <c r="I3307" s="2" t="inlineStr"/>
      <c r="J3307" s="2" t="inlineStr"/>
      <c r="K3307" s="3" t="inlineStr">
        <is>
          <t>Телефильм. Мелодрама по мотивам пьесы Исидора Штока "Ленинградский проспект" Старики Забродины всегда жили честно, по совести. То, что происходит в семье старшего сына, и, в особенности, то, как ведет себя младший сын - известный футболист - не только непонятно родителям, но заставляет их тяжело страдать, причиняет смертельную боль.</t>
        </is>
      </c>
      <c r="L3307" s="2" t="inlineStr">
        <is>
          <t>Кино_СССР сводный каталог.xlsx: список телефильмов</t>
        </is>
      </c>
      <c r="M3307" s="2">
        <f>HYPERLINK("https://ru.wikipedia.org/w/index.php?search=%D0%9C%D0%BE%D1%8F%20%D1%83%D0%BB%D0%B8%D1%86%D0%B0%201970%20%D1%84%D0%B8%D0%BB%D1%8C%D0%BC","искать")</f>
        <v/>
      </c>
      <c r="N3307" s="3" t="n"/>
      <c r="O3307" s="2" t="n"/>
    </row>
    <row r="3308">
      <c r="A3308" s="2" t="n">
        <v>3307</v>
      </c>
      <c r="B3308" s="2" t="inlineStr"/>
      <c r="C3308" s="2" t="n">
        <v>8269</v>
      </c>
      <c r="D3308" s="3" t="inlineStr">
        <is>
          <t>Ребята из дзюдо</t>
        </is>
      </c>
      <c r="E3308" s="2" t="n">
        <v>1987</v>
      </c>
      <c r="F3308" s="2" t="inlineStr">
        <is>
          <t>телефильм</t>
        </is>
      </c>
      <c r="G3308" s="2" t="n"/>
      <c r="H3308" s="2" t="n">
        <v>334</v>
      </c>
      <c r="I3308" s="2" t="inlineStr"/>
      <c r="J3308" s="2" t="inlineStr"/>
      <c r="K3308" s="3" t="inlineStr">
        <is>
          <t>По мотивам одноименного рассказа эстонского советского писателя Янно Пылдма. В небольшой сельской школе новый учитель Мартин организовал секцию дзю-до и привлёк туда нескольких мальчишек. Постигая азы борьбы и знакомясь с философией дзюдо, ребята начинают по другому смотреть на многие вещи. Но и спортивная сторона им не менее важна.</t>
        </is>
      </c>
      <c r="L3308" s="2" t="inlineStr">
        <is>
          <t>Кино_СССР сводный каталог.xlsx: список телефильмов</t>
        </is>
      </c>
      <c r="M3308" s="2">
        <f>HYPERLINK("https://ru.wikipedia.org/w/index.php?search=%D0%A0%D0%B5%D0%B1%D1%8F%D1%82%D0%B0%20%D0%B8%D0%B7%20%D0%B4%D0%B7%D1%8E%D0%B4%D0%BE%201987%20%D1%84%D0%B8%D0%BB%D1%8C%D0%BC","искать")</f>
        <v/>
      </c>
      <c r="N3308" s="3" t="n"/>
      <c r="O3308" s="2" t="n"/>
    </row>
    <row r="3309">
      <c r="A3309" s="2" t="n">
        <v>3308</v>
      </c>
      <c r="B3309" s="2" t="inlineStr"/>
      <c r="C3309" s="2" t="n">
        <v>8373</v>
      </c>
      <c r="D3309" s="3" t="inlineStr">
        <is>
          <t>Собачье сердце</t>
        </is>
      </c>
      <c r="E3309" s="2" t="n">
        <v>1988</v>
      </c>
      <c r="F3309" s="2" t="inlineStr">
        <is>
          <t>телефильм</t>
        </is>
      </c>
      <c r="G3309" s="2" t="inlineStr">
        <is>
          <t>Ленфильм</t>
        </is>
      </c>
      <c r="H3309" s="2" t="n">
        <v>334</v>
      </c>
      <c r="I3309" s="2" t="inlineStr"/>
      <c r="J3309" s="2" t="inlineStr"/>
      <c r="K3309" s="3" t="inlineStr">
        <is>
          <t>Экранизация одноимённой повести Михаила Афанасьевича Булгакова. ...Россия, 20-е годы ХХ века, разруха. Профессор Преображенский осуществляет гениальную операцию по пересадке гипофиза человека обыкновенной дворняжке... И совершается чудо — пёс начинает принимать облик человека! Но опыт доказывает, что собаке лучше оставаться собакой.</t>
        </is>
      </c>
      <c r="L3309" s="2" t="inlineStr">
        <is>
          <t>Кино_СССР сводный каталог.xlsx: список телефильмов</t>
        </is>
      </c>
      <c r="M3309" s="2">
        <f>HYPERLINK("https://ru.wikipedia.org/w/index.php?search=%D0%A1%D0%BE%D0%B1%D0%B0%D1%87%D1%8C%D0%B5%20%D1%81%D0%B5%D1%80%D0%B4%D1%86%D0%B5%201988%20%D1%84%D0%B8%D0%BB%D1%8C%D0%BC","искать")</f>
        <v/>
      </c>
      <c r="N3309" s="3" t="n"/>
      <c r="O3309" s="2" t="n"/>
    </row>
    <row r="3310">
      <c r="A3310" s="2" t="n">
        <v>3309</v>
      </c>
      <c r="B3310" s="2" t="inlineStr"/>
      <c r="C3310" s="2" t="n">
        <v>8596</v>
      </c>
      <c r="D3310" s="3" t="inlineStr">
        <is>
          <t>Это было в Коканде</t>
        </is>
      </c>
      <c r="E3310" s="2" t="n">
        <v>1977</v>
      </c>
      <c r="F3310" s="2" t="inlineStr">
        <is>
          <t>телефильм</t>
        </is>
      </c>
      <c r="G3310" s="2" t="n"/>
      <c r="H3310" s="2" t="n">
        <v>334</v>
      </c>
      <c r="I3310" s="2" t="inlineStr"/>
      <c r="J3310" s="2" t="inlineStr"/>
      <c r="K3310" s="3" t="inlineStr">
        <is>
          <t>По мотивам одноименного романа Н.Никитина. О становлении Советской власти в Узбекистане, борьбе с «Кокандской автономией» и басмачеством. В центре сюжета — судьба Юсупа, мальчика-раба при конюшне богача Мамедова. Возмужав и закалившись в обстановке боевых лет, Юсуп стал комиссаром Красной Армии, а затем большим партийным работником.</t>
        </is>
      </c>
      <c r="L3310" s="2" t="inlineStr">
        <is>
          <t>Кино_СССР сводный каталог.xlsx: список телефильмов</t>
        </is>
      </c>
      <c r="M3310" s="2">
        <f>HYPERLINK("https://ru.wikipedia.org/w/index.php?search=%D0%AD%D1%82%D0%BE%20%D0%B1%D1%8B%D0%BB%D0%BE%20%D0%B2%20%D0%9A%D0%BE%D0%BA%D0%B0%D0%BD%D0%B4%D0%B5%201977%20%D1%84%D0%B8%D0%BB%D1%8C%D0%BC","искать")</f>
        <v/>
      </c>
      <c r="N3310" s="3" t="n"/>
      <c r="O3310" s="2" t="n"/>
    </row>
    <row r="3311">
      <c r="A3311" s="2" t="n">
        <v>3310</v>
      </c>
      <c r="B3311" s="2" t="inlineStr"/>
      <c r="C3311" s="2" t="n">
        <v>8894</v>
      </c>
      <c r="D3311" s="3" t="inlineStr">
        <is>
          <t>Ой, вы, гуси...</t>
        </is>
      </c>
      <c r="E3311" s="2" t="n">
        <v>1991</v>
      </c>
      <c r="F3311" s="2" t="inlineStr">
        <is>
          <t>кинофильм</t>
        </is>
      </c>
      <c r="G3311" s="2" t="n"/>
      <c r="H3311" s="2" t="n">
        <v>334</v>
      </c>
      <c r="I3311" s="2" t="inlineStr"/>
      <c r="J3311" s="2" t="inlineStr"/>
      <c r="K3311" s="3" t="inlineStr">
        <is>
          <t>История оскудения и деградации одной семьи из русской глубинки, становящаяся по ходу повествования глобальной метафорой нашего бытия. Терпение - родовое качество, счастье и проклятие русского человека. О нем и фильм. И о жизни трех братьев Ивановых. Старший - Санька - уголовник, отсидел за убийство, хотя вина его не вполне доказана.</t>
        </is>
      </c>
      <c r="L3311" s="2" t="inlineStr">
        <is>
          <t>Кино_СССР сводный каталог.xlsx: список фильмов (доп.)</t>
        </is>
      </c>
      <c r="M3311" s="2">
        <f>HYPERLINK("https://ru.wikipedia.org/w/index.php?search=%D0%9E%D0%B9%2C%20%D0%B2%D1%8B%2C%20%D0%B3%D1%83%D1%81%D0%B8...%201991%20%D1%84%D0%B8%D0%BB%D1%8C%D0%BC","искать")</f>
        <v/>
      </c>
      <c r="N3311" s="3" t="n"/>
      <c r="O3311" s="2" t="n"/>
    </row>
    <row r="3312">
      <c r="A3312" s="2" t="n">
        <v>3311</v>
      </c>
      <c r="B3312" s="2" t="inlineStr"/>
      <c r="C3312" s="2" t="n">
        <v>9627</v>
      </c>
      <c r="D3312" s="3" t="inlineStr">
        <is>
          <t>Самостоятельная жизнь</t>
        </is>
      </c>
      <c r="E3312" s="2" t="n">
        <v>1991</v>
      </c>
      <c r="F3312" s="2" t="inlineStr">
        <is>
          <t>кинофильм</t>
        </is>
      </c>
      <c r="G3312" s="2" t="n"/>
      <c r="H3312" s="2" t="n">
        <v>334</v>
      </c>
      <c r="I3312" s="2" t="inlineStr"/>
      <c r="J3312" s="2" t="inlineStr"/>
      <c r="K3312" s="3" t="inlineStr">
        <is>
          <t>Продолжение предыдущего фильма pежиссеpа "Замри - умри - воскресни" (1989). Действие начинается в 50-е годы в Сучане, небольшом шахтерском городке на Дальнем Востоке. Три года спустя после смерти Гали - героини предыдущего фильма - Валерка влюбляется в ее сестру. Он уже взрослый, самостоятельный человек - и у него впереди вся жизнь.</t>
        </is>
      </c>
      <c r="L3312" s="2" t="inlineStr">
        <is>
          <t>Кино_СССР сводный каталог.xlsx: список фильмов (доп.)</t>
        </is>
      </c>
      <c r="M3312" s="2">
        <f>HYPERLINK("https://ru.wikipedia.org/w/index.php?search=%D0%A1%D0%B0%D0%BC%D0%BE%D1%81%D1%82%D0%BE%D1%8F%D1%82%D0%B5%D0%BB%D1%8C%D0%BD%D0%B0%D1%8F%20%D0%B6%D0%B8%D0%B7%D0%BD%D1%8C%201991%20%D1%84%D0%B8%D0%BB%D1%8C%D0%BC","искать")</f>
        <v/>
      </c>
      <c r="N3312" s="3" t="n"/>
      <c r="O3312" s="2" t="n"/>
    </row>
    <row r="3313">
      <c r="A3313" s="2" t="n">
        <v>3312</v>
      </c>
      <c r="B3313" s="2" t="inlineStr"/>
      <c r="C3313" s="2" t="n">
        <v>9691</v>
      </c>
      <c r="D3313" s="3" t="inlineStr">
        <is>
          <t>Терьяк</t>
        </is>
      </c>
      <c r="E3313" s="2" t="n">
        <v>1931</v>
      </c>
      <c r="F3313" s="2" t="inlineStr">
        <is>
          <t>кинофильм</t>
        </is>
      </c>
      <c r="G3313" s="2" t="n"/>
      <c r="H3313" s="2" t="n">
        <v>334</v>
      </c>
      <c r="I3313" s="2" t="inlineStr"/>
      <c r="J3313" s="2" t="inlineStr"/>
      <c r="K3313" s="3" t="inlineStr">
        <is>
          <t>О преодолении наркомании в Туркменистане, которую использует как орудие в борьбе с новым строем классовый враг. Кулак, объединившийся с владельцем курильни, внушает одурманенному терьяком бедняку мысль об убийстве партийца. Исполнители-непрофессионалы в титрах не указаны. Фильм запрещен протоколом ГРК РСФСР N4685 вдекабре 1931 года.</t>
        </is>
      </c>
      <c r="L3313" s="2" t="inlineStr">
        <is>
          <t>Кино_СССР сводный каталог.xlsx: список фильмов (доп.)</t>
        </is>
      </c>
      <c r="M3313" s="2">
        <f>HYPERLINK("https://ru.wikipedia.org/w/index.php?search=%D0%A2%D0%B5%D1%80%D1%8C%D1%8F%D0%BA%201931%20%D1%84%D0%B8%D0%BB%D1%8C%D0%BC","искать")</f>
        <v/>
      </c>
      <c r="N3313" s="3" t="n"/>
      <c r="O3313" s="2" t="n"/>
    </row>
    <row r="3314">
      <c r="A3314" s="2" t="n">
        <v>3313</v>
      </c>
      <c r="B3314" s="2" t="inlineStr"/>
      <c r="C3314" s="2" t="n">
        <v>9697</v>
      </c>
      <c r="D3314" s="3" t="inlineStr">
        <is>
          <t>Тризна</t>
        </is>
      </c>
      <c r="E3314" s="2" t="n">
        <v>1972</v>
      </c>
      <c r="F3314" s="2" t="inlineStr">
        <is>
          <t>кинофильм</t>
        </is>
      </c>
      <c r="G3314" s="2" t="n"/>
      <c r="H3314" s="2" t="n">
        <v>334</v>
      </c>
      <c r="I3314" s="2" t="inlineStr"/>
      <c r="J3314" s="2" t="inlineStr"/>
      <c r="K3314" s="3" t="inlineStr">
        <is>
          <t>Поэтическая драма. По мотивам поэмы Ильяса Джансугурова «Кулагер». XIX век. Казахский поэт Ахан-Сэр на своем коне Кулагере приезжает на поминальный ас в честь умершего властителя Сагинайбая. По традиции в этот день устраиваются скачки. Победа в состязании дает право требовать от наследника власти покойного исполнения любого желания.</t>
        </is>
      </c>
      <c r="L3314" s="2" t="inlineStr">
        <is>
          <t>Кино_СССР сводный каталог.xlsx: список фильмов (доп.)</t>
        </is>
      </c>
      <c r="M3314" s="2">
        <f>HYPERLINK("https://ru.wikipedia.org/w/index.php?search=%D0%A2%D1%80%D0%B8%D0%B7%D0%BD%D0%B0%201972%20%D1%84%D0%B8%D0%BB%D1%8C%D0%BC","искать")</f>
        <v/>
      </c>
      <c r="N3314" s="3" t="n"/>
      <c r="O3314" s="2" t="n"/>
    </row>
    <row r="3315">
      <c r="A3315" s="2" t="n">
        <v>3314</v>
      </c>
      <c r="B3315" s="2" t="inlineStr"/>
      <c r="C3315" s="2" t="n">
        <v>11286</v>
      </c>
      <c r="D3315" s="3" t="inlineStr">
        <is>
          <t>Татуированная роза</t>
        </is>
      </c>
      <c r="E3315" s="2" t="n">
        <v>1989</v>
      </c>
      <c r="F3315" s="2" t="inlineStr">
        <is>
          <t>фильм-спектакль</t>
        </is>
      </c>
      <c r="G3315" s="2" t="inlineStr">
        <is>
          <t>Гл. ред. лит-драм программ</t>
        </is>
      </c>
      <c r="H3315" s="2" t="n">
        <v>334</v>
      </c>
      <c r="I3315" s="2" t="inlineStr"/>
      <c r="J3315" s="2" t="inlineStr"/>
      <c r="K3315" s="3" t="inlineStr">
        <is>
          <t>Фильм-спектакль МХАТа.
По одноименной пьесе. Женщина, похоронив мужа, погибшего в автокатастрофе, отвечает на любовь водителя Альваро по прозвищу «деревенский дурачок». Но не так все просто у непредсказуемого мистика Тенесси Уильямса, как представляестся на первый взгляд…
В основе — спектакль МХАТ им. Чехова (постановщик Р. Виктюк).</t>
        </is>
      </c>
      <c r="L3315" s="2" t="inlineStr">
        <is>
          <t>https://www.kino-teatr.ru/teatr/movie/8986/annot/</t>
        </is>
      </c>
      <c r="M3315" s="2">
        <f>HYPERLINK("https://ru.wikipedia.org/w/index.php?search=%D0%A2%D0%B0%D1%82%D1%83%D0%B8%D1%80%D0%BE%D0%B2%D0%B0%D0%BD%D0%BD%D0%B0%D1%8F%20%D1%80%D0%BE%D0%B7%D0%B0%201989%20%D1%84%D0%B8%D0%BB%D1%8C%D0%BC","искать")</f>
        <v/>
      </c>
      <c r="N3315" s="3" t="n"/>
      <c r="O3315" s="2" t="n"/>
    </row>
    <row r="3316">
      <c r="A3316" s="2" t="n">
        <v>3315</v>
      </c>
      <c r="B3316" s="2" t="inlineStr"/>
      <c r="C3316" s="2" t="n">
        <v>7494</v>
      </c>
      <c r="D3316" s="3" t="inlineStr">
        <is>
          <t>Дело было, да!?.</t>
        </is>
      </c>
      <c r="E3316" s="2" t="n">
        <v>1973</v>
      </c>
      <c r="F3316" s="2" t="inlineStr">
        <is>
          <t>телефильм</t>
        </is>
      </c>
      <c r="G3316" s="2" t="inlineStr">
        <is>
          <t>ТО "Экран"</t>
        </is>
      </c>
      <c r="H3316" s="2" t="n">
        <v>335</v>
      </c>
      <c r="I3316" s="2" t="inlineStr"/>
      <c r="J3316" s="2" t="inlineStr"/>
      <c r="K3316" s="3" t="inlineStr">
        <is>
          <t>Выпускница культурно-просветительного училища – Любовь Михайловна, Любочка, выбрала себе распределение на практику в станицу Басалаевскую Ростовской области по той лишь причине, что ее предшественница сбежала оттуда. В станице живут только Басалаевы и Солодовниковы, и все поют, у них постоянное соперничество, и не только музыкальное.</t>
        </is>
      </c>
      <c r="L3316" s="2" t="inlineStr">
        <is>
          <t>Кино_СССР сводный каталог.xlsx: список телефильмов</t>
        </is>
      </c>
      <c r="M3316" s="2">
        <f>HYPERLINK("https://ru.wikipedia.org/w/index.php?search=%D0%94%D0%B5%D0%BB%D0%BE%20%D0%B1%D1%8B%D0%BB%D0%BE%2C%20%D0%B4%D0%B0%21%3F.%201973%20%D1%84%D0%B8%D0%BB%D1%8C%D0%BC","искать")</f>
        <v/>
      </c>
      <c r="N3316" s="3" t="n"/>
      <c r="O3316" s="2" t="n"/>
    </row>
    <row r="3317">
      <c r="A3317" s="2" t="n">
        <v>3316</v>
      </c>
      <c r="B3317" s="2" t="inlineStr"/>
      <c r="C3317" s="2" t="n">
        <v>7790</v>
      </c>
      <c r="D3317" s="3" t="inlineStr">
        <is>
          <t>Лёгкая вода</t>
        </is>
      </c>
      <c r="E3317" s="2" t="n">
        <v>1972</v>
      </c>
      <c r="F3317" s="2" t="inlineStr">
        <is>
          <t>телефильм</t>
        </is>
      </c>
      <c r="G3317" s="2" t="n"/>
      <c r="H3317" s="2" t="n">
        <v>335</v>
      </c>
      <c r="I3317" s="2" t="inlineStr"/>
      <c r="J3317" s="2" t="inlineStr"/>
      <c r="K3317" s="3" t="inlineStr">
        <is>
          <t>Чемпион Европы по гребле на байдарках Игорь Глоба недоволен своими спортивными результатами. Он считает, что стал уже стар для спорта. К тому же любимая женщина также настаивает на уходе Игоря из большого спорта. Но равноценной замены ему пока нет. И Игорь остаётся в команде, ценой огромных усилий добиваясь победы на чемпионате мира.</t>
        </is>
      </c>
      <c r="L3317" s="2" t="inlineStr">
        <is>
          <t>Кино_СССР сводный каталог.xlsx: список телефильмов</t>
        </is>
      </c>
      <c r="M3317" s="2">
        <f>HYPERLINK("https://ru.wikipedia.org/w/index.php?search=%D0%9B%D1%91%D0%B3%D0%BA%D0%B0%D1%8F%20%D0%B2%D0%BE%D0%B4%D0%B0%201972%20%D1%84%D0%B8%D0%BB%D1%8C%D0%BC","искать")</f>
        <v/>
      </c>
      <c r="N3317" s="3" t="n"/>
      <c r="O3317" s="2" t="n"/>
    </row>
    <row r="3318">
      <c r="A3318" s="2" t="n">
        <v>3317</v>
      </c>
      <c r="B3318" s="2" t="inlineStr"/>
      <c r="C3318" s="2" t="n">
        <v>8407</v>
      </c>
      <c r="D3318" s="3" t="inlineStr">
        <is>
          <t>Стоянка поезда - две минуты</t>
        </is>
      </c>
      <c r="E3318" s="2" t="n">
        <v>1972</v>
      </c>
      <c r="F3318" s="2" t="inlineStr">
        <is>
          <t>телефильм</t>
        </is>
      </c>
      <c r="G3318" s="2" t="n"/>
      <c r="H3318" s="2" t="n">
        <v>335</v>
      </c>
      <c r="I3318" s="2" t="inlineStr"/>
      <c r="J3318" s="2" t="inlineStr"/>
      <c r="K3318" s="3" t="inlineStr">
        <is>
          <t>Музыкальная телевизионная комедия. Из Москвы в провинциальный городок приезжает на работу врач. Вначале он тоскует по столице и друзьям. К тому же нет и пациентов. Игорь решает возвратиться в Москву, но знакомство с местными жителями, а еще больше чувство, возникшее между ним и медсестрой Аленой, заставляет изменить принятое решение.</t>
        </is>
      </c>
      <c r="L3318" s="2" t="inlineStr">
        <is>
          <t>Кино_СССР сводный каталог.xlsx: список телефильмов</t>
        </is>
      </c>
      <c r="M3318" s="2">
        <f>HYPERLINK("https://ru.wikipedia.org/w/index.php?search=%D0%A1%D1%82%D0%BE%D1%8F%D0%BD%D0%BA%D0%B0%20%D0%BF%D0%BE%D0%B5%D0%B7%D0%B4%D0%B0%20-%20%D0%B4%D0%B2%D0%B5%20%D0%BC%D0%B8%D0%BD%D1%83%D1%82%D1%8B%201972%20%D1%84%D0%B8%D0%BB%D1%8C%D0%BC","искать")</f>
        <v/>
      </c>
      <c r="N3318" s="3" t="n"/>
      <c r="O3318" s="2" t="n"/>
    </row>
    <row r="3319">
      <c r="A3319" s="2" t="n">
        <v>3318</v>
      </c>
      <c r="B3319" s="2" t="inlineStr"/>
      <c r="C3319" s="2" t="n">
        <v>8693</v>
      </c>
      <c r="D3319" s="3" t="inlineStr">
        <is>
          <t>Два патрона на мамонта</t>
        </is>
      </c>
      <c r="E3319" s="2" t="n">
        <v>1990</v>
      </c>
      <c r="F3319" s="2" t="inlineStr">
        <is>
          <t>кинофильм</t>
        </is>
      </c>
      <c r="G3319" s="2" t="n"/>
      <c r="H3319" s="2" t="n">
        <v>335</v>
      </c>
      <c r="I3319" s="2" t="inlineStr"/>
      <c r="J3319" s="2" t="inlineStr"/>
      <c r="K3319" s="3" t="inlineStr">
        <is>
          <t>Устав от городской жизни, Никита возвращается в родную деревню и сразу же начинает роман с Варенькой, секретаршей председателя колхоза. И теперь вся деревня томится ожиданием свадьбы. Но приезжает корреспондент Алена и вносит смуту: с первого взгляда в нее влюбляется Никита. Варя хлопает калиткой и подальше от позора уезжает в город.</t>
        </is>
      </c>
      <c r="L3319" s="2" t="inlineStr">
        <is>
          <t>Кино_СССР сводный каталог.xlsx: список фильмов (доп.)</t>
        </is>
      </c>
      <c r="M3319" s="2">
        <f>HYPERLINK("https://ru.wikipedia.org/w/index.php?search=%D0%94%D0%B2%D0%B0%20%D0%BF%D0%B0%D1%82%D1%80%D0%BE%D0%BD%D0%B0%20%D0%BD%D0%B0%20%D0%BC%D0%B0%D0%BC%D0%BE%D0%BD%D1%82%D0%B0%201990%20%D1%84%D0%B8%D0%BB%D1%8C%D0%BC","искать")</f>
        <v/>
      </c>
      <c r="N3319" s="3" t="n"/>
      <c r="O3319" s="2" t="n"/>
    </row>
    <row r="3320">
      <c r="A3320" s="2" t="n">
        <v>3319</v>
      </c>
      <c r="B3320" s="2" t="inlineStr"/>
      <c r="C3320" s="2" t="n">
        <v>8743</v>
      </c>
      <c r="D3320" s="3" t="inlineStr">
        <is>
          <t>Игра на миллионы</t>
        </is>
      </c>
      <c r="E3320" s="2" t="n">
        <v>1991</v>
      </c>
      <c r="F3320" s="2" t="inlineStr">
        <is>
          <t>кинофильм</t>
        </is>
      </c>
      <c r="G3320" s="2" t="inlineStr">
        <is>
          <t>Киностудия им. Горького, ЭТО "Ладья", студия "Пирамида"</t>
        </is>
      </c>
      <c r="H3320" s="2" t="n">
        <v>335</v>
      </c>
      <c r="I3320" s="2" t="inlineStr"/>
      <c r="J3320" s="2" t="inlineStr"/>
      <c r="K3320" s="3" t="inlineStr">
        <is>
          <t>По криминальной повести К. Агатова "В паутине смерти". Две шайки профессиональных грабителей промышляют в сберкассах небольшого курортного городка. Конкурируя, они не подозревают, что работают на одного хозяина, однако планы мафии захватить город разрушаются симпатичным ветеринаром Максимкиным и его очаровательной возлюбленной Люсей.</t>
        </is>
      </c>
      <c r="L3320" s="2" t="inlineStr">
        <is>
          <t>Кино_СССР сводный каталог.xlsx: список фильмов (доп.)</t>
        </is>
      </c>
      <c r="M3320" s="2">
        <f>HYPERLINK("https://ru.wikipedia.org/w/index.php?search=%D0%98%D0%B3%D1%80%D0%B0%20%D0%BD%D0%B0%20%D0%BC%D0%B8%D0%BB%D0%BB%D0%B8%D0%BE%D0%BD%D1%8B%201991%20%D1%84%D0%B8%D0%BB%D1%8C%D0%BC","искать")</f>
        <v/>
      </c>
      <c r="N3320" s="3" t="n"/>
      <c r="O3320" s="2" t="n"/>
    </row>
    <row r="3321">
      <c r="A3321" s="2" t="n">
        <v>3320</v>
      </c>
      <c r="B3321" s="2" t="inlineStr"/>
      <c r="C3321" s="2" t="n">
        <v>8865</v>
      </c>
      <c r="D3321" s="3" t="inlineStr">
        <is>
          <t>Не входи, убьёт!</t>
        </is>
      </c>
      <c r="E3321" s="2" t="n">
        <v>1991</v>
      </c>
      <c r="F3321" s="2" t="inlineStr">
        <is>
          <t>кинофильм</t>
        </is>
      </c>
      <c r="G3321" s="2" t="n"/>
      <c r="H3321" s="2" t="n">
        <v>335</v>
      </c>
      <c r="I3321" s="2" t="inlineStr"/>
      <c r="J3321" s="2" t="inlineStr"/>
      <c r="K3321" s="3" t="inlineStr">
        <is>
          <t>Герои фильма – четверо друзей отправляются в морское путешествие на корабле «Азербайджан», чтобы отдохнуть. Они отступают в угол корабля и начинают карточную игру «Шимшима». Но они не могут закончить игру. Потому что друзья становятся участниками невообразимых событий, полных приключений. Эти события составляют основной сюжет фильма.</t>
        </is>
      </c>
      <c r="L3321" s="2" t="inlineStr">
        <is>
          <t>Кино_СССР сводный каталог.xlsx: список фильмов (доп.)</t>
        </is>
      </c>
      <c r="M3321" s="2">
        <f>HYPERLINK("https://ru.wikipedia.org/w/index.php?search=%D0%9D%D0%B5%20%D0%B2%D1%85%D0%BE%D0%B4%D0%B8%2C%20%D1%83%D0%B1%D1%8C%D1%91%D1%82%21%201991%20%D1%84%D0%B8%D0%BB%D1%8C%D0%BC","искать")</f>
        <v/>
      </c>
      <c r="N3321" s="3" t="n"/>
      <c r="O3321" s="2" t="n"/>
    </row>
    <row r="3322">
      <c r="A3322" s="2" t="n">
        <v>3321</v>
      </c>
      <c r="B3322" s="2" t="inlineStr"/>
      <c r="C3322" s="2" t="n">
        <v>9276</v>
      </c>
      <c r="D3322" s="3" t="inlineStr">
        <is>
          <t>Вознесение</t>
        </is>
      </c>
      <c r="E3322" s="2" t="n">
        <v>1988</v>
      </c>
      <c r="F3322" s="2" t="inlineStr">
        <is>
          <t>кинофильм</t>
        </is>
      </c>
      <c r="G3322" s="2" t="n"/>
      <c r="H3322" s="2" t="n">
        <v>335</v>
      </c>
      <c r="I3322" s="2" t="inlineStr"/>
      <c r="J3322" s="2" t="inlineStr"/>
      <c r="K3322" s="3" t="inlineStr">
        <is>
          <t>После того, как мужа Такуи оклеветали и он был репрессирован, ее вместе с сыновьями сослали в сибирское село Вознесенское, где их приютила почтальонша Нюра. Затем было возвращение на родину. И вот теперь на восьмидесятилетие Такуи Григорян со всех концов страны съезжаются родственники и друзья. Но больше всего ждет она Нюру Худякову.</t>
        </is>
      </c>
      <c r="L3322" s="2" t="inlineStr">
        <is>
          <t>Кино_СССР сводный каталог.xlsx: список фильмов (доп.)</t>
        </is>
      </c>
      <c r="M3322" s="2">
        <f>HYPERLINK("https://ru.wikipedia.org/w/index.php?search=%D0%92%D0%BE%D0%B7%D0%BD%D0%B5%D1%81%D0%B5%D0%BD%D0%B8%D0%B5%201988%20%D1%84%D0%B8%D0%BB%D1%8C%D0%BC","искать")</f>
        <v/>
      </c>
      <c r="N3322" s="3" t="n"/>
      <c r="O3322" s="2" t="n"/>
    </row>
    <row r="3323">
      <c r="A3323" s="2" t="n">
        <v>3322</v>
      </c>
      <c r="B3323" s="2" t="inlineStr"/>
      <c r="C3323" s="2" t="n">
        <v>9714</v>
      </c>
      <c r="D3323" s="3" t="inlineStr">
        <is>
          <t>Уроки в конце весны</t>
        </is>
      </c>
      <c r="E3323" s="2" t="n">
        <v>1990</v>
      </c>
      <c r="F3323" s="2" t="inlineStr">
        <is>
          <t>кинофильм</t>
        </is>
      </c>
      <c r="G3323" s="2" t="n"/>
      <c r="H3323" s="2" t="n">
        <v>335</v>
      </c>
      <c r="I3323" s="2" t="inlineStr"/>
      <c r="J3323" s="2" t="inlineStr"/>
      <c r="K3323" s="3" t="inlineStr">
        <is>
          <t>Подросток Вадик, став случайным свидетелем новочеркасских событий 63-го года, попадает в тюрьму. Вскоре он как будто пропадает без вести — мать ничего о нем не знает, в школе считают его погибшим — значит, пробыть в камере он может неограниченное количество времени. Вместе с бунтовщиками герою предстоит сидеть в тюрьме шесть месяцев.</t>
        </is>
      </c>
      <c r="L3323" s="2" t="inlineStr">
        <is>
          <t>Кино_СССР сводный каталог.xlsx: список фильмов (доп.)</t>
        </is>
      </c>
      <c r="M3323" s="2">
        <f>HYPERLINK("https://ru.wikipedia.org/w/index.php?search=%D0%A3%D1%80%D0%BE%D0%BA%D0%B8%20%D0%B2%20%D0%BA%D0%BE%D0%BD%D1%86%D0%B5%20%D0%B2%D0%B5%D1%81%D0%BD%D1%8B%201990%20%D1%84%D0%B8%D0%BB%D1%8C%D0%BC","искать")</f>
        <v/>
      </c>
      <c r="N3323" s="3" t="n"/>
      <c r="O3323" s="2" t="n"/>
    </row>
    <row r="3324">
      <c r="A3324" s="2" t="n">
        <v>3323</v>
      </c>
      <c r="B3324" s="2" t="inlineStr"/>
      <c r="C3324" s="2" t="n">
        <v>9766</v>
      </c>
      <c r="D3324" s="3" t="inlineStr">
        <is>
          <t>Шельменко-денщик</t>
        </is>
      </c>
      <c r="E3324" s="2" t="n">
        <v>1971</v>
      </c>
      <c r="F3324" s="2" t="inlineStr">
        <is>
          <t>кинофильм</t>
        </is>
      </c>
      <c r="G3324" s="2" t="n"/>
      <c r="H3324" s="2" t="n">
        <v>335</v>
      </c>
      <c r="I3324" s="2" t="inlineStr"/>
      <c r="J3324" s="2" t="inlineStr"/>
      <c r="K3324" s="3" t="inlineStr">
        <is>
          <t>Музыкальная комедия по мотивам одноименного водевиля Григория Квитки-Основьяненко (1860). Ловкий денщик Потап Шельменко устраивает счастье своего молодого барина - капитана Скворцова, прибывшего на постой в деревню, и за которого родители - помещики Шпак отказываются выдать свою дочку Присиньку по причине бедности московского жениха.</t>
        </is>
      </c>
      <c r="L3324" s="2" t="inlineStr">
        <is>
          <t>Кино_СССР сводный каталог.xlsx: список фильмов (доп.)</t>
        </is>
      </c>
      <c r="M3324" s="2">
        <f>HYPERLINK("https://ru.wikipedia.org/w/index.php?search=%D0%A8%D0%B5%D0%BB%D1%8C%D0%BC%D0%B5%D0%BD%D0%BA%D0%BE-%D0%B4%D0%B5%D0%BD%D1%89%D0%B8%D0%BA%201971%20%D1%84%D0%B8%D0%BB%D1%8C%D0%BC","искать")</f>
        <v/>
      </c>
      <c r="N3324" s="3" t="n"/>
      <c r="O3324" s="2" t="n"/>
    </row>
    <row r="3325">
      <c r="A3325" s="2" t="n">
        <v>3324</v>
      </c>
      <c r="B3325" s="2" t="inlineStr"/>
      <c r="C3325" s="2" t="n">
        <v>11184</v>
      </c>
      <c r="D3325" s="3" t="inlineStr">
        <is>
          <t>Этот фантастический мир. Выпуск 12</t>
        </is>
      </c>
      <c r="E3325" s="2" t="n">
        <v>1987</v>
      </c>
      <c r="F3325" s="2" t="inlineStr">
        <is>
          <t>фильм-спектакль</t>
        </is>
      </c>
      <c r="G3325" s="2" t="inlineStr">
        <is>
          <t>Главная редакция программ для детей и юношества ЦТ</t>
        </is>
      </c>
      <c r="H3325" s="2" t="n">
        <v>335</v>
      </c>
      <c r="I3325" s="2" t="inlineStr"/>
      <c r="J3325" s="2" t="inlineStr"/>
      <c r="K3325" s="3" t="inlineStr">
        <is>
          <t>По мотивам научно-фантастических рассказов о взаимоотношениях человека и робота: А.Беляева "Сезам, откройся" о том, как робот-слуга обворовал двух стариков; А.Азимова "Лжец" о роботе, умеющем читать мысли и оказавшемся самым человечным среди людей; Ф.Чиландера "Суд" о том, как роботы судили последнего человека, проживавшего в городе.</t>
        </is>
      </c>
      <c r="L3325" s="2" t="inlineStr">
        <is>
          <t>https://www.kino-teatr.ru/teatr/movie/78743/annot/</t>
        </is>
      </c>
      <c r="M3325" s="2">
        <f>HYPERLINK("https://ru.wikipedia.org/w/index.php?search=%D0%AD%D1%82%D0%BE%D1%82%20%D1%84%D0%B0%D0%BD%D1%82%D0%B0%D1%81%D1%82%D0%B8%D1%87%D0%B5%D1%81%D0%BA%D0%B8%D0%B9%20%D0%BC%D0%B8%D1%80.%20%D0%92%D1%8B%D0%BF%D1%83%D1%81%D0%BA%2012%201987%20%D1%84%D0%B8%D0%BB%D1%8C%D0%BC","искать")</f>
        <v/>
      </c>
      <c r="N3325" s="3" t="n"/>
      <c r="O3325" s="2" t="n"/>
    </row>
    <row r="3326">
      <c r="A3326" s="2" t="n">
        <v>3325</v>
      </c>
      <c r="B3326" s="2" t="inlineStr"/>
      <c r="C3326" s="2" t="n">
        <v>7211</v>
      </c>
      <c r="D3326" s="3" t="inlineStr">
        <is>
          <t>Анна Петровна</t>
        </is>
      </c>
      <c r="E3326" s="2" t="n">
        <v>1989</v>
      </c>
      <c r="F3326" s="2" t="inlineStr">
        <is>
          <t>телефильм</t>
        </is>
      </c>
      <c r="G3326" s="2" t="n"/>
      <c r="H3326" s="2" t="n">
        <v>336</v>
      </c>
      <c r="I3326" s="2" t="inlineStr"/>
      <c r="J3326" s="2" t="inlineStr"/>
      <c r="K3326" s="3" t="inlineStr">
        <is>
          <t>По одноименной повести Г.Головина. Многое пережила в своей жизни Анна Петровна: тяжелые годы гражданской войны, гибель мужа, смерть дочери, а теперь — равнодушие и цинизм внучки. Неожиданно выясняется, что кольцо, единственное украшение Анны Петровны, имеет большую ценность. Этот факт становится причиной драматических событий в семье.</t>
        </is>
      </c>
      <c r="L3326" s="2" t="inlineStr">
        <is>
          <t>Кино_СССР сводный каталог.xlsx: список телефильмов</t>
        </is>
      </c>
      <c r="M3326" s="2">
        <f>HYPERLINK("https://ru.wikipedia.org/w/index.php?search=%D0%90%D0%BD%D0%BD%D0%B0%20%D0%9F%D0%B5%D1%82%D1%80%D0%BE%D0%B2%D0%BD%D0%B0%201989%20%D1%84%D0%B8%D0%BB%D1%8C%D0%BC","искать")</f>
        <v/>
      </c>
      <c r="N3326" s="3" t="n"/>
      <c r="O3326" s="2" t="n"/>
    </row>
    <row r="3327">
      <c r="A3327" s="2" t="n">
        <v>3326</v>
      </c>
      <c r="B3327" s="2" t="inlineStr"/>
      <c r="C3327" s="2" t="n">
        <v>7262</v>
      </c>
      <c r="D3327" s="3" t="inlineStr">
        <is>
          <t>Большая новогодняя ночь</t>
        </is>
      </c>
      <c r="E3327" s="2" t="n">
        <v>1978</v>
      </c>
      <c r="F3327" s="2" t="inlineStr">
        <is>
          <t>телефильм</t>
        </is>
      </c>
      <c r="G3327" s="2" t="n"/>
      <c r="H3327" s="2" t="n">
        <v>336</v>
      </c>
      <c r="I3327" s="2" t="inlineStr"/>
      <c r="J3327" s="2" t="inlineStr"/>
      <c r="K3327" s="3" t="inlineStr">
        <is>
          <t>Трое друзей из Риги, вместо запланированной поездки на Домбай, едут во время отпуска в Заполярье. Любители экстремального отдыха, они, не обращая внимание на предупреждения турагента, самостоятельно отправляются на лыжную прогулку в тундру. Неожиданно и резко испортилась погода. Имант отбился от товарищей, заблудился и едва не замёрз.</t>
        </is>
      </c>
      <c r="L3327" s="2" t="inlineStr">
        <is>
          <t>Кино_СССР сводный каталог.xlsx: список телефильмов</t>
        </is>
      </c>
      <c r="M3327" s="2">
        <f>HYPERLINK("https://ru.wikipedia.org/w/index.php?search=%D0%91%D0%BE%D0%BB%D1%8C%D1%88%D0%B0%D1%8F%20%D0%BD%D0%BE%D0%B2%D0%BE%D0%B3%D0%BE%D0%B4%D0%BD%D1%8F%D1%8F%20%D0%BD%D0%BE%D1%87%D1%8C%201978%20%D1%84%D0%B8%D0%BB%D1%8C%D0%BC","искать")</f>
        <v/>
      </c>
      <c r="N3327" s="3" t="n"/>
      <c r="O3327" s="2" t="n"/>
    </row>
    <row r="3328">
      <c r="A3328" s="2" t="n">
        <v>3327</v>
      </c>
      <c r="B3328" s="2" t="inlineStr"/>
      <c r="C3328" s="2" t="n">
        <v>7570</v>
      </c>
      <c r="D3328" s="3" t="inlineStr">
        <is>
          <t>Его батальон</t>
        </is>
      </c>
      <c r="E3328" s="2" t="n">
        <v>1989</v>
      </c>
      <c r="F3328" s="2" t="inlineStr">
        <is>
          <t>телефильм</t>
        </is>
      </c>
      <c r="G3328" s="2" t="n"/>
      <c r="H3328" s="2" t="n">
        <v>336</v>
      </c>
      <c r="I3328" s="2" t="inlineStr"/>
      <c r="J3328" s="2" t="inlineStr"/>
      <c r="K3328" s="3" t="inlineStr">
        <is>
          <t>По мотивам повести В.Быкова. О героизме советских воинов во время Великой Отечественной войны. В центре фильма - образ Героя Советского Союза майора Н.И.Волошина. Комбат Волошин получает приказ взять высоту. Ему ясно, что высоту надо было брать сходу, пока немцы еще не укрепились, но наступление "выдохлось" и высота осталась у немцев.</t>
        </is>
      </c>
      <c r="L3328" s="2" t="inlineStr">
        <is>
          <t>Кино_СССР сводный каталог.xlsx: список телефильмов</t>
        </is>
      </c>
      <c r="M3328" s="2">
        <f>HYPERLINK("https://ru.wikipedia.org/w/index.php?search=%D0%95%D0%B3%D0%BE%20%D0%B1%D0%B0%D1%82%D0%B0%D0%BB%D1%8C%D0%BE%D0%BD%201989%20%D1%84%D0%B8%D0%BB%D1%8C%D0%BC","искать")</f>
        <v/>
      </c>
      <c r="N3328" s="3" t="n"/>
      <c r="O3328" s="2" t="n"/>
    </row>
    <row r="3329">
      <c r="A3329" s="2" t="n">
        <v>3328</v>
      </c>
      <c r="B3329" s="2" t="inlineStr"/>
      <c r="C3329" s="2" t="n">
        <v>7772</v>
      </c>
      <c r="D3329" s="3" t="inlineStr">
        <is>
          <t>Крах инженера Гарина</t>
        </is>
      </c>
      <c r="E3329" s="2" t="n">
        <v>1973</v>
      </c>
      <c r="F3329" s="2" t="inlineStr">
        <is>
          <t>телефильм</t>
        </is>
      </c>
      <c r="G3329" s="2" t="n"/>
      <c r="H3329" s="2" t="n">
        <v>336</v>
      </c>
      <c r="I3329" s="2" t="inlineStr"/>
      <c r="J3329" s="2" t="inlineStr"/>
      <c r="K3329" s="3" t="inlineStr">
        <is>
          <t>Телесериал по научно-фантастическому роману А.Н.Толстого "Гиперболоид инженера Гарина". В начале мая 192...года на заброшенной даче под Ленинградом происходит убийство. Сотрудник уголовного розыска Василий Шельга обнаруживает зарезанного человека со следами пыток. В просторном подвале дачи проводились какие-то физико-химические опыты.</t>
        </is>
      </c>
      <c r="L3329" s="2" t="inlineStr">
        <is>
          <t>Кино_СССР сводный каталог.xlsx: список телефильмов</t>
        </is>
      </c>
      <c r="M3329" s="2">
        <f>HYPERLINK("https://ru.wikipedia.org/w/index.php?search=%D0%9A%D1%80%D0%B0%D1%85%20%D0%B8%D0%BD%D0%B6%D0%B5%D0%BD%D0%B5%D1%80%D0%B0%20%D0%93%D0%B0%D1%80%D0%B8%D0%BD%D0%B0%201973%20%D1%84%D0%B8%D0%BB%D1%8C%D0%BC","искать")</f>
        <v/>
      </c>
      <c r="N3329" s="3" t="n"/>
      <c r="O3329" s="2" t="n"/>
    </row>
    <row r="3330">
      <c r="A3330" s="2" t="n">
        <v>3329</v>
      </c>
      <c r="B3330" s="2" t="inlineStr"/>
      <c r="C3330" s="2" t="n">
        <v>7830</v>
      </c>
      <c r="D3330" s="3" t="inlineStr">
        <is>
          <t>Любовь, Иверия и…</t>
        </is>
      </c>
      <c r="E3330" s="2" t="n">
        <v>1978</v>
      </c>
      <c r="F3330" s="2" t="inlineStr">
        <is>
          <t>телефильм</t>
        </is>
      </c>
      <c r="G3330" s="2" t="n"/>
      <c r="H3330" s="2" t="n">
        <v>336</v>
      </c>
      <c r="I3330" s="2" t="inlineStr"/>
      <c r="J3330" s="2" t="inlineStr"/>
      <c r="K3330" s="3" t="inlineStr">
        <is>
          <t>Телефильм. Лика и Зураб любят друг-друга, но родители Лики против их свадьбы. Влюбленные решили попросить членов ансамбля «Иверия» помочь уговорить родителей. Тем более, что родители очень любят этот ансамбль. Ребята решили помочь молодым и вместе с ними отправляются в начале в деревню к родителям, а потом в Пицунду, где они отдыхают.</t>
        </is>
      </c>
      <c r="L3330" s="2" t="inlineStr">
        <is>
          <t>Кино_СССР сводный каталог.xlsx: список телефильмов</t>
        </is>
      </c>
      <c r="M3330" s="2">
        <f>HYPERLINK("https://ru.wikipedia.org/w/index.php?search=%D0%9B%D1%8E%D0%B1%D0%BE%D0%B2%D1%8C%2C%20%D0%98%D0%B2%D0%B5%D1%80%D0%B8%D1%8F%20%D0%B8%E2%80%A6%201978%20%D1%84%D0%B8%D0%BB%D1%8C%D0%BC","искать")</f>
        <v/>
      </c>
      <c r="N3330" s="3" t="n"/>
      <c r="O3330" s="2" t="n"/>
    </row>
    <row r="3331">
      <c r="A3331" s="2" t="n">
        <v>3330</v>
      </c>
      <c r="B3331" s="2" t="inlineStr"/>
      <c r="C3331" s="2" t="n">
        <v>8013</v>
      </c>
      <c r="D3331" s="3" t="inlineStr">
        <is>
          <t>Ночь перед рассветом</t>
        </is>
      </c>
      <c r="E3331" s="2" t="n">
        <v>1969</v>
      </c>
      <c r="F3331" s="2" t="inlineStr">
        <is>
          <t>телефильм</t>
        </is>
      </c>
      <c r="G3331" s="2" t="n"/>
      <c r="H3331" s="2" t="n">
        <v>336</v>
      </c>
      <c r="I3331" s="2" t="inlineStr"/>
      <c r="J3331" s="2" t="inlineStr"/>
      <c r="K3331" s="3" t="inlineStr">
        <is>
          <t>Во время Второй мировой войны фашисты часто использовали оккупированные страны для разведывательной и подрывной деятельности, создавая на их территории различные шпионские и диверсионные организации. Советские разведчики выявляют и раскрывают деятельность немецких спецслужб по изготовлению фальшивых денег для подрыва экономики Европы.</t>
        </is>
      </c>
      <c r="L3331" s="2" t="inlineStr">
        <is>
          <t>Кино_СССР сводный каталог.xlsx: список телефильмов</t>
        </is>
      </c>
      <c r="M3331" s="2">
        <f>HYPERLINK("https://ru.wikipedia.org/w/index.php?search=%D0%9D%D0%BE%D1%87%D1%8C%20%D0%BF%D0%B5%D1%80%D0%B5%D0%B4%20%D1%80%D0%B0%D1%81%D1%81%D0%B2%D0%B5%D1%82%D0%BE%D0%BC%201969%20%D1%84%D0%B8%D0%BB%D1%8C%D0%BC","искать")</f>
        <v/>
      </c>
      <c r="N3331" s="3" t="n"/>
      <c r="O3331" s="2" t="n"/>
    </row>
    <row r="3332">
      <c r="A3332" s="2" t="n">
        <v>3331</v>
      </c>
      <c r="B3332" s="2" t="inlineStr"/>
      <c r="C3332" s="2" t="n">
        <v>8615</v>
      </c>
      <c r="D3332" s="3" t="inlineStr">
        <is>
          <t>Я, сын трудового народа</t>
        </is>
      </c>
      <c r="E3332" s="2" t="n">
        <v>1983</v>
      </c>
      <c r="F3332" s="2" t="inlineStr">
        <is>
          <t>телефильм</t>
        </is>
      </c>
      <c r="G3332" s="2" t="inlineStr">
        <is>
          <t>Одесская к/с</t>
        </is>
      </c>
      <c r="H3332" s="2" t="n">
        <v>336</v>
      </c>
      <c r="I3332" s="2" t="inlineStr"/>
      <c r="J3332" s="2" t="inlineStr"/>
      <c r="K3332" s="3" t="inlineStr">
        <is>
          <t>По мотивам одноименной повести Валентина Катаева. Действие происходит во время немецкой оккупации Украины в 1919 году. Главные герои - фольклорные персонажи - бравый солдат Семен Котко и девица-краса Софья. Повествование, данное в стилистике народных сказов, насыщено украинскими пейзажами, обрядами и обычаями, звуками украинской речи.</t>
        </is>
      </c>
      <c r="L3332" s="2" t="inlineStr">
        <is>
          <t>Кино_СССР сводный каталог.xlsx: список телефильмов</t>
        </is>
      </c>
      <c r="M3332" s="2">
        <f>HYPERLINK("https://ru.wikipedia.org/w/index.php?search=%D0%AF%2C%20%D1%81%D1%8B%D0%BD%20%D1%82%D1%80%D1%83%D0%B4%D0%BE%D0%B2%D0%BE%D0%B3%D0%BE%20%D0%BD%D0%B0%D1%80%D0%BE%D0%B4%D0%B0%201983%20%D1%84%D0%B8%D0%BB%D1%8C%D0%BC","искать")</f>
        <v/>
      </c>
      <c r="N3332" s="3" t="n"/>
      <c r="O3332" s="2" t="n"/>
    </row>
    <row r="3333">
      <c r="A3333" s="2" t="n">
        <v>3332</v>
      </c>
      <c r="B3333" s="2" t="inlineStr"/>
      <c r="C3333" s="2" t="n">
        <v>9085</v>
      </c>
      <c r="D3333" s="3" t="inlineStr">
        <is>
          <t>Тайна Димки Кармия</t>
        </is>
      </c>
      <c r="E3333" s="2" t="n">
        <v>1960</v>
      </c>
      <c r="F3333" s="2" t="inlineStr">
        <is>
          <t>кинофильм</t>
        </is>
      </c>
      <c r="G3333" s="2" t="n"/>
      <c r="H3333" s="2" t="n">
        <v>336</v>
      </c>
      <c r="I3333" s="2" t="inlineStr"/>
      <c r="J3333" s="2" t="inlineStr"/>
      <c r="K3333" s="3" t="inlineStr">
        <is>
          <t>Семиклассник Дима – сын капитана сейнера «Ставрида» - мечтает о море. Он тайно организовал свою бригаду, в которую вошли его лучшие друзья. Они решили обследовать остров Дельфиний, повесить там флаг и объявить его своим. Как же они были удивлены, когда приплыв в «свои владения», они увидели лагерь девочек, возглавляемый сестрой Димки.</t>
        </is>
      </c>
      <c r="L3333" s="2" t="inlineStr">
        <is>
          <t>Кино_СССР сводный каталог.xlsx: список фильмов (доп.)</t>
        </is>
      </c>
      <c r="M3333" s="2">
        <f>HYPERLINK("https://ru.wikipedia.org/w/index.php?search=%D0%A2%D0%B0%D0%B9%D0%BD%D0%B0%20%D0%94%D0%B8%D0%BC%D0%BA%D0%B8%20%D0%9A%D0%B0%D1%80%D0%BC%D0%B8%D1%8F%201960%20%D1%84%D0%B8%D0%BB%D1%8C%D0%BC","искать")</f>
        <v/>
      </c>
      <c r="N3333" s="3" t="n"/>
      <c r="O3333" s="2" t="n"/>
    </row>
    <row r="3334">
      <c r="A3334" s="2" t="n">
        <v>3333</v>
      </c>
      <c r="B3334" s="2" t="inlineStr"/>
      <c r="C3334" s="2" t="n">
        <v>9570</v>
      </c>
      <c r="D3334" s="3" t="inlineStr">
        <is>
          <t>Помилуй и прости</t>
        </is>
      </c>
      <c r="E3334" s="2" t="n">
        <v>1988</v>
      </c>
      <c r="F3334" s="2" t="inlineStr">
        <is>
          <t>кинофильм</t>
        </is>
      </c>
      <c r="G3334" s="2" t="n"/>
      <c r="H3334" s="2" t="n">
        <v>336</v>
      </c>
      <c r="I3334" s="2" t="inlineStr"/>
      <c r="J3334" s="2" t="inlineStr"/>
      <c r="K3334" s="3" t="inlineStr">
        <is>
          <t>В основе сюжета - внутренние поиски путей самовыражения несостоявшегося художника, беспокойную жизнь которого обрывает нелепый случай. Конец 80-х... Молодой художник, студент выпускного курса Юрий Дьяченко уходит из института искусств, отстаивая свое право на свободу творчества. Юрию удается устроить свою первую персональную выставку.</t>
        </is>
      </c>
      <c r="L3334" s="2" t="inlineStr">
        <is>
          <t>Кино_СССР сводный каталог.xlsx: список фильмов (доп.)</t>
        </is>
      </c>
      <c r="M3334" s="2">
        <f>HYPERLINK("https://ru.wikipedia.org/w/index.php?search=%D0%9F%D0%BE%D0%BC%D0%B8%D0%BB%D1%83%D0%B9%20%D0%B8%20%D0%BF%D1%80%D0%BE%D1%81%D1%82%D0%B8%201988%20%D1%84%D0%B8%D0%BB%D1%8C%D0%BC","искать")</f>
        <v/>
      </c>
      <c r="N3334" s="3" t="n"/>
      <c r="O3334" s="2" t="n"/>
    </row>
    <row r="3335">
      <c r="A3335" s="2" t="n">
        <v>3334</v>
      </c>
      <c r="B3335" s="2" t="inlineStr"/>
      <c r="C3335" s="2" t="n">
        <v>9582</v>
      </c>
      <c r="D3335" s="3" t="inlineStr">
        <is>
          <t>Прелюдия судьбы</t>
        </is>
      </c>
      <c r="E3335" s="2" t="n">
        <v>1984</v>
      </c>
      <c r="F3335" s="2" t="inlineStr">
        <is>
          <t>кинофильм</t>
        </is>
      </c>
      <c r="G3335" s="2" t="n"/>
      <c r="H3335" s="2" t="n">
        <v>336</v>
      </c>
      <c r="I3335" s="2" t="inlineStr"/>
      <c r="J3335" s="2" t="inlineStr"/>
      <c r="K3335" s="3" t="inlineStr">
        <is>
          <t>Случай сводит студента донецкого политехнического института Ивана Краско, обладателя красивого сильного голоса, с бывшим певцом Коробейченко (Евг.Лебедев). Вопреки воле отца, потомственного шахтера, герой отказывается от московской аспирантуры и под руководством нового друга начинает серьезно готовиться к первому сольному выступлению.</t>
        </is>
      </c>
      <c r="L3335" s="2" t="inlineStr">
        <is>
          <t>Кино_СССР сводный каталог.xlsx: список фильмов (доп.)</t>
        </is>
      </c>
      <c r="M3335" s="2">
        <f>HYPERLINK("https://ru.wikipedia.org/w/index.php?search=%D0%9F%D1%80%D0%B5%D0%BB%D1%8E%D0%B4%D0%B8%D1%8F%20%D1%81%D1%83%D0%B4%D1%8C%D0%B1%D1%8B%201984%20%D1%84%D0%B8%D0%BB%D1%8C%D0%BC","искать")</f>
        <v/>
      </c>
      <c r="N3335" s="3" t="n"/>
      <c r="O3335" s="2" t="n"/>
    </row>
    <row r="3336">
      <c r="A3336" s="2" t="n">
        <v>3335</v>
      </c>
      <c r="B3336" s="2" t="inlineStr"/>
      <c r="C3336" s="2" t="n">
        <v>10678</v>
      </c>
      <c r="D3336" s="3" t="inlineStr">
        <is>
          <t>А.П. Чехов. Три сестры</t>
        </is>
      </c>
      <c r="E3336" s="2" t="n">
        <v>1977</v>
      </c>
      <c r="F3336" s="2" t="inlineStr">
        <is>
          <t>фильм-спектакль</t>
        </is>
      </c>
      <c r="G3336" s="2" t="inlineStr">
        <is>
          <t>Центральное телевидение, Подборки фильмов, экранизации Чехова</t>
        </is>
      </c>
      <c r="H3336" s="2" t="n">
        <v>336</v>
      </c>
      <c r="I3336" s="2" t="inlineStr"/>
      <c r="J3336" s="2" t="inlineStr"/>
      <c r="K3336" s="3" t="inlineStr">
        <is>
          <t>В передаче раскрывается идейное содержание пьесы А.П. Чехова “Три сестры”.
Когда-то генерал Прозоров увез свое семейство из Москвы в маленький провинциальный городок. После его смерти три его дочери чувствуют себя в этом городе одиноко. Они пытаются как-то устроить свою судьбу, каждая по-своему, но ничего у них из этого не получается.</t>
        </is>
      </c>
      <c r="L3336" s="2" t="inlineStr">
        <is>
          <t>https://www.kino-teatr.ru/teatr/movie/104758/annot/</t>
        </is>
      </c>
      <c r="M3336" s="2">
        <f>HYPERLINK("https://ru.wikipedia.org/w/index.php?search=%D0%90.%D0%9F.%20%D0%A7%D0%B5%D1%85%D0%BE%D0%B2.%20%D0%A2%D1%80%D0%B8%20%D1%81%D0%B5%D1%81%D1%82%D1%80%D1%8B%201977%20%D1%84%D0%B8%D0%BB%D1%8C%D0%BC","искать")</f>
        <v/>
      </c>
      <c r="N3336" s="3" t="n"/>
      <c r="O3336" s="2" t="n"/>
    </row>
    <row r="3337">
      <c r="A3337" s="2" t="n">
        <v>3336</v>
      </c>
      <c r="B3337" s="2" t="inlineStr"/>
      <c r="C3337" s="2" t="n">
        <v>7488</v>
      </c>
      <c r="D3337" s="3" t="inlineStr">
        <is>
          <t>Девушка и море</t>
        </is>
      </c>
      <c r="E3337" s="2" t="n">
        <v>1981</v>
      </c>
      <c r="F3337" s="2" t="inlineStr">
        <is>
          <t>телефильм</t>
        </is>
      </c>
      <c r="G3337" s="2" t="n"/>
      <c r="H3337" s="2" t="n">
        <v>337</v>
      </c>
      <c r="I3337" s="2" t="inlineStr"/>
      <c r="J3337" s="2" t="inlineStr"/>
      <c r="K3337" s="3" t="inlineStr">
        <is>
          <t>По одноименной оперетте украинского композитора Якова Цегляра. У вчерашней школьницы Веры Береговой есть заветная мечта - посвятить свою жизнь морю. Но девушку не принимают в мореходное училище. Тогда Вера с помощью своих друзей тайком проникает на учебное судно "Товарищ" и вместе со всеми курсантами проходит практическую учебу в море.</t>
        </is>
      </c>
      <c r="L3337" s="2" t="inlineStr">
        <is>
          <t>Кино_СССР сводный каталог.xlsx: список телефильмов</t>
        </is>
      </c>
      <c r="M3337" s="2">
        <f>HYPERLINK("https://ru.wikipedia.org/w/index.php?search=%D0%94%D0%B5%D0%B2%D1%83%D1%88%D0%BA%D0%B0%20%D0%B8%20%D0%BC%D0%BE%D1%80%D0%B5%201981%20%D1%84%D0%B8%D0%BB%D1%8C%D0%BC","искать")</f>
        <v/>
      </c>
      <c r="N3337" s="3" t="n"/>
      <c r="O3337" s="2" t="n"/>
    </row>
    <row r="3338">
      <c r="A3338" s="2" t="n">
        <v>3337</v>
      </c>
      <c r="B3338" s="2" t="inlineStr"/>
      <c r="C3338" s="2" t="n">
        <v>7492</v>
      </c>
      <c r="D3338" s="3" t="inlineStr">
        <is>
          <t>Дезертир</t>
        </is>
      </c>
      <c r="E3338" s="2" t="n">
        <v>1990</v>
      </c>
      <c r="F3338" s="2" t="inlineStr">
        <is>
          <t>телефильм</t>
        </is>
      </c>
      <c r="G3338" s="2" t="n"/>
      <c r="H3338" s="2" t="n">
        <v>337</v>
      </c>
      <c r="I3338" s="2" t="inlineStr"/>
      <c r="J3338" s="2" t="inlineStr"/>
      <c r="K3338" s="3" t="inlineStr">
        <is>
          <t>В новогоднюю ночь ефрейтор Луков отстал от своей части и остался на пустынном шоссе, где его подобрал автобус с артистами провинциального театра. Так Луков познакомился с костюмершей Машей и оказался в городе. Случайно на улице он столкнулся с бывшим сослуживцем Табакиным, совершившим в армии преступление и сумевшим избежать наказания.</t>
        </is>
      </c>
      <c r="L3338" s="2" t="inlineStr">
        <is>
          <t>Кино_СССР сводный каталог.xlsx: список телефильмов</t>
        </is>
      </c>
      <c r="M3338" s="2">
        <f>HYPERLINK("https://ru.wikipedia.org/w/index.php?search=%D0%94%D0%B5%D0%B7%D0%B5%D1%80%D1%82%D0%B8%D1%80%201990%20%D1%84%D0%B8%D0%BB%D1%8C%D0%BC","искать")</f>
        <v/>
      </c>
      <c r="N3338" s="3" t="n"/>
      <c r="O3338" s="2" t="n"/>
    </row>
    <row r="3339">
      <c r="A3339" s="2" t="n">
        <v>3338</v>
      </c>
      <c r="B3339" s="2" t="inlineStr"/>
      <c r="C3339" s="2" t="n">
        <v>8568</v>
      </c>
      <c r="D3339" s="3" t="inlineStr">
        <is>
          <t>Чудеса в Гарбузянах</t>
        </is>
      </c>
      <c r="E3339" s="2" t="n">
        <v>1985</v>
      </c>
      <c r="F3339" s="2" t="inlineStr">
        <is>
          <t>телефильм</t>
        </is>
      </c>
      <c r="G3339" s="2" t="n"/>
      <c r="H3339" s="2" t="n">
        <v>337</v>
      </c>
      <c r="I3339" s="2" t="inlineStr"/>
      <c r="J3339" s="2" t="inlineStr"/>
      <c r="K3339" s="3" t="inlineStr">
        <is>
          <t>По мотивам одноименной повести Всеволода Нестайко. Три мальчугана - неразлучные друзья Сашко-Кладоискатель, Сашко-Академик и Сашко-Изобретатель - решили прославить свое родное село Гарбузяны. И тут в селе появляются три сказочных персонажа: Чур, Враз и Прок, которые предлагают нашим друзьям "прославиться" благодаря волшебным зернышкам.</t>
        </is>
      </c>
      <c r="L3339" s="2" t="inlineStr">
        <is>
          <t>Кино_СССР сводный каталог.xlsx: список телефильмов</t>
        </is>
      </c>
      <c r="M3339" s="2">
        <f>HYPERLINK("https://ru.wikipedia.org/w/index.php?search=%D0%A7%D1%83%D0%B4%D0%B5%D1%81%D0%B0%20%D0%B2%20%D0%93%D0%B0%D1%80%D0%B1%D1%83%D0%B7%D1%8F%D0%BD%D0%B0%D1%85%201985%20%D1%84%D0%B8%D0%BB%D1%8C%D0%BC","искать")</f>
        <v/>
      </c>
      <c r="N3339" s="3" t="n"/>
      <c r="O3339" s="2" t="n"/>
    </row>
    <row r="3340">
      <c r="A3340" s="2" t="n">
        <v>3339</v>
      </c>
      <c r="B3340" s="2" t="inlineStr"/>
      <c r="C3340" s="2" t="n">
        <v>8711</v>
      </c>
      <c r="D3340" s="3" t="inlineStr">
        <is>
          <t>Допинг для ангелов</t>
        </is>
      </c>
      <c r="E3340" s="2" t="n">
        <v>1990</v>
      </c>
      <c r="F3340" s="2" t="inlineStr">
        <is>
          <t>кинофильм</t>
        </is>
      </c>
      <c r="G3340" s="2" t="n"/>
      <c r="H3340" s="2" t="n">
        <v>337</v>
      </c>
      <c r="I3340" s="2" t="inlineStr"/>
      <c r="J3340" s="2" t="inlineStr"/>
      <c r="K3340" s="3" t="inlineStr">
        <is>
          <t>Тебе ночью приснился Ангел, а утром ты обнаружил подарок под дверью. И как бы ни казался сон реальностью - это подношение скорее от коварного соблазнителя, и Ангел тут ни при чем. А если ты еще и неподкупный ревизор, то всегда найдется некий хитрый искуситель, который попытается сделать так, чтоб тебе перестали сниться по ночам Ангелы.</t>
        </is>
      </c>
      <c r="L3340" s="2" t="inlineStr">
        <is>
          <t>Кино_СССР сводный каталог.xlsx: список фильмов (доп.)</t>
        </is>
      </c>
      <c r="M3340" s="2">
        <f>HYPERLINK("https://ru.wikipedia.org/w/index.php?search=%D0%94%D0%BE%D0%BF%D0%B8%D0%BD%D0%B3%20%D0%B4%D0%BB%D1%8F%20%D0%B0%D0%BD%D0%B3%D0%B5%D0%BB%D0%BE%D0%B2%201990%20%D1%84%D0%B8%D0%BB%D1%8C%D0%BC","искать")</f>
        <v/>
      </c>
      <c r="N3340" s="3" t="n"/>
      <c r="O3340" s="2" t="n"/>
    </row>
    <row r="3341">
      <c r="A3341" s="2" t="n">
        <v>3340</v>
      </c>
      <c r="B3341" s="2" t="inlineStr"/>
      <c r="C3341" s="2" t="n">
        <v>8737</v>
      </c>
      <c r="D3341" s="3" t="inlineStr">
        <is>
          <t>Зелёный огонь козы</t>
        </is>
      </c>
      <c r="E3341" s="2" t="n">
        <v>1989</v>
      </c>
      <c r="F3341" s="2" t="inlineStr">
        <is>
          <t>кинофильм</t>
        </is>
      </c>
      <c r="G3341" s="2" t="inlineStr">
        <is>
          <t>Киностудия им. А.Довженко</t>
        </is>
      </c>
      <c r="H3341" s="2" t="n">
        <v>337</v>
      </c>
      <c r="I3341" s="2" t="inlineStr"/>
      <c r="J3341" s="2" t="inlineStr"/>
      <c r="K3341" s="3" t="inlineStr">
        <is>
          <t>Один день из жизни молодого человека Никиты в день его рождения. Ему исполняется двадцать пять. Ночью Никите приснилось детство, отец, брат и бабушкин подарок - светящаяся зеленым светом фигурка козы. А утром - обычный водоворот жизни, с проститутками, разговорами о питании свеклой, о вреде радиации, различными эзотерическими теориями.</t>
        </is>
      </c>
      <c r="L3341" s="2" t="inlineStr">
        <is>
          <t>Кино_СССР сводный каталог.xlsx: список фильмов (доп.)</t>
        </is>
      </c>
      <c r="M3341" s="2">
        <f>HYPERLINK("https://ru.wikipedia.org/w/index.php?search=%D0%97%D0%B5%D0%BB%D1%91%D0%BD%D1%8B%D0%B9%20%D0%BE%D0%B3%D0%BE%D0%BD%D1%8C%20%D0%BA%D0%BE%D0%B7%D1%8B%201989%20%D1%84%D0%B8%D0%BB%D1%8C%D0%BC","искать")</f>
        <v/>
      </c>
      <c r="N3341" s="3" t="n"/>
      <c r="O3341" s="2" t="n"/>
    </row>
    <row r="3342">
      <c r="A3342" s="2" t="n">
        <v>3341</v>
      </c>
      <c r="B3342" s="2" t="inlineStr"/>
      <c r="C3342" s="2" t="n">
        <v>8881</v>
      </c>
      <c r="D3342" s="3" t="inlineStr">
        <is>
          <t>Ночь грешников</t>
        </is>
      </c>
      <c r="E3342" s="2" t="n">
        <v>1991</v>
      </c>
      <c r="F3342" s="2" t="inlineStr">
        <is>
          <t>кинофильм</t>
        </is>
      </c>
      <c r="G3342" s="2" t="n"/>
      <c r="H3342" s="2" t="n">
        <v>337</v>
      </c>
      <c r="I3342" s="2" t="inlineStr"/>
      <c r="J3342" s="2" t="inlineStr"/>
      <c r="K3342" s="3" t="inlineStr">
        <is>
          <t>Мелодрама по мотивам повести Леонида Андреева «Тьма». Скрываясь от полиции, террорист-народоволец Алексей случайно попадает в публичный дом, где знакомится с проституткой Любкой. Всего одна ночь отпущена им судьбой, но вместит она в себя две прожитые жизни. Мелодрама, драма, трагедия — таков накал страстей, переживаемый героями фильма.</t>
        </is>
      </c>
      <c r="L3342" s="2" t="inlineStr">
        <is>
          <t>Кино_СССР сводный каталог.xlsx: список фильмов (доп.)</t>
        </is>
      </c>
      <c r="M3342" s="2">
        <f>HYPERLINK("https://ru.wikipedia.org/w/index.php?search=%D0%9D%D0%BE%D1%87%D1%8C%20%D0%B3%D1%80%D0%B5%D1%88%D0%BD%D0%B8%D0%BA%D0%BE%D0%B2%201991%20%D1%84%D0%B8%D0%BB%D1%8C%D0%BC","искать")</f>
        <v/>
      </c>
      <c r="N3342" s="3" t="n"/>
      <c r="O3342" s="2" t="n"/>
    </row>
    <row r="3343">
      <c r="A3343" s="2" t="n">
        <v>3342</v>
      </c>
      <c r="B3343" s="2" t="inlineStr"/>
      <c r="C3343" s="2" t="n">
        <v>9248</v>
      </c>
      <c r="D3343" s="3" t="inlineStr">
        <is>
          <t>Божья тварь</t>
        </is>
      </c>
      <c r="E3343" s="2" t="n">
        <v>1991</v>
      </c>
      <c r="F3343" s="2" t="inlineStr">
        <is>
          <t>кинофильм</t>
        </is>
      </c>
      <c r="G3343" s="2" t="inlineStr">
        <is>
          <t>Центральная киностудия детских и юношеских фильмов им. М. Горького; киностудия «Глобус»</t>
        </is>
      </c>
      <c r="H3343" s="2" t="n">
        <v>337</v>
      </c>
      <c r="I3343" s="2" t="inlineStr"/>
      <c r="J3343" s="2" t="inlineStr"/>
      <c r="K3343" s="3" t="inlineStr">
        <is>
          <t>13-летняя девочка похитила икону из машины художника - реставратора Сычева. Она - из поколения, выросшего на песнях "Ласкового мая". Он, конечно, воспитывался на Окуджаве и Высоцком. Он - реставратор, хранитель прошлого. Она - девчонка - оторва, живущая сегодняшним днём. Такая вот "божья тварь" попалась на пути Алексея и натворила бед.</t>
        </is>
      </c>
      <c r="L3343" s="2" t="inlineStr">
        <is>
          <t>Кино_СССР сводный каталог.xlsx: список фильмов (доп.)</t>
        </is>
      </c>
      <c r="M3343" s="2">
        <f>HYPERLINK("https://ru.wikipedia.org/w/index.php?search=%D0%91%D0%BE%D0%B6%D1%8C%D1%8F%20%D1%82%D0%B2%D0%B0%D1%80%D1%8C%201991%20%D1%84%D0%B8%D0%BB%D1%8C%D0%BC","искать")</f>
        <v/>
      </c>
      <c r="N3343" s="3" t="n"/>
      <c r="O3343" s="2" t="n"/>
    </row>
    <row r="3344">
      <c r="A3344" s="2" t="n">
        <v>3343</v>
      </c>
      <c r="B3344" s="2" t="inlineStr"/>
      <c r="C3344" s="2" t="n">
        <v>9405</v>
      </c>
      <c r="D3344" s="3" t="inlineStr">
        <is>
          <t>Каменная душа</t>
        </is>
      </c>
      <c r="E3344" s="2" t="n">
        <v>1988</v>
      </c>
      <c r="F3344" s="2" t="inlineStr">
        <is>
          <t>кинофильм</t>
        </is>
      </c>
      <c r="G3344" s="2" t="n"/>
      <c r="H3344" s="2" t="n">
        <v>337</v>
      </c>
      <c r="I3344" s="2" t="inlineStr"/>
      <c r="J3344" s="2" t="inlineStr"/>
      <c r="K3344" s="3" t="inlineStr">
        <is>
          <t>Действие фильма происходит в начале XIX века в гуцульских Карпатах. Когда Дмитро забрали в рекруты, староста Юриштан хитростью женился на его возлюбленной Катерине. Сбежав от муштры в горы, Дмитро стал атаманом опрышков — народных мстителей. Радости особой от грабежа и смертей невинных гуцул не испытывал, а все больше думал о Катерине.</t>
        </is>
      </c>
      <c r="L3344" s="2" t="inlineStr">
        <is>
          <t>Кино_СССР сводный каталог.xlsx: список фильмов (доп.)</t>
        </is>
      </c>
      <c r="M3344" s="2">
        <f>HYPERLINK("https://ru.wikipedia.org/w/index.php?search=%D0%9A%D0%B0%D0%BC%D0%B5%D0%BD%D0%BD%D0%B0%D1%8F%20%D0%B4%D1%83%D1%88%D0%B0%201988%20%D1%84%D0%B8%D0%BB%D1%8C%D0%BC","искать")</f>
        <v/>
      </c>
      <c r="N3344" s="3" t="n"/>
      <c r="O3344" s="2" t="n"/>
    </row>
    <row r="3345">
      <c r="A3345" s="2" t="n">
        <v>3344</v>
      </c>
      <c r="B3345" s="2" t="inlineStr"/>
      <c r="C3345" s="2" t="n">
        <v>9508</v>
      </c>
      <c r="D3345" s="3" t="inlineStr">
        <is>
          <t>Ниагара</t>
        </is>
      </c>
      <c r="E3345" s="2" t="n">
        <v>1991</v>
      </c>
      <c r="F3345" s="2" t="inlineStr">
        <is>
          <t>кинофильм</t>
        </is>
      </c>
      <c r="G3345" s="2" t="n"/>
      <c r="H3345" s="2" t="n">
        <v>337</v>
      </c>
      <c r="I3345" s="2" t="inlineStr"/>
      <c r="J3345" s="2" t="inlineStr"/>
      <c r="K3345" s="3" t="inlineStr">
        <is>
          <t>Ниагара работает натурщицей в художественном училище, умело скрывая свою неустроенность и одиночество за бравадой и куражом. Полюбив юного студента, она понимает, что сама уже не так молода и красива. Ниагара не может поверить, что счастье пришло к ней в лице смешного, несовременного, но искреннего и бескорыстного случайного знакомого.</t>
        </is>
      </c>
      <c r="L3345" s="2" t="inlineStr">
        <is>
          <t>Кино_СССР сводный каталог.xlsx: список фильмов (доп.)</t>
        </is>
      </c>
      <c r="M3345" s="2">
        <f>HYPERLINK("https://ru.wikipedia.org/w/index.php?search=%D0%9D%D0%B8%D0%B0%D0%B3%D0%B0%D1%80%D0%B0%201991%20%D1%84%D0%B8%D0%BB%D1%8C%D0%BC","искать")</f>
        <v/>
      </c>
      <c r="N3345" s="3" t="n"/>
      <c r="O3345" s="2" t="n"/>
    </row>
    <row r="3346">
      <c r="A3346" s="2" t="n">
        <v>3345</v>
      </c>
      <c r="B3346" s="2" t="inlineStr"/>
      <c r="C3346" s="2" t="n">
        <v>9567</v>
      </c>
      <c r="D3346" s="3" t="inlineStr">
        <is>
          <t>Полет птицы</t>
        </is>
      </c>
      <c r="E3346" s="2" t="n">
        <v>1988</v>
      </c>
      <c r="F3346" s="2" t="inlineStr">
        <is>
          <t>кинофильм</t>
        </is>
      </c>
      <c r="G3346" s="2" t="n"/>
      <c r="H3346" s="2" t="n">
        <v>337</v>
      </c>
      <c r="I3346" s="2" t="inlineStr"/>
      <c r="J3346" s="2" t="inlineStr"/>
      <c r="K3346" s="3" t="inlineStr">
        <is>
          <t>По повести Е. Габриловича "Платок на стене". Тридцатые годы. Приехав из провинциального города в Москву, Лека Храпова не стала поступать на юридический, как хотела ее мать, а поступила на актерский. Во время учебы увлеклась "звездочетом" и сластолюбцем из обсерватории, но вышла замуж за молчаливого и надежного оператора-документалиста.</t>
        </is>
      </c>
      <c r="L3346" s="2" t="inlineStr">
        <is>
          <t>Кино_СССР сводный каталог.xlsx: список фильмов (доп.)</t>
        </is>
      </c>
      <c r="M3346" s="2">
        <f>HYPERLINK("https://ru.wikipedia.org/w/index.php?search=%D0%9F%D0%BE%D0%BB%D0%B5%D1%82%20%D0%BF%D1%82%D0%B8%D1%86%D1%8B%201988%20%D1%84%D0%B8%D0%BB%D1%8C%D0%BC","искать")</f>
        <v/>
      </c>
      <c r="N3346" s="3" t="n"/>
      <c r="O3346" s="2" t="n"/>
    </row>
    <row r="3347">
      <c r="A3347" s="2" t="n">
        <v>3346</v>
      </c>
      <c r="B3347" s="2" t="inlineStr"/>
      <c r="C3347" s="2" t="n">
        <v>10958</v>
      </c>
      <c r="D3347" s="3" t="inlineStr">
        <is>
          <t>Поросль</t>
        </is>
      </c>
      <c r="E3347" s="2" t="n">
        <v>1982</v>
      </c>
      <c r="F3347" s="2" t="inlineStr">
        <is>
          <t>фильм-спектакль</t>
        </is>
      </c>
      <c r="G3347" s="2" t="inlineStr">
        <is>
          <t>Литовское телевидение (LTV)</t>
        </is>
      </c>
      <c r="H3347" s="2" t="n">
        <v>337</v>
      </c>
      <c r="I3347" s="2" t="inlineStr"/>
      <c r="J3347" s="2" t="inlineStr"/>
      <c r="K3347" s="3" t="inlineStr">
        <is>
          <t>Фильм снят по одноименной пьесе литовского поэта, драматурга и писателя Казиса Бинкиса (1893-1942).
О жизни учащейся молодёжи в гимназии в довоенной Литве.Фильм рассказывает о становление молодых гимназистов, об их последнем учебном годе, о их учебе и приключениях, о первой любви и предательстве, о дружбе и о их любимых преподавателях.</t>
        </is>
      </c>
      <c r="L3347" s="2" t="inlineStr">
        <is>
          <t>https://www.kino-teatr.ru/teatr/movie/94477/annot/</t>
        </is>
      </c>
      <c r="M3347" s="2">
        <f>HYPERLINK("https://ru.wikipedia.org/w/index.php?search=%D0%9F%D0%BE%D1%80%D0%BE%D1%81%D0%BB%D1%8C%201982%20%D1%84%D0%B8%D0%BB%D1%8C%D0%BC","искать")</f>
        <v/>
      </c>
      <c r="N3347" s="3" t="n"/>
      <c r="O3347" s="2" t="n"/>
    </row>
    <row r="3348">
      <c r="A3348" s="2" t="n">
        <v>3347</v>
      </c>
      <c r="B3348" s="2" t="inlineStr"/>
      <c r="C3348" s="2" t="n">
        <v>7325</v>
      </c>
      <c r="D3348" s="3" t="inlineStr">
        <is>
          <t>Весенняя мелодия</t>
        </is>
      </c>
      <c r="E3348" s="2" t="n">
        <v>1978</v>
      </c>
      <c r="F3348" s="2" t="inlineStr">
        <is>
          <t>телефильм</t>
        </is>
      </c>
      <c r="G3348" s="2" t="n"/>
      <c r="H3348" s="2" t="n">
        <v>338</v>
      </c>
      <c r="I3348" s="2" t="inlineStr"/>
      <c r="J3348" s="2" t="inlineStr"/>
      <c r="K3348" s="3" t="inlineStr">
        <is>
          <t>По мотивам повести С. Георгиевской "Пека". Много лет не виделись инженер-строитель Пулат, уехавший на строительство города Навои, и его жена Лола, отказавшаяся тогда поехать с ним и ставшая популярной певицей. Подрос сын. Лола, понимая, что мальчику нужен отец, и сохранив любовь к Пулату, едет вместе с сыном на шефские концерты в Навои.</t>
        </is>
      </c>
      <c r="L3348" s="2" t="inlineStr">
        <is>
          <t>Кино_СССР сводный каталог.xlsx: список телефильмов</t>
        </is>
      </c>
      <c r="M3348" s="2">
        <f>HYPERLINK("https://ru.wikipedia.org/w/index.php?search=%D0%92%D0%B5%D1%81%D0%B5%D0%BD%D0%BD%D1%8F%D1%8F%20%D0%BC%D0%B5%D0%BB%D0%BE%D0%B4%D0%B8%D1%8F%201978%20%D1%84%D0%B8%D0%BB%D1%8C%D0%BC","искать")</f>
        <v/>
      </c>
      <c r="N3348" s="3" t="n"/>
      <c r="O3348" s="2" t="n"/>
    </row>
    <row r="3349">
      <c r="A3349" s="2" t="n">
        <v>3348</v>
      </c>
      <c r="B3349" s="2" t="inlineStr"/>
      <c r="C3349" s="2" t="n">
        <v>8166</v>
      </c>
      <c r="D3349" s="3" t="inlineStr">
        <is>
          <t>Последнее лето детства</t>
        </is>
      </c>
      <c r="E3349" s="2" t="n">
        <v>1974</v>
      </c>
      <c r="F3349" s="2" t="inlineStr">
        <is>
          <t>телефильм</t>
        </is>
      </c>
      <c r="G3349" s="2" t="n"/>
      <c r="H3349" s="2" t="n">
        <v>338</v>
      </c>
      <c r="I3349" s="2" t="inlineStr"/>
      <c r="J3349" s="2" t="inlineStr"/>
      <c r="K3349" s="3" t="inlineStr">
        <is>
          <t>Телесериал по мотивам последней книги трилогии А.Н. Рыбакова "Кортик", "Бронзовая птица", "Выстрел". Москва, 1925 год. Арбатский двор времен НЭПа. Здесь живут и респектабельные люди, и нэпманы, и местная шпана. С появлением нового жильца - уполномоченного по снабжению, незаурядного человека с темным прошлым, жизнь становится интересней.</t>
        </is>
      </c>
      <c r="L3349" s="2" t="inlineStr">
        <is>
          <t>Кино_СССР сводный каталог.xlsx: список телефильмов</t>
        </is>
      </c>
      <c r="M3349" s="2">
        <f>HYPERLINK("https://ru.wikipedia.org/w/index.php?search=%D0%9F%D0%BE%D1%81%D0%BB%D0%B5%D0%B4%D0%BD%D0%B5%D0%B5%20%D0%BB%D0%B5%D1%82%D0%BE%20%D0%B4%D0%B5%D1%82%D1%81%D1%82%D0%B2%D0%B0%201974%20%D1%84%D0%B8%D0%BB%D1%8C%D0%BC","искать")</f>
        <v/>
      </c>
      <c r="N3349" s="3" t="n"/>
      <c r="O3349" s="2" t="n"/>
    </row>
    <row r="3350">
      <c r="A3350" s="2" t="n">
        <v>3349</v>
      </c>
      <c r="B3350" s="2" t="inlineStr"/>
      <c r="C3350" s="2" t="n">
        <v>8187</v>
      </c>
      <c r="D3350" s="3" t="inlineStr">
        <is>
          <t>Предшественник</t>
        </is>
      </c>
      <c r="E3350" s="2" t="n">
        <v>1988</v>
      </c>
      <c r="F3350" s="2" t="inlineStr">
        <is>
          <t>телефильм</t>
        </is>
      </c>
      <c r="G3350" s="2" t="n"/>
      <c r="H3350" s="2" t="n">
        <v>338</v>
      </c>
      <c r="I3350" s="2" t="inlineStr"/>
      <c r="J3350" s="2" t="inlineStr"/>
      <c r="K3350" s="3" t="inlineStr">
        <is>
          <t>Фильм-биография грузинского писателя Эгнате Ниношвили (1859-1894). За свою недолгую жизнь он успел поработать учителем, телеграфистом, наборщиком и просто чернорабочим. В фильме отражены трагические события, повлиявшие на творчество писателя, а также частично использованы сюжеты его произведений, посвященных тяжелой судьбе крестьянства.</t>
        </is>
      </c>
      <c r="L3350" s="2" t="inlineStr">
        <is>
          <t>Кино_СССР сводный каталог.xlsx: список телефильмов</t>
        </is>
      </c>
      <c r="M3350" s="2">
        <f>HYPERLINK("https://ru.wikipedia.org/w/index.php?search=%D0%9F%D1%80%D0%B5%D0%B4%D1%88%D0%B5%D1%81%D1%82%D0%B2%D0%B5%D0%BD%D0%BD%D0%B8%D0%BA%201988%20%D1%84%D0%B8%D0%BB%D1%8C%D0%BC","искать")</f>
        <v/>
      </c>
      <c r="N3350" s="3" t="n"/>
      <c r="O3350" s="2" t="n"/>
    </row>
    <row r="3351">
      <c r="A3351" s="2" t="n">
        <v>3350</v>
      </c>
      <c r="B3351" s="2" t="inlineStr"/>
      <c r="C3351" s="2" t="n">
        <v>8409</v>
      </c>
      <c r="D3351" s="3" t="inlineStr">
        <is>
          <t>Странные взрослые</t>
        </is>
      </c>
      <c r="E3351" s="2" t="n">
        <v>1974</v>
      </c>
      <c r="F3351" s="2" t="inlineStr">
        <is>
          <t>телефильм</t>
        </is>
      </c>
      <c r="G3351" s="2" t="n"/>
      <c r="H3351" s="2" t="n">
        <v>338</v>
      </c>
      <c r="I3351" s="2" t="inlineStr"/>
      <c r="J3351" s="2" t="inlineStr"/>
      <c r="K3351" s="3" t="inlineStr">
        <is>
          <t>Телефильм по мотивам одноименной повести А.Минчковского. Немолодые бездетные супруги взяли из детского дома девочку Тоню. В большой коммунальной квартире старого ленинградского дома отношения ребёнка с жильцами складывались очень непросто: она пытается перестроить налаженный уклад жизни всех соседей по привычным ей коллективным канонам.</t>
        </is>
      </c>
      <c r="L3351" s="2" t="inlineStr">
        <is>
          <t>Кино_СССР сводный каталог.xlsx: список телефильмов</t>
        </is>
      </c>
      <c r="M3351" s="2">
        <f>HYPERLINK("https://ru.wikipedia.org/w/index.php?search=%D0%A1%D1%82%D1%80%D0%B0%D0%BD%D0%BD%D1%8B%D0%B5%20%D0%B2%D0%B7%D1%80%D0%BE%D1%81%D0%BB%D1%8B%D0%B5%201974%20%D1%84%D0%B8%D0%BB%D1%8C%D0%BC","искать")</f>
        <v/>
      </c>
      <c r="N3351" s="3" t="n"/>
      <c r="O3351" s="2" t="n"/>
    </row>
    <row r="3352">
      <c r="A3352" s="2" t="n">
        <v>3351</v>
      </c>
      <c r="B3352" s="2" t="inlineStr"/>
      <c r="C3352" s="2" t="n">
        <v>9050</v>
      </c>
      <c r="D3352" s="3" t="inlineStr">
        <is>
          <t>Смерть прокурора</t>
        </is>
      </c>
      <c r="E3352" s="2" t="n">
        <v>1990</v>
      </c>
      <c r="F3352" s="2" t="inlineStr">
        <is>
          <t>кинофильм</t>
        </is>
      </c>
      <c r="G3352" s="2" t="n"/>
      <c r="H3352" s="2" t="n">
        <v>338</v>
      </c>
      <c r="I3352" s="2" t="inlineStr"/>
      <c r="J3352" s="2" t="inlineStr"/>
      <c r="K3352" s="3" t="inlineStr">
        <is>
          <t>Жизнь - всего лишь ставка в смертельной схватке. Расследуя дело об убийстве, прокурор Халима Базиева получает от бандита по кличке Черный кассету, изобличающую махинации местных мафиози, орудующих в городе. У мафии везде свои люди - от правоохранительных органов до высших эшелонов власти. Силы в этой смертельной схватке слишком неравны.</t>
        </is>
      </c>
      <c r="L3352" s="2" t="inlineStr">
        <is>
          <t>Кино_СССР сводный каталог.xlsx: список фильмов (доп.)</t>
        </is>
      </c>
      <c r="M3352" s="2">
        <f>HYPERLINK("https://ru.wikipedia.org/w/index.php?search=%D0%A1%D0%BC%D0%B5%D1%80%D1%82%D1%8C%20%D0%BF%D1%80%D0%BE%D0%BA%D1%83%D1%80%D0%BE%D1%80%D0%B0%201990%20%D1%84%D0%B8%D0%BB%D1%8C%D0%BC","искать")</f>
        <v/>
      </c>
      <c r="N3352" s="3" t="n"/>
      <c r="O3352" s="2" t="n"/>
    </row>
    <row r="3353">
      <c r="A3353" s="2" t="n">
        <v>3352</v>
      </c>
      <c r="B3353" s="2" t="inlineStr"/>
      <c r="C3353" s="2" t="n">
        <v>9165</v>
      </c>
      <c r="D3353" s="3" t="inlineStr">
        <is>
          <t>Чужая игра</t>
        </is>
      </c>
      <c r="E3353" s="2" t="n">
        <v>1991</v>
      </c>
      <c r="F3353" s="2" t="inlineStr">
        <is>
          <t>кинофильм</t>
        </is>
      </c>
      <c r="G3353" s="2" t="n"/>
      <c r="H3353" s="2" t="n">
        <v>338</v>
      </c>
      <c r="I3353" s="2" t="inlineStr"/>
      <c r="J3353" s="2" t="inlineStr"/>
      <c r="K3353" s="3" t="inlineStr">
        <is>
          <t>Герой фильма - тридцатилетний молодой человек возвращается в свой родной город и обнаруживает, что становится участником какой-то интриги, логика которая должна привести его к столкновению с Димом - главой одной из местных преступных группировок, Михаил не может избежать борьбы, потому что с этим именем связана тайна гибели его любимой.</t>
        </is>
      </c>
      <c r="L3353" s="2" t="inlineStr">
        <is>
          <t>Кино_СССР сводный каталог.xlsx: список фильмов (доп.)</t>
        </is>
      </c>
      <c r="M3353" s="2">
        <f>HYPERLINK("https://ru.wikipedia.org/w/index.php?search=%D0%A7%D1%83%D0%B6%D0%B0%D1%8F%20%D0%B8%D0%B3%D1%80%D0%B0%201991%20%D1%84%D0%B8%D0%BB%D1%8C%D0%BC","искать")</f>
        <v/>
      </c>
      <c r="N3353" s="3" t="n"/>
      <c r="O3353" s="2" t="n"/>
    </row>
    <row r="3354">
      <c r="A3354" s="2" t="n">
        <v>3353</v>
      </c>
      <c r="B3354" s="2" t="inlineStr"/>
      <c r="C3354" s="2" t="n">
        <v>9265</v>
      </c>
      <c r="D3354" s="3" t="inlineStr">
        <is>
          <t>Ватерлоо</t>
        </is>
      </c>
      <c r="E3354" s="2" t="n">
        <v>1969</v>
      </c>
      <c r="F3354" s="2" t="inlineStr">
        <is>
          <t>кинофильм</t>
        </is>
      </c>
      <c r="G3354" s="2" t="n"/>
      <c r="H3354" s="2" t="n">
        <v>338</v>
      </c>
      <c r="I3354" s="2" t="inlineStr"/>
      <c r="J3354" s="2" t="inlineStr"/>
      <c r="K3354" s="3" t="inlineStr">
        <is>
          <t>Фильм начинается отречением от престола Наполеона Бонапарта (Род Стайгер) во дворце Фонтенбло 6 апреля 1814 года после прихода союзных армий в Париж. Уговаривая императора подписать отречение, Ней говорит ему «Ваше величество, все кончено: австрийцы в Версале, казаки поят своих лошадей в Сене. Мы не хотим подвергать Париж участи Москвы.</t>
        </is>
      </c>
      <c r="L3354" s="2" t="inlineStr">
        <is>
          <t>Кино_СССР сводный каталог.xlsx: список фильмов (доп.)</t>
        </is>
      </c>
      <c r="M3354" s="2">
        <f>HYPERLINK("https://ru.wikipedia.org/w/index.php?search=%D0%92%D0%B0%D1%82%D0%B5%D1%80%D0%BB%D0%BE%D0%BE%201969%20%D1%84%D0%B8%D0%BB%D1%8C%D0%BC","искать")</f>
        <v/>
      </c>
      <c r="N3354" s="3" t="n"/>
      <c r="O3354" s="2" t="n"/>
    </row>
    <row r="3355">
      <c r="A3355" s="2" t="n">
        <v>3354</v>
      </c>
      <c r="B3355" s="2" t="inlineStr"/>
      <c r="C3355" s="2" t="n">
        <v>9587</v>
      </c>
      <c r="D3355" s="3" t="inlineStr">
        <is>
          <t>Приключения Квентина Дорварда, стрелка королевской гвардии</t>
        </is>
      </c>
      <c r="E3355" s="2" t="n">
        <v>1988</v>
      </c>
      <c r="F3355" s="2" t="inlineStr">
        <is>
          <t>кинофильм</t>
        </is>
      </c>
      <c r="G3355" s="2" t="n"/>
      <c r="H3355" s="2" t="n">
        <v>338</v>
      </c>
      <c r="I3355" s="2" t="inlineStr"/>
      <c r="J3355" s="2" t="inlineStr"/>
      <c r="K3355" s="3" t="inlineStr">
        <is>
          <t>Фильм снят по мотивам романа В.Скотта "Квентин Дорвард". Франция, XV век. Молодой шотландец, стремящийся достойно приложить свои силы, обласкан королем и принят в гвардию. Вскоре король поручает ему трудную миссию - однако дело оборачивается коварным обманом. Спасая возлюбленную, стрелок гвардии проявляет чудеса мужества и благородства.</t>
        </is>
      </c>
      <c r="L3355" s="2" t="inlineStr">
        <is>
          <t>Кино_СССР сводный каталог.xlsx: список фильмов (доп.)</t>
        </is>
      </c>
      <c r="M3355" s="2">
        <f>HYPERLINK("https://ru.wikipedia.org/w/index.php?search=%D0%9F%D1%80%D0%B8%D0%BA%D0%BB%D1%8E%D1%87%D0%B5%D0%BD%D0%B8%D1%8F%20%D0%9A%D0%B2%D0%B5%D0%BD%D1%82%D0%B8%D0%BD%D0%B0%20%D0%94%D0%BE%D1%80%D0%B2%D0%B0%D1%80%D0%B4%D0%B0%2C%20%D1%81%D1%82%D1%80%D0%B5%D0%BB%D0%BA%D0%B0%20%D0%BA%D0%BE%D1%80%D0%BE%D0%BB%D0%B5%D0%B2%D1%81%D0%BA%D0%BE%D0%B9%20%D0%B3%D0%B2%D0%B0%D1%80%D0%B4%D0%B8%D0%B8%201988%20%D1%84%D0%B8%D0%BB%D1%8C%D0%BC","искать")</f>
        <v/>
      </c>
      <c r="N3355" s="3" t="n"/>
      <c r="O3355" s="2" t="n"/>
    </row>
    <row r="3356">
      <c r="A3356" s="2" t="n">
        <v>3355</v>
      </c>
      <c r="B3356" s="2" t="inlineStr"/>
      <c r="C3356" s="2" t="n">
        <v>9604</v>
      </c>
      <c r="D3356" s="3" t="inlineStr">
        <is>
          <t>Псы</t>
        </is>
      </c>
      <c r="E3356" s="2" t="n">
        <v>1989</v>
      </c>
      <c r="F3356" s="2" t="inlineStr">
        <is>
          <t>кинофильм</t>
        </is>
      </c>
      <c r="G3356" s="2" t="n"/>
      <c r="H3356" s="2" t="n">
        <v>338</v>
      </c>
      <c r="I3356" s="2" t="inlineStr"/>
      <c r="J3356" s="2" t="inlineStr"/>
      <c r="K3356" s="3" t="inlineStr">
        <is>
          <t>В мертвом советском городе среди среднеазиатских песков обнаружены волки-людоеды, жертвами которых все чаще становятся местные жители. Группа охотников отправляется в заброшенное поселение, чтобы уничтожить монстров. Городок раньше стоял на побережье, был полон жизни, но море ушло, а на его месте образовалась сухая безжизненная пустыня.</t>
        </is>
      </c>
      <c r="L3356" s="2" t="inlineStr">
        <is>
          <t>Кино_СССР сводный каталог.xlsx: список фильмов (доп.)</t>
        </is>
      </c>
      <c r="M3356" s="2">
        <f>HYPERLINK("https://ru.wikipedia.org/w/index.php?search=%D0%9F%D1%81%D1%8B%201989%20%D1%84%D0%B8%D0%BB%D1%8C%D0%BC","искать")</f>
        <v/>
      </c>
      <c r="N3356" s="3" t="n"/>
      <c r="O3356" s="2" t="n"/>
    </row>
    <row r="3357">
      <c r="A3357" s="2" t="n">
        <v>3356</v>
      </c>
      <c r="B3357" s="2" t="inlineStr"/>
      <c r="C3357" s="2" t="n">
        <v>9613</v>
      </c>
      <c r="D3357" s="3" t="inlineStr">
        <is>
          <t>Раны земли нашей</t>
        </is>
      </c>
      <c r="E3357" s="2" t="n">
        <v>1971</v>
      </c>
      <c r="F3357" s="2" t="inlineStr">
        <is>
          <t>кинофильм</t>
        </is>
      </c>
      <c r="G3357" s="2" t="n"/>
      <c r="H3357" s="2" t="n">
        <v>338</v>
      </c>
      <c r="I3357" s="2" t="inlineStr"/>
      <c r="J3357" s="2" t="inlineStr"/>
      <c r="K3357" s="3" t="inlineStr">
        <is>
          <t>Трагические страницы истории становления независимого Литовского государства в 1918-20 годах. 1918 год, жямайтийский городок Вардувенай. После ухода кайзеровской армии формируются ростки независимости. Военным комендантом объявляется полковник Пилькявичюс. В это же время в городке поселяется интеллигентный купец льна Гедрайтис с семьёй.</t>
        </is>
      </c>
      <c r="L3357" s="2" t="inlineStr">
        <is>
          <t>Кино_СССР сводный каталог.xlsx: список фильмов (доп.)</t>
        </is>
      </c>
      <c r="M3357" s="2">
        <f>HYPERLINK("https://ru.wikipedia.org/w/index.php?search=%D0%A0%D0%B0%D0%BD%D1%8B%20%D0%B7%D0%B5%D0%BC%D0%BB%D0%B8%20%D0%BD%D0%B0%D1%88%D0%B5%D0%B9%201971%20%D1%84%D0%B8%D0%BB%D1%8C%D0%BC","искать")</f>
        <v/>
      </c>
      <c r="N3357" s="3" t="n"/>
      <c r="O3357" s="2" t="n"/>
    </row>
    <row r="3358">
      <c r="A3358" s="2" t="n">
        <v>3357</v>
      </c>
      <c r="B3358" s="2" t="inlineStr"/>
      <c r="C3358" s="2" t="n">
        <v>10726</v>
      </c>
      <c r="D3358" s="3" t="inlineStr">
        <is>
          <t>Эспаньола, или Лопе де Вега подсказал...</t>
        </is>
      </c>
      <c r="E3358" s="2" t="n">
        <v>1977</v>
      </c>
      <c r="F3358" s="2" t="inlineStr">
        <is>
          <t>фильм-спектакль</t>
        </is>
      </c>
      <c r="G3358" s="2" t="n"/>
      <c r="H3358" s="2" t="n">
        <v>338</v>
      </c>
      <c r="I3358" s="2" t="inlineStr"/>
      <c r="J3358" s="2" t="inlineStr"/>
      <c r="K3358" s="3" t="inlineStr">
        <is>
          <t>Московский театр оперетты.
Спектакль начинается с того, что кончилась репетиция, погас свет и на пустой сцене осталась одна актриса.
Ей в руки попадает шпага, оставшаяся на сцене после репетиции, томик книги с пьесами Лопе де Вега, и в ее творческой фантазии рождается спектакль. Спектакль, как и положено в оперетте со счастливым концом.</t>
        </is>
      </c>
      <c r="L3358" s="2" t="inlineStr">
        <is>
          <t>https://www.kino-teatr.ru/teatr/movie/86573/annot/</t>
        </is>
      </c>
      <c r="M3358" s="2">
        <f>HYPERLINK("https://ru.wikipedia.org/w/index.php?search=%D0%AD%D1%81%D0%BF%D0%B0%D0%BD%D1%8C%D0%BE%D0%BB%D0%B0%2C%20%D0%B8%D0%BB%D0%B8%20%D0%9B%D0%BE%D0%BF%D0%B5%20%D0%B4%D0%B5%20%D0%92%D0%B5%D0%B3%D0%B0%20%D0%BF%D0%BE%D0%B4%D1%81%D0%BA%D0%B0%D0%B7%D0%B0%D0%BB...%201977%20%D1%84%D0%B8%D0%BB%D1%8C%D0%BC","искать")</f>
        <v/>
      </c>
      <c r="N3358" s="3" t="n"/>
      <c r="O3358" s="2" t="n"/>
    </row>
    <row r="3359">
      <c r="A3359" s="2" t="n">
        <v>3358</v>
      </c>
      <c r="B3359" s="2" t="inlineStr"/>
      <c r="C3359" s="2" t="n">
        <v>7508</v>
      </c>
      <c r="D3359" s="3" t="inlineStr">
        <is>
          <t>Дети как дети</t>
        </is>
      </c>
      <c r="E3359" s="2" t="n">
        <v>1978</v>
      </c>
      <c r="F3359" s="2" t="inlineStr">
        <is>
          <t>телефильм</t>
        </is>
      </c>
      <c r="G3359" s="2" t="n"/>
      <c r="H3359" s="2" t="n">
        <v>339</v>
      </c>
      <c r="I3359" s="2" t="inlineStr"/>
      <c r="J3359" s="2" t="inlineStr"/>
      <c r="K3359" s="3" t="inlineStr">
        <is>
          <t>Игорь Владимирович и Вера разошлись несколько лет назад. У него новая семья: жена Таня и приёмный сын Дима. А Вера по-прежнему живет с дочерью Олей и матерью. У взрослых не ладятся отношения. Оля и Дима - ровесники. Вера не против контактов дочери с отцом, но не желает, чтобы Оля общалась с Димой. Однако дети познакомились и подружились.</t>
        </is>
      </c>
      <c r="L3359" s="2" t="inlineStr">
        <is>
          <t>Кино_СССР сводный каталог.xlsx: список телефильмов</t>
        </is>
      </c>
      <c r="M3359" s="2">
        <f>HYPERLINK("https://ru.wikipedia.org/w/index.php?search=%D0%94%D0%B5%D1%82%D0%B8%20%D0%BA%D0%B0%D0%BA%20%D0%B4%D0%B5%D1%82%D0%B8%201978%20%D1%84%D0%B8%D0%BB%D1%8C%D0%BC","искать")</f>
        <v/>
      </c>
      <c r="N3359" s="3" t="n"/>
      <c r="O3359" s="2" t="n"/>
    </row>
    <row r="3360">
      <c r="A3360" s="2" t="n">
        <v>3359</v>
      </c>
      <c r="B3360" s="2" t="inlineStr"/>
      <c r="C3360" s="2" t="n">
        <v>7828</v>
      </c>
      <c r="D3360" s="3" t="inlineStr">
        <is>
          <t>Любовь к трём апельсинам</t>
        </is>
      </c>
      <c r="E3360" s="2" t="n">
        <v>1970</v>
      </c>
      <c r="F3360" s="2" t="inlineStr">
        <is>
          <t>телефильм</t>
        </is>
      </c>
      <c r="G3360" s="2" t="inlineStr">
        <is>
          <t>Мосфильм</t>
        </is>
      </c>
      <c r="H3360" s="2" t="n">
        <v>339</v>
      </c>
      <c r="I3360" s="2" t="inlineStr"/>
      <c r="J3360" s="2" t="inlineStr"/>
      <c r="K3360" s="3" t="inlineStr">
        <is>
          <t>Телефильм. Экранизация одноименной оперы-сказки композитора Сергея Прокофьева. Авторы интермедий: Семен Лунгин, Илья Нусинов. Страдающий меланхолией Принц, чтобы излечиться, пускается в поисках трех апельсинов в опасное и увлекательное путешествие. В одном из апельсинов он находит свою избранницу Аделит и навсегда излечивается от хандры.</t>
        </is>
      </c>
      <c r="L3360" s="2" t="inlineStr">
        <is>
          <t>Кино_СССР сводный каталог.xlsx: список телефильмов</t>
        </is>
      </c>
      <c r="M3360" s="2">
        <f>HYPERLINK("https://ru.wikipedia.org/w/index.php?search=%D0%9B%D1%8E%D0%B1%D0%BE%D0%B2%D1%8C%20%D0%BA%20%D1%82%D1%80%D1%91%D0%BC%20%D0%B0%D0%BF%D0%B5%D0%BB%D1%8C%D1%81%D0%B8%D0%BD%D0%B0%D0%BC%201970%20%D1%84%D0%B8%D0%BB%D1%8C%D0%BC","искать")</f>
        <v/>
      </c>
      <c r="N3360" s="3" t="n"/>
      <c r="O3360" s="2" t="n"/>
    </row>
    <row r="3361">
      <c r="A3361" s="2" t="n">
        <v>3360</v>
      </c>
      <c r="B3361" s="2" t="inlineStr"/>
      <c r="C3361" s="2" t="n">
        <v>8165</v>
      </c>
      <c r="D3361" s="3" t="inlineStr">
        <is>
          <t>После ярмарки</t>
        </is>
      </c>
      <c r="E3361" s="2" t="n">
        <v>1972</v>
      </c>
      <c r="F3361" s="2" t="inlineStr">
        <is>
          <t>телефильм</t>
        </is>
      </c>
      <c r="G3361" s="2" t="n"/>
      <c r="H3361" s="2" t="n">
        <v>339</v>
      </c>
      <c r="I3361" s="2" t="inlineStr"/>
      <c r="J3361" s="2" t="inlineStr"/>
      <c r="K3361" s="3" t="inlineStr">
        <is>
          <t>Телефильм по мотивам пьесы Я.Купалы «Павлинка». Крестьянская дочь Павлинка любит сельского учителя Якима. Но ее отец, мечтая породниться с дворянским родом, хочет выдать дочь за глупого шляхтича Быковского. После застолья, устроенного родителями Павлинки в честь приезда Быковского, гостя в темноте принимают за вора и заключают под арест.</t>
        </is>
      </c>
      <c r="L3361" s="2" t="inlineStr">
        <is>
          <t>Кино_СССР сводный каталог.xlsx: список телефильмов</t>
        </is>
      </c>
      <c r="M3361" s="2">
        <f>HYPERLINK("https://ru.wikipedia.org/w/index.php?search=%D0%9F%D0%BE%D1%81%D0%BB%D0%B5%20%D1%8F%D1%80%D0%BC%D0%B0%D1%80%D0%BA%D0%B8%201972%20%D1%84%D0%B8%D0%BB%D1%8C%D0%BC","искать")</f>
        <v/>
      </c>
      <c r="N3361" s="3" t="n"/>
      <c r="O3361" s="2" t="n"/>
    </row>
    <row r="3362">
      <c r="A3362" s="2" t="n">
        <v>3361</v>
      </c>
      <c r="B3362" s="2" t="inlineStr"/>
      <c r="C3362" s="2" t="n">
        <v>8217</v>
      </c>
      <c r="D3362" s="3" t="inlineStr">
        <is>
          <t>Пристань на том берегу</t>
        </is>
      </c>
      <c r="E3362" s="2" t="n">
        <v>1971</v>
      </c>
      <c r="F3362" s="2" t="inlineStr">
        <is>
          <t>телефильм</t>
        </is>
      </c>
      <c r="G3362" s="2" t="n"/>
      <c r="H3362" s="2" t="n">
        <v>339</v>
      </c>
      <c r="I3362" s="2" t="inlineStr"/>
      <c r="J3362" s="2" t="inlineStr"/>
      <c r="K3362" s="3" t="inlineStr">
        <is>
          <t>Телефильм по рассказу Юрия Нагибина. Когда-то война надолго разлучила лейтенанта Климова с Марусей, девушкой из прифронтовой деревни. Климов отвоевался, женился, стал кинорежиссером. Через много лет он приезжает повидать Марусю. Они понимают, что любовь их еще жива, но счастье теперь может состояться только ценой несчастья близких людей.</t>
        </is>
      </c>
      <c r="L3362" s="2" t="inlineStr">
        <is>
          <t>Кино_СССР сводный каталог.xlsx: список телефильмов</t>
        </is>
      </c>
      <c r="M3362" s="2">
        <f>HYPERLINK("https://ru.wikipedia.org/w/index.php?search=%D0%9F%D1%80%D0%B8%D1%81%D1%82%D0%B0%D0%BD%D1%8C%20%D0%BD%D0%B0%20%D1%82%D0%BE%D0%BC%20%D0%B1%D0%B5%D1%80%D0%B5%D0%B3%D1%83%201971%20%D1%84%D0%B8%D0%BB%D1%8C%D0%BC","искать")</f>
        <v/>
      </c>
      <c r="N3362" s="3" t="n"/>
      <c r="O3362" s="2" t="n"/>
    </row>
    <row r="3363">
      <c r="A3363" s="2" t="n">
        <v>3362</v>
      </c>
      <c r="B3363" s="2" t="inlineStr"/>
      <c r="C3363" s="2" t="n">
        <v>8729</v>
      </c>
      <c r="D3363" s="3" t="inlineStr">
        <is>
          <t>Закон</t>
        </is>
      </c>
      <c r="E3363" s="2" t="n">
        <v>1989</v>
      </c>
      <c r="F3363" s="2" t="inlineStr">
        <is>
          <t>кинофильм</t>
        </is>
      </c>
      <c r="G3363" s="2" t="inlineStr">
        <is>
          <t>Мосфильм</t>
        </is>
      </c>
      <c r="H3363" s="2" t="n">
        <v>339</v>
      </c>
      <c r="I3363" s="2" t="inlineStr"/>
      <c r="J3363" s="2" t="inlineStr"/>
      <c r="K3363" s="3" t="inlineStr">
        <is>
          <t>Герой фильма - молодой прокурор, занимается в середине 50-х делами репрессированных. За каждым из сфабрикованных обвинений - человеческая трагедия; вместе они складываются в чудовищную картину торжествовавшего в стране беззакония. Однако существуют и другие законы - законы совести, которые никакая власть не в силах отменить и уничтожить.</t>
        </is>
      </c>
      <c r="L3363" s="2" t="inlineStr">
        <is>
          <t>Кино_СССР сводный каталог.xlsx: список фильмов (доп.)</t>
        </is>
      </c>
      <c r="M3363" s="2">
        <f>HYPERLINK("https://ru.wikipedia.org/w/index.php?search=%D0%97%D0%B0%D0%BA%D0%BE%D0%BD%201989%20%D1%84%D0%B8%D0%BB%D1%8C%D0%BC","искать")</f>
        <v/>
      </c>
      <c r="N3363" s="3" t="n"/>
      <c r="O3363" s="2" t="n"/>
    </row>
    <row r="3364">
      <c r="A3364" s="2" t="n">
        <v>3363</v>
      </c>
      <c r="B3364" s="2" t="inlineStr"/>
      <c r="C3364" s="2" t="n">
        <v>8912</v>
      </c>
      <c r="D3364" s="3" t="inlineStr">
        <is>
          <t>Охота на последнего журавля</t>
        </is>
      </c>
      <c r="E3364" s="2" t="n">
        <v>1986</v>
      </c>
      <c r="F3364" s="2" t="inlineStr">
        <is>
          <t>кинофильм</t>
        </is>
      </c>
      <c r="G3364" s="2" t="n"/>
      <c r="H3364" s="2" t="n">
        <v>339</v>
      </c>
      <c r="I3364" s="2" t="inlineStr"/>
      <c r="J3364" s="2" t="inlineStr"/>
      <c r="K3364" s="3" t="inlineStr">
        <is>
          <t>По одноименной повести белорусского писателя Алеся Жука В центре сюжета фильма - подлинно народный характер - белорусский крестьянин Степан Демидчик, чья судьба - частичка судьбы страны. Инвалид, ветеран войны, он мог бы давно уйти на заслуженный отдых, но Степан не может сидеть без дела. Он- один из лучших в районе колхозных бригадиров.</t>
        </is>
      </c>
      <c r="L3364" s="2" t="inlineStr">
        <is>
          <t>Кино_СССР сводный каталог.xlsx: список фильмов (доп.)</t>
        </is>
      </c>
      <c r="M3364" s="2">
        <f>HYPERLINK("https://ru.wikipedia.org/w/index.php?search=%D0%9E%D1%85%D0%BE%D1%82%D0%B0%20%D0%BD%D0%B0%20%D0%BF%D0%BE%D1%81%D0%BB%D0%B5%D0%B4%D0%BD%D0%B5%D0%B3%D0%BE%20%D0%B6%D1%83%D1%80%D0%B0%D0%B2%D0%BB%D1%8F%201986%20%D1%84%D0%B8%D0%BB%D1%8C%D0%BC","искать")</f>
        <v/>
      </c>
      <c r="N3364" s="3" t="n"/>
      <c r="O3364" s="2" t="n"/>
    </row>
    <row r="3365">
      <c r="A3365" s="2" t="n">
        <v>3364</v>
      </c>
      <c r="B3365" s="2" t="inlineStr"/>
      <c r="C3365" s="2" t="n">
        <v>9464</v>
      </c>
      <c r="D3365" s="3" t="inlineStr">
        <is>
          <t>Мальчики</t>
        </is>
      </c>
      <c r="E3365" s="2" t="n">
        <v>1990</v>
      </c>
      <c r="F3365" s="2" t="inlineStr">
        <is>
          <t>кинофильм</t>
        </is>
      </c>
      <c r="G3365" s="2" t="n"/>
      <c r="H3365" s="2" t="n">
        <v>339</v>
      </c>
      <c r="I3365" s="2" t="inlineStr"/>
      <c r="J3365" s="2" t="inlineStr"/>
      <c r="K3365" s="3" t="inlineStr">
        <is>
          <t>Драма, свободная фантазия по мотивам романа Федора Михайловича Достоевского "Братья Карамазовы". Пытаясь защитить мальчишку от преследований одноклассников, монах Алеша Карамазов со временем оказывается вовлеченным в историю жизни всего семейства капитана Снегирева - человека, пытающегося сохранить достоинство, несмотря на нищету и горе.</t>
        </is>
      </c>
      <c r="L3365" s="2" t="inlineStr">
        <is>
          <t>Кино_СССР сводный каталог.xlsx: список фильмов (доп.)</t>
        </is>
      </c>
      <c r="M3365" s="2">
        <f>HYPERLINK("https://ru.wikipedia.org/w/index.php?search=%D0%9C%D0%B0%D0%BB%D1%8C%D1%87%D0%B8%D0%BA%D0%B8%201990%20%D1%84%D0%B8%D0%BB%D1%8C%D0%BC","искать")</f>
        <v/>
      </c>
      <c r="N3365" s="3" t="n"/>
      <c r="O3365" s="2" t="n"/>
    </row>
    <row r="3366">
      <c r="A3366" s="2" t="n">
        <v>3365</v>
      </c>
      <c r="B3366" s="2" t="inlineStr"/>
      <c r="C3366" s="2" t="n">
        <v>9681</v>
      </c>
      <c r="D3366" s="3" t="inlineStr">
        <is>
          <t>Счастливчик</t>
        </is>
      </c>
      <c r="E3366" s="2" t="n">
        <v>1989</v>
      </c>
      <c r="F3366" s="2" t="inlineStr">
        <is>
          <t>кинофильм</t>
        </is>
      </c>
      <c r="G3366" s="2" t="inlineStr">
        <is>
          <t>Мосфильм, творческое объединение «Старт»</t>
        </is>
      </c>
      <c r="H3366" s="2" t="n">
        <v>339</v>
      </c>
      <c r="I3366" s="2" t="inlineStr"/>
      <c r="J3366" s="2" t="inlineStr"/>
      <c r="K3366" s="3" t="inlineStr">
        <is>
          <t>Ваня Нечкин был классным водителем. И автомехаником от Бога. Жизнь любил. И женщин. Шутку ядреную и изящный разговор. Мог и итальянским тенором прикинуться, и автоинспектором. Людские слабости понимал, многое прощал. Но если несправедливость видел, так уж глотку был готов рвать гаду. Промысел он себе придумал рисковый: гробил автомобили.</t>
        </is>
      </c>
      <c r="L3366" s="2" t="inlineStr">
        <is>
          <t>Кино_СССР сводный каталог.xlsx: список фильмов (доп.)</t>
        </is>
      </c>
      <c r="M3366" s="2">
        <f>HYPERLINK("https://ru.wikipedia.org/w/index.php?search=%D0%A1%D1%87%D0%B0%D1%81%D1%82%D0%BB%D0%B8%D0%B2%D1%87%D0%B8%D0%BA%201989%20%D1%84%D0%B8%D0%BB%D1%8C%D0%BC","искать")</f>
        <v/>
      </c>
      <c r="N3366" s="3" t="n"/>
      <c r="O3366" s="2" t="n"/>
    </row>
    <row r="3367">
      <c r="A3367" s="2" t="n">
        <v>3366</v>
      </c>
      <c r="B3367" s="2" t="inlineStr"/>
      <c r="C3367" s="2" t="n">
        <v>10304</v>
      </c>
      <c r="D3367" s="3" t="inlineStr">
        <is>
          <t>Две комедии Бранислава Нушича</t>
        </is>
      </c>
      <c r="E3367" s="2" t="n">
        <v>1969</v>
      </c>
      <c r="F3367" s="2" t="inlineStr">
        <is>
          <t>фильм-спектакль</t>
        </is>
      </c>
      <c r="G3367" s="2" t="inlineStr">
        <is>
          <t>Гл. ред. лит-драмю программ Россия</t>
        </is>
      </c>
      <c r="H3367" s="2" t="n">
        <v>339</v>
      </c>
      <c r="I3367" s="2" t="inlineStr"/>
      <c r="J3367" s="2" t="inlineStr"/>
      <c r="K3367" s="3" t="inlineStr">
        <is>
          <t>Телеспектакль по комедиям сербского писателя Бранислава Нушича «Два вора» и «Насморк».В спектакле снимались актеры Московского театра Сатиры.
"Два вора". Жена, проводив мужа на работу, принимает у себя любовника. Но следом за ним в дом проникает вор-философ. Он считает любовника своим "коллегой", так как оба крадут собственность хозяина.</t>
        </is>
      </c>
      <c r="L3367" s="2" t="inlineStr">
        <is>
          <t>https://www.kino-teatr.ru/teatr/movie/17146/annot/</t>
        </is>
      </c>
      <c r="M3367" s="2">
        <f>HYPERLINK("https://ru.wikipedia.org/w/index.php?search=%D0%94%D0%B2%D0%B5%20%D0%BA%D0%BE%D0%BC%D0%B5%D0%B4%D0%B8%D0%B8%20%D0%91%D1%80%D0%B0%D0%BD%D0%B8%D1%81%D0%BB%D0%B0%D0%B2%D0%B0%20%D0%9D%D1%83%D1%88%D0%B8%D1%87%D0%B0%201969%20%D1%84%D0%B8%D0%BB%D1%8C%D0%BC","искать")</f>
        <v/>
      </c>
      <c r="N3367" s="3" t="n"/>
      <c r="O3367" s="2" t="n"/>
    </row>
    <row r="3368">
      <c r="A3368" s="2" t="n">
        <v>3367</v>
      </c>
      <c r="B3368" s="2" t="inlineStr"/>
      <c r="C3368" s="2" t="n">
        <v>10569</v>
      </c>
      <c r="D3368" s="3" t="inlineStr">
        <is>
          <t>Мегрэ и старая дама</t>
        </is>
      </c>
      <c r="E3368" s="2" t="n">
        <v>1974</v>
      </c>
      <c r="F3368" s="2" t="inlineStr">
        <is>
          <t>фильм-спектакль</t>
        </is>
      </c>
      <c r="G3368" s="2" t="inlineStr">
        <is>
          <t>Главная редакция литературно-драматических программ ЦТ</t>
        </is>
      </c>
      <c r="H3368" s="2" t="n">
        <v>339</v>
      </c>
      <c r="I3368" s="2" t="inlineStr"/>
      <c r="J3368" s="2" t="inlineStr"/>
      <c r="K3368" s="3" t="inlineStr">
        <is>
          <t>По произведению Жоржа Сименона "Мегрэ и старая дама".
Для расследования убийства служанки мадам Бессон - Розы - комиссар Мегрэ едет в курортный городок в Нормандии. Там он понимает, что отношения между членами семьи Бессон сложны и запутаны, а к гибели Розы и ее брата Анри, детей простого рыбака, привели жестокость и лживость окружающих.</t>
        </is>
      </c>
      <c r="L3368" s="2" t="inlineStr">
        <is>
          <t>https://www.kino-teatr.ru/teatr/movie/13765/annot/</t>
        </is>
      </c>
      <c r="M3368" s="2">
        <f>HYPERLINK("https://ru.wikipedia.org/w/index.php?search=%D0%9C%D0%B5%D0%B3%D1%80%D1%8D%20%D0%B8%20%D1%81%D1%82%D0%B0%D1%80%D0%B0%D1%8F%20%D0%B4%D0%B0%D0%BC%D0%B0%201974%20%D1%84%D0%B8%D0%BB%D1%8C%D0%BC","искать")</f>
        <v/>
      </c>
      <c r="N3368" s="3" t="n"/>
      <c r="O3368" s="2" t="n"/>
    </row>
    <row r="3369">
      <c r="A3369" s="2" t="n">
        <v>3368</v>
      </c>
      <c r="B3369" s="2" t="inlineStr"/>
      <c r="C3369" s="2" t="n">
        <v>11160</v>
      </c>
      <c r="D3369" s="3" t="inlineStr">
        <is>
          <t>Капитанша</t>
        </is>
      </c>
      <c r="E3369" s="2" t="n">
        <v>1987</v>
      </c>
      <c r="F3369" s="2" t="inlineStr">
        <is>
          <t>фильм-спектакль</t>
        </is>
      </c>
      <c r="G3369" s="2" t="inlineStr">
        <is>
          <t>Укртелефильм</t>
        </is>
      </c>
      <c r="H3369" s="2" t="n">
        <v>339</v>
      </c>
      <c r="I3369" s="2" t="inlineStr"/>
      <c r="J3369" s="2" t="inlineStr"/>
      <c r="K3369" s="3" t="inlineStr">
        <is>
          <t>По мотивам одноименной повести Тараса Шевченко. Путешествующий писатель однажды знакомится с удивительной женщиной, которую ее муж называет Капитанша. Писатель жаждет узнать побольше об этой женщине. Отец его друга соглашается рассказать эту удивительную историю, продолжавшуюся много лет, и в которой он принимал непосредственное участие.</t>
        </is>
      </c>
      <c r="L3369" s="2" t="inlineStr">
        <is>
          <t>https://www.kino-teatr.ru/teatr/movie/98794/annot/</t>
        </is>
      </c>
      <c r="M3369" s="2">
        <f>HYPERLINK("https://ru.wikipedia.org/w/index.php?search=%D0%9A%D0%B0%D0%BF%D0%B8%D1%82%D0%B0%D0%BD%D1%88%D0%B0%201987%20%D1%84%D0%B8%D0%BB%D1%8C%D0%BC","искать")</f>
        <v/>
      </c>
      <c r="N3369" s="3" t="n"/>
      <c r="O3369" s="2" t="n"/>
    </row>
    <row r="3370">
      <c r="A3370" s="2" t="n">
        <v>3369</v>
      </c>
      <c r="B3370" s="2" t="inlineStr"/>
      <c r="C3370" s="2" t="n">
        <v>7914</v>
      </c>
      <c r="D3370" s="3" t="inlineStr">
        <is>
          <t>Мускал</t>
        </is>
      </c>
      <c r="E3370" s="2" t="n">
        <v>1990</v>
      </c>
      <c r="F3370" s="2" t="inlineStr">
        <is>
          <t>телефильм</t>
        </is>
      </c>
      <c r="G3370" s="2" t="n"/>
      <c r="H3370" s="2" t="n">
        <v>340</v>
      </c>
      <c r="I3370" s="2" t="inlineStr"/>
      <c r="J3370" s="2" t="inlineStr"/>
      <c r="K3370" s="3" t="inlineStr">
        <is>
          <t>Телефильм. Молодой следователь Санджар ведет дела, связанные с торговлей наркотиками. Во время допроса один из задержанных неожиданно умирает. Подозрение падает на Санджара, но он продолжает расследование. Когда Санджару удается добраться до главарей, его начальник, связанный с преступным миром, добивается ареста неподкупного следователя.</t>
        </is>
      </c>
      <c r="L3370" s="2" t="inlineStr">
        <is>
          <t>Кино_СССР сводный каталог.xlsx: список телефильмов</t>
        </is>
      </c>
      <c r="M3370" s="2">
        <f>HYPERLINK("https://ru.wikipedia.org/w/index.php?search=%D0%9C%D1%83%D1%81%D0%BA%D0%B0%D0%BB%201990%20%D1%84%D0%B8%D0%BB%D1%8C%D0%BC","искать")</f>
        <v/>
      </c>
      <c r="N3370" s="3" t="n"/>
      <c r="O3370" s="2" t="n"/>
    </row>
    <row r="3371">
      <c r="A3371" s="2" t="n">
        <v>3370</v>
      </c>
      <c r="B3371" s="2" t="inlineStr"/>
      <c r="C3371" s="2" t="n">
        <v>8048</v>
      </c>
      <c r="D3371" s="3" t="inlineStr">
        <is>
          <t>Орех Кракатук</t>
        </is>
      </c>
      <c r="E3371" s="2" t="n">
        <v>1977</v>
      </c>
      <c r="F3371" s="2" t="inlineStr">
        <is>
          <t>телефильм</t>
        </is>
      </c>
      <c r="G3371" s="2" t="n"/>
      <c r="H3371" s="2" t="n">
        <v>340</v>
      </c>
      <c r="I3371" s="2" t="inlineStr"/>
      <c r="J3371" s="2" t="inlineStr"/>
      <c r="K3371" s="3" t="inlineStr">
        <is>
          <t>Музыкальный видеофильм по мотивам сказки Эрнеста Теодора Амадея Гофмана "Щелкунчик и мышиный король". С девочкой Машей в ночь перед Новым годом случается нечто прекрасное и страшное. Она попадёт в сказочное ёлочное королевство, где встретит Короля и Королеву, в которых узнает отца и мачеху, в чаще будут прятаться злобные и коварные крысы.</t>
        </is>
      </c>
      <c r="L3371" s="2" t="inlineStr">
        <is>
          <t>Кино_СССР сводный каталог.xlsx: список телефильмов</t>
        </is>
      </c>
      <c r="M3371" s="2">
        <f>HYPERLINK("https://ru.wikipedia.org/w/index.php?search=%D0%9E%D1%80%D0%B5%D1%85%20%D0%9A%D1%80%D0%B0%D0%BA%D0%B0%D1%82%D1%83%D0%BA%201977%20%D1%84%D0%B8%D0%BB%D1%8C%D0%BC","искать")</f>
        <v/>
      </c>
      <c r="N3371" s="3" t="n"/>
      <c r="O3371" s="2" t="n"/>
    </row>
    <row r="3372">
      <c r="A3372" s="2" t="n">
        <v>3371</v>
      </c>
      <c r="B3372" s="2" t="inlineStr"/>
      <c r="C3372" s="2" t="n">
        <v>8381</v>
      </c>
      <c r="D3372" s="3" t="inlineStr">
        <is>
          <t>Соломенная шляпка</t>
        </is>
      </c>
      <c r="E3372" s="2" t="n">
        <v>1974</v>
      </c>
      <c r="F3372" s="2" t="inlineStr">
        <is>
          <t>телефильм</t>
        </is>
      </c>
      <c r="G3372" s="2" t="inlineStr">
        <is>
          <t>Ленфильм</t>
        </is>
      </c>
      <c r="H3372" s="2" t="n">
        <v>340</v>
      </c>
      <c r="I3372" s="2" t="inlineStr"/>
      <c r="J3372" s="2" t="inlineStr"/>
      <c r="K3372" s="3" t="inlineStr">
        <is>
          <t>Экранизация знаменитого французского водевиля Эжена Лабиша стала одним из шедевров советской комедии. Обаятельный рантье решил жениться. А его лошадь решила съесть подвернувшуюся соломенную шляпку. Эти два решения породили целую цепь злоключений - не для лошади, разумеется, а для ее хозяина: "Или вы достанете шляпку, или свадьбы не будет.</t>
        </is>
      </c>
      <c r="L3372" s="2" t="inlineStr">
        <is>
          <t>Кино_СССР сводный каталог.xlsx: список телефильмов</t>
        </is>
      </c>
      <c r="M3372" s="2">
        <f>HYPERLINK("https://ru.wikipedia.org/w/index.php?search=%D0%A1%D0%BE%D0%BB%D0%BE%D0%BC%D0%B5%D0%BD%D0%BD%D0%B0%D1%8F%20%D1%88%D0%BB%D1%8F%D0%BF%D0%BA%D0%B0%201974%20%D1%84%D0%B8%D0%BB%D1%8C%D0%BC","искать")</f>
        <v/>
      </c>
      <c r="N3372" s="3" t="n"/>
      <c r="O3372" s="2" t="n"/>
    </row>
    <row r="3373">
      <c r="A3373" s="2" t="n">
        <v>3372</v>
      </c>
      <c r="B3373" s="2" t="inlineStr"/>
      <c r="C3373" s="2" t="n">
        <v>8512</v>
      </c>
      <c r="D3373" s="3" t="inlineStr">
        <is>
          <t>Филипп Траум</t>
        </is>
      </c>
      <c r="E3373" s="2" t="n">
        <v>1989</v>
      </c>
      <c r="F3373" s="2" t="inlineStr">
        <is>
          <t>телефильм</t>
        </is>
      </c>
      <c r="G3373" s="2" t="n"/>
      <c r="H3373" s="2" t="n">
        <v>340</v>
      </c>
      <c r="I3373" s="2" t="inlineStr"/>
      <c r="J3373" s="2" t="inlineStr"/>
      <c r="K3373" s="3" t="inlineStr">
        <is>
          <t>По мотивам повести Марка Твена «Таинственный незнакомец». В средневековом германском городке Эзельдорф появляется богатый и красивый путешественник Филипп Траум, племянник Сатаны, и пытается убедить городских мальчишек в бессмысленности добра и его бессилии перед злом... Фильм был снят целиком в Чехии в Градец-Кралове, замке Бузов (чешск.</t>
        </is>
      </c>
      <c r="L3373" s="2" t="inlineStr">
        <is>
          <t>Кино_СССР сводный каталог.xlsx: список телефильмов</t>
        </is>
      </c>
      <c r="M3373" s="2">
        <f>HYPERLINK("https://ru.wikipedia.org/w/index.php?search=%D0%A4%D0%B8%D0%BB%D0%B8%D0%BF%D0%BF%20%D0%A2%D1%80%D0%B0%D1%83%D0%BC%201989%20%D1%84%D0%B8%D0%BB%D1%8C%D0%BC","искать")</f>
        <v/>
      </c>
      <c r="N3373" s="3" t="n"/>
      <c r="O3373" s="2" t="n"/>
    </row>
    <row r="3374">
      <c r="A3374" s="2" t="n">
        <v>3373</v>
      </c>
      <c r="B3374" s="2" t="inlineStr"/>
      <c r="C3374" s="2" t="n">
        <v>8716</v>
      </c>
      <c r="D3374" s="3" t="inlineStr">
        <is>
          <t>Жажда страсти</t>
        </is>
      </c>
      <c r="E3374" s="2" t="n">
        <v>1991</v>
      </c>
      <c r="F3374" s="2" t="inlineStr">
        <is>
          <t>кинофильм</t>
        </is>
      </c>
      <c r="G3374" s="2" t="inlineStr">
        <is>
          <t>Арт-Паритет</t>
        </is>
      </c>
      <c r="H3374" s="2" t="n">
        <v>340</v>
      </c>
      <c r="I3374" s="2" t="inlineStr"/>
      <c r="J3374" s="2" t="inlineStr"/>
      <c r="K3374" s="3" t="inlineStr">
        <is>
          <t>Фильм поставлен по циклам рассказов Валерия Брюсова, объединенных названием "Земная ось": "В зеркале", "Мраморная головка", "Теперь, когда я проснулся" и др. У героини нет имени. Она - сама страсть, материализованная в своем больном воображении. Поддавшись воле своей пациентки, врач вначале влюбляется в нее, а затем становится ее убийцей.</t>
        </is>
      </c>
      <c r="L3374" s="2" t="inlineStr">
        <is>
          <t>Кино_СССР сводный каталог.xlsx: список фильмов (доп.)</t>
        </is>
      </c>
      <c r="M3374" s="2">
        <f>HYPERLINK("https://ru.wikipedia.org/w/index.php?search=%D0%96%D0%B0%D0%B6%D0%B4%D0%B0%20%D1%81%D1%82%D1%80%D0%B0%D1%81%D1%82%D0%B8%201991%20%D1%84%D0%B8%D0%BB%D1%8C%D0%BC","искать")</f>
        <v/>
      </c>
      <c r="N3374" s="3" t="n"/>
      <c r="O3374" s="2" t="n"/>
    </row>
    <row r="3375">
      <c r="A3375" s="2" t="n">
        <v>3374</v>
      </c>
      <c r="B3375" s="2" t="inlineStr"/>
      <c r="C3375" s="2" t="n">
        <v>9427</v>
      </c>
      <c r="D3375" s="3" t="inlineStr">
        <is>
          <t>Комитет Аркадия Фомича</t>
        </is>
      </c>
      <c r="E3375" s="2" t="n">
        <v>1990</v>
      </c>
      <c r="F3375" s="2" t="inlineStr">
        <is>
          <t>кинофильм</t>
        </is>
      </c>
      <c r="G3375" s="2" t="n"/>
      <c r="H3375" s="2" t="n">
        <v>340</v>
      </c>
      <c r="I3375" s="2" t="inlineStr"/>
      <c r="J3375" s="2" t="inlineStr"/>
      <c r="K3375" s="3" t="inlineStr">
        <is>
          <t>Действие этой трагикомедии разворачивается в Доме для престарелых работников КГБ. Недовольные происходящими в стране изменениями обитатели пансионата создают специальный комитет во главе с бывшим чекистом, который включается в борьбу со всем, что противоречит «социалистической морали»: рок-группами, клубом нудистов, частной торговлей и т.</t>
        </is>
      </c>
      <c r="L3375" s="2" t="inlineStr">
        <is>
          <t>Кино_СССР сводный каталог.xlsx: список фильмов (доп.)</t>
        </is>
      </c>
      <c r="M3375" s="2">
        <f>HYPERLINK("https://ru.wikipedia.org/w/index.php?search=%D0%9A%D0%BE%D0%BC%D0%B8%D1%82%D0%B5%D1%82%20%D0%90%D1%80%D0%BA%D0%B0%D0%B4%D0%B8%D1%8F%20%D0%A4%D0%BE%D0%BC%D0%B8%D1%87%D0%B0%201990%20%D1%84%D0%B8%D0%BB%D1%8C%D0%BC","искать")</f>
        <v/>
      </c>
      <c r="N3375" s="3" t="n"/>
      <c r="O3375" s="2" t="n"/>
    </row>
    <row r="3376">
      <c r="A3376" s="2" t="n">
        <v>3375</v>
      </c>
      <c r="B3376" s="2" t="inlineStr"/>
      <c r="C3376" s="2" t="n">
        <v>9430</v>
      </c>
      <c r="D3376" s="3" t="inlineStr">
        <is>
          <t>Кому на Руси жить...</t>
        </is>
      </c>
      <c r="E3376" s="2" t="n">
        <v>1989</v>
      </c>
      <c r="F3376" s="2" t="inlineStr">
        <is>
          <t>кинофильм</t>
        </is>
      </c>
      <c r="G3376" s="2" t="n"/>
      <c r="H3376" s="2" t="n">
        <v>340</v>
      </c>
      <c r="I3376" s="2" t="inlineStr"/>
      <c r="J3376" s="2" t="inlineStr"/>
      <c r="K3376" s="3" t="inlineStr">
        <is>
          <t>После окончания войны Бачурин с наградами вернулся домой, где его ждала семья и огромный сад, который он любил с детства. Но вышел указ об обложении налогом фруктовых деревьев, находящихся в частных владениях. И Бачурин загубил сад, ошпарив яблони кипятком. Так он получил свой первый большой срок... В 1953 вернулся к осиротевшим сыновьям.</t>
        </is>
      </c>
      <c r="L3376" s="2" t="inlineStr">
        <is>
          <t>Кино_СССР сводный каталог.xlsx: список фильмов (доп.)</t>
        </is>
      </c>
      <c r="M3376" s="2">
        <f>HYPERLINK("https://ru.wikipedia.org/w/index.php?search=%D0%9A%D0%BE%D0%BC%D1%83%20%D0%BD%D0%B0%20%D0%A0%D1%83%D1%81%D0%B8%20%D0%B6%D0%B8%D1%82%D1%8C...%201989%20%D1%84%D0%B8%D0%BB%D1%8C%D0%BC","искать")</f>
        <v/>
      </c>
      <c r="N3376" s="3" t="n"/>
      <c r="O3376" s="2" t="n"/>
    </row>
    <row r="3377">
      <c r="A3377" s="2" t="n">
        <v>3376</v>
      </c>
      <c r="B3377" s="2" t="inlineStr"/>
      <c r="C3377" s="2" t="n">
        <v>9777</v>
      </c>
      <c r="D3377" s="3" t="inlineStr">
        <is>
          <t>Щенок</t>
        </is>
      </c>
      <c r="E3377" s="2" t="n">
        <v>1988</v>
      </c>
      <c r="F3377" s="2" t="inlineStr">
        <is>
          <t>кинофильм</t>
        </is>
      </c>
      <c r="G3377" s="2" t="n"/>
      <c r="H3377" s="2" t="n">
        <v>340</v>
      </c>
      <c r="I3377" s="2" t="inlineStr"/>
      <c r="J3377" s="2" t="inlineStr"/>
      <c r="K3377" s="3" t="inlineStr">
        <is>
          <t>Десятиклассник Николай Ольховников жил в маленьком провинциальном городке Ольховка. Однажды он написал в редакцию центральной газеты письмо, в котором рассказал о творящихся в Ольховке безобразиях, о представителях власти, связанных между собой тесными узами коррупции и безнаказанности. Когда письмо было опубликовано, Николай стал изгоем.</t>
        </is>
      </c>
      <c r="L3377" s="2" t="inlineStr">
        <is>
          <t>Кино_СССР сводный каталог.xlsx: список фильмов (доп.)</t>
        </is>
      </c>
      <c r="M3377" s="2">
        <f>HYPERLINK("https://ru.wikipedia.org/w/index.php?search=%D0%A9%D0%B5%D0%BD%D0%BE%D0%BA%201988%20%D1%84%D0%B8%D0%BB%D1%8C%D0%BC","искать")</f>
        <v/>
      </c>
      <c r="N3377" s="3" t="n"/>
      <c r="O3377" s="2" t="n"/>
    </row>
    <row r="3378">
      <c r="A3378" s="2" t="n">
        <v>3377</v>
      </c>
      <c r="B3378" s="2" t="inlineStr"/>
      <c r="C3378" s="2" t="n">
        <v>7408</v>
      </c>
      <c r="D3378" s="3" t="inlineStr">
        <is>
          <t>Встречайте проездом</t>
        </is>
      </c>
      <c r="E3378" s="2" t="n">
        <v>1968</v>
      </c>
      <c r="F3378" s="2" t="inlineStr">
        <is>
          <t>телефильм</t>
        </is>
      </c>
      <c r="G3378" s="2" t="inlineStr">
        <is>
          <t>ТО «Экран»</t>
        </is>
      </c>
      <c r="H3378" s="2" t="n">
        <v>341</v>
      </c>
      <c r="I3378" s="2" t="inlineStr"/>
      <c r="J3378" s="2" t="inlineStr"/>
      <c r="K3378" s="3" t="inlineStr">
        <is>
          <t>Больше года переписывались солдат и путеукладчица Валя. Девушка в письмах сообщала, что будто бы работает учительницей, пыталась “присвоить” себе качества, которыми не располагала, хотя в действительности была милым, хорошим человеком. В результате, приехавший к Вале солдат, так и не узнает ее, а Валя постыдилась признаться в своем обмане.</t>
        </is>
      </c>
      <c r="L3378" s="2" t="inlineStr">
        <is>
          <t>Кино_СССР сводный каталог.xlsx: список телефильмов</t>
        </is>
      </c>
      <c r="M3378" s="2">
        <f>HYPERLINK("https://ru.wikipedia.org/w/index.php?search=%D0%92%D1%81%D1%82%D1%80%D0%B5%D1%87%D0%B0%D0%B9%D1%82%D0%B5%20%D0%BF%D1%80%D0%BE%D0%B5%D0%B7%D0%B4%D0%BE%D0%BC%201968%20%D1%84%D0%B8%D0%BB%D1%8C%D0%BC","искать")</f>
        <v/>
      </c>
      <c r="N3378" s="3" t="n"/>
      <c r="O3378" s="2" t="n"/>
    </row>
    <row r="3379">
      <c r="A3379" s="2" t="n">
        <v>3378</v>
      </c>
      <c r="B3379" s="2" t="inlineStr"/>
      <c r="C3379" s="2" t="n">
        <v>7409</v>
      </c>
      <c r="D3379" s="3" t="inlineStr">
        <is>
          <t>Встречи</t>
        </is>
      </c>
      <c r="E3379" s="2" t="n">
        <v>1978</v>
      </c>
      <c r="F3379" s="2" t="inlineStr">
        <is>
          <t>телефильм</t>
        </is>
      </c>
      <c r="G3379" s="2" t="n"/>
      <c r="H3379" s="2" t="n">
        <v>341</v>
      </c>
      <c r="I3379" s="2" t="inlineStr"/>
      <c r="J3379" s="2" t="inlineStr"/>
      <c r="K3379" s="3" t="inlineStr">
        <is>
          <t>В основе телефильма — три рассказа: «Встреча» Валентина Распутина, «Прохладное солнце осени» Юрия Трифонова и «Тряпки» С.Никитина. В рассказе Трифонова "Прозрачное солнце осени" встречаются два бывших однокурсника, выпускника Института физкультуры. Один стал крупным чиновником от спорта, живет в столице, выезжает в зарубежные командировки.</t>
        </is>
      </c>
      <c r="L3379" s="2" t="inlineStr">
        <is>
          <t>Кино_СССР сводный каталог.xlsx: список телефильмов</t>
        </is>
      </c>
      <c r="M3379" s="2">
        <f>HYPERLINK("https://ru.wikipedia.org/w/index.php?search=%D0%92%D1%81%D1%82%D1%80%D0%B5%D1%87%D0%B8%201978%20%D1%84%D0%B8%D0%BB%D1%8C%D0%BC","искать")</f>
        <v/>
      </c>
      <c r="N3379" s="3" t="n"/>
      <c r="O3379" s="2" t="n"/>
    </row>
    <row r="3380">
      <c r="A3380" s="2" t="n">
        <v>3379</v>
      </c>
      <c r="B3380" s="2" t="inlineStr"/>
      <c r="C3380" s="2" t="n">
        <v>7467</v>
      </c>
      <c r="D3380" s="3" t="inlineStr">
        <is>
          <t>Грядущему веку</t>
        </is>
      </c>
      <c r="E3380" s="2" t="n">
        <v>1985</v>
      </c>
      <c r="F3380" s="2" t="inlineStr">
        <is>
          <t>телефильм</t>
        </is>
      </c>
      <c r="G3380" s="2" t="inlineStr">
        <is>
          <t>Ленфильм</t>
        </is>
      </c>
      <c r="H3380" s="2" t="n">
        <v>341</v>
      </c>
      <c r="I3380" s="2" t="inlineStr"/>
      <c r="J3380" s="2" t="inlineStr"/>
      <c r="K3380" s="3" t="inlineStr">
        <is>
          <t>Экранизация одноименного романа Георгия Маркова. В Синегорск после беседы в ЦК КПСС приезжает молодой руководитель края Антон Соболев, избранный первым секретарём обкома партии. Он желает начать обновление кадров и оздоровление местной политики, однако с программным выступлением не спешит и просит две недели для ознакомления с делами края.</t>
        </is>
      </c>
      <c r="L3380" s="2" t="inlineStr">
        <is>
          <t>Кино_СССР сводный каталог.xlsx: список телефильмов</t>
        </is>
      </c>
      <c r="M3380" s="2">
        <f>HYPERLINK("https://ru.wikipedia.org/w/index.php?search=%D0%93%D1%80%D1%8F%D0%B4%D1%83%D1%89%D0%B5%D0%BC%D1%83%20%D0%B2%D0%B5%D0%BA%D1%83%201985%20%D1%84%D0%B8%D0%BB%D1%8C%D0%BC","искать")</f>
        <v/>
      </c>
      <c r="N3380" s="3" t="n"/>
      <c r="O3380" s="2" t="n"/>
    </row>
    <row r="3381">
      <c r="A3381" s="2" t="n">
        <v>3380</v>
      </c>
      <c r="B3381" s="2" t="inlineStr"/>
      <c r="C3381" s="2" t="n">
        <v>7942</v>
      </c>
      <c r="D3381" s="3" t="inlineStr">
        <is>
          <t>Назначение</t>
        </is>
      </c>
      <c r="E3381" s="2" t="n">
        <v>1980</v>
      </c>
      <c r="F3381" s="2" t="inlineStr">
        <is>
          <t>телефильм</t>
        </is>
      </c>
      <c r="G3381" s="2" t="n"/>
      <c r="H3381" s="2" t="n">
        <v>341</v>
      </c>
      <c r="I3381" s="2" t="inlineStr"/>
      <c r="J3381" s="2" t="inlineStr"/>
      <c r="K3381" s="3" t="inlineStr">
        <is>
          <t>Телефильм. Киноповесть по одноименной пьесе А. Володина. На место начальника, чьим жизненным кредо была личная выгода, приходит его выдвиженец Лямин (Андрей Миронов), человек умный, талантливый, но не привыкший принимать жесткие решения. Пытаясь утвердить в учреждении новые тенденции, он вынужден проявлять черты, не свойственные ему ранее.</t>
        </is>
      </c>
      <c r="L3381" s="2" t="inlineStr">
        <is>
          <t>Кино_СССР сводный каталог.xlsx: список телефильмов</t>
        </is>
      </c>
      <c r="M3381" s="2">
        <f>HYPERLINK("https://ru.wikipedia.org/w/index.php?search=%D0%9D%D0%B0%D0%B7%D0%BD%D0%B0%D1%87%D0%B5%D0%BD%D0%B8%D0%B5%201980%20%D1%84%D0%B8%D0%BB%D1%8C%D0%BC","искать")</f>
        <v/>
      </c>
      <c r="N3381" s="3" t="n"/>
      <c r="O3381" s="2" t="n"/>
    </row>
    <row r="3382">
      <c r="A3382" s="2" t="n">
        <v>3381</v>
      </c>
      <c r="B3382" s="2" t="inlineStr"/>
      <c r="C3382" s="2" t="n">
        <v>7993</v>
      </c>
      <c r="D3382" s="3" t="inlineStr">
        <is>
          <t>Несрочная весна</t>
        </is>
      </c>
      <c r="E3382" s="2" t="n">
        <v>1989</v>
      </c>
      <c r="F3382" s="2" t="inlineStr">
        <is>
          <t>телефильм</t>
        </is>
      </c>
      <c r="G3382" s="2" t="n"/>
      <c r="H3382" s="2" t="n">
        <v>341</v>
      </c>
      <c r="I3382" s="2" t="inlineStr"/>
      <c r="J3382" s="2" t="inlineStr"/>
      <c r="K3382" s="3" t="inlineStr">
        <is>
          <t>Мелодрама по мотивам произведений Ивана Бунина (рассказов "Несрочная весна", "Руся", "Князь во князьях", "Мухи", "Журавли", "Кавказ", повести "Суходол", дневниковых записей), снятая ко 120-летнему юбилею писателя. Поздним вечером 1923 года немолодой уже человек выходит из поезда на Богом забытой станции "Буяново" и идёт, куда глаза глядят.</t>
        </is>
      </c>
      <c r="L3382" s="2" t="inlineStr">
        <is>
          <t>Кино_СССР сводный каталог.xlsx: список телефильмов</t>
        </is>
      </c>
      <c r="M3382" s="2">
        <f>HYPERLINK("https://ru.wikipedia.org/w/index.php?search=%D0%9D%D0%B5%D1%81%D1%80%D0%BE%D1%87%D0%BD%D0%B0%D1%8F%20%D0%B2%D0%B5%D1%81%D0%BD%D0%B0%201989%20%D1%84%D0%B8%D0%BB%D1%8C%D0%BC","искать")</f>
        <v/>
      </c>
      <c r="N3382" s="3" t="n"/>
      <c r="O3382" s="2" t="n"/>
    </row>
    <row r="3383">
      <c r="A3383" s="2" t="n">
        <v>3382</v>
      </c>
      <c r="B3383" s="2" t="inlineStr"/>
      <c r="C3383" s="2" t="n">
        <v>8080</v>
      </c>
      <c r="D3383" s="3" t="inlineStr">
        <is>
          <t>Парень с Рабочей улицы</t>
        </is>
      </c>
      <c r="E3383" s="2" t="n">
        <v>1977</v>
      </c>
      <c r="F3383" s="2" t="inlineStr">
        <is>
          <t>телефильм</t>
        </is>
      </c>
      <c r="G3383" s="2" t="n"/>
      <c r="H3383" s="2" t="n">
        <v>341</v>
      </c>
      <c r="I3383" s="2" t="inlineStr"/>
      <c r="J3383" s="2" t="inlineStr"/>
      <c r="K3383" s="3" t="inlineStr">
        <is>
          <t>По роману А.Беляускаса "Она любила Паулюса". Только вчера они закончили гимназию. А сегодня война. В гимназии обосновалось гестапо. Молодые герои фильма заняли разную позицию. Один вчерашний гимназист пропился. Другой-Черешка пошёл на службу к немцам. Но были и такие как Повилас Гиниотис, сын рабочего, который вступил в борьбу с фашистами.</t>
        </is>
      </c>
      <c r="L3383" s="2" t="inlineStr">
        <is>
          <t>Кино_СССР сводный каталог.xlsx: список телефильмов</t>
        </is>
      </c>
      <c r="M3383" s="2">
        <f>HYPERLINK("https://ru.wikipedia.org/w/index.php?search=%D0%9F%D0%B0%D1%80%D0%B5%D0%BD%D1%8C%20%D1%81%20%D0%A0%D0%B0%D0%B1%D0%BE%D1%87%D0%B5%D0%B9%20%D1%83%D0%BB%D0%B8%D1%86%D1%8B%201977%20%D1%84%D0%B8%D0%BB%D1%8C%D0%BC","искать")</f>
        <v/>
      </c>
      <c r="N3383" s="3" t="n"/>
      <c r="O3383" s="2" t="n"/>
    </row>
    <row r="3384">
      <c r="A3384" s="2" t="n">
        <v>3383</v>
      </c>
      <c r="B3384" s="2" t="inlineStr"/>
      <c r="C3384" s="2" t="n">
        <v>8109</v>
      </c>
      <c r="D3384" s="3" t="inlineStr">
        <is>
          <t>Петька в космосе</t>
        </is>
      </c>
      <c r="E3384" s="2" t="n">
        <v>1972</v>
      </c>
      <c r="F3384" s="2" t="inlineStr">
        <is>
          <t>телефильм</t>
        </is>
      </c>
      <c r="G3384" s="2" t="n"/>
      <c r="H3384" s="2" t="n">
        <v>341</v>
      </c>
      <c r="I3384" s="2" t="inlineStr"/>
      <c r="J3384" s="2" t="inlineStr"/>
      <c r="K3384" s="3" t="inlineStr">
        <is>
          <t>Телефильм. Школьник Петя, любитель помастерить и пофантазировать, однажды соорудил космический лифт. Над ним, конечно, все посмеялись, но Петя не обиделся, а принялся за следующее изобретение — и вскоре сконструировал необычную кухню. Кухня всех привела в полный восторг, и учитель предложил послать Петю на выставку технического творчества.</t>
        </is>
      </c>
      <c r="L3384" s="2" t="inlineStr">
        <is>
          <t>Кино_СССР сводный каталог.xlsx: список телефильмов</t>
        </is>
      </c>
      <c r="M3384" s="2">
        <f>HYPERLINK("https://ru.wikipedia.org/w/index.php?search=%D0%9F%D0%B5%D1%82%D1%8C%D0%BA%D0%B0%20%D0%B2%20%D0%BA%D0%BE%D1%81%D0%BC%D0%BE%D1%81%D0%B5%201972%20%D1%84%D0%B8%D0%BB%D1%8C%D0%BC","искать")</f>
        <v/>
      </c>
      <c r="N3384" s="3" t="n"/>
      <c r="O3384" s="2" t="n"/>
    </row>
    <row r="3385">
      <c r="A3385" s="2" t="n">
        <v>3384</v>
      </c>
      <c r="B3385" s="2" t="inlineStr"/>
      <c r="C3385" s="2" t="n">
        <v>8122</v>
      </c>
      <c r="D3385" s="3" t="inlineStr">
        <is>
          <t>По семейным обстоятельствам</t>
        </is>
      </c>
      <c r="E3385" s="2" t="n">
        <v>1977</v>
      </c>
      <c r="F3385" s="2" t="inlineStr">
        <is>
          <t>телефильм</t>
        </is>
      </c>
      <c r="G3385" s="2" t="inlineStr">
        <is>
          <t>Мосфильм</t>
        </is>
      </c>
      <c r="H3385" s="2" t="n">
        <v>341</v>
      </c>
      <c r="I3385" s="2" t="inlineStr"/>
      <c r="J3385" s="2" t="inlineStr"/>
      <c r="K3385" s="3" t="inlineStr">
        <is>
          <t>Телефильм по пьесе В. Азерникова. Раньше она была просто мамой. Потом дочка вышла замуж, привела в дом супруга, и стала привлекательная и еще молодая женщина тещей, а в скором времени и бабушкой. Новое амплуа дается ей с трудом, конфликты между членами семьи учащаются. Да и в двухкомнатной квартирке с рождением внучки становится тесновато.</t>
        </is>
      </c>
      <c r="L3385" s="2" t="inlineStr">
        <is>
          <t>Кино_СССР сводный каталог.xlsx: список телефильмов</t>
        </is>
      </c>
      <c r="M3385" s="2">
        <f>HYPERLINK("https://ru.wikipedia.org/w/index.php?search=%D0%9F%D0%BE%20%D1%81%D0%B5%D0%BC%D0%B5%D0%B9%D0%BD%D1%8B%D0%BC%20%D0%BE%D0%B1%D1%81%D1%82%D0%BE%D1%8F%D1%82%D0%B5%D0%BB%D1%8C%D1%81%D1%82%D0%B2%D0%B0%D0%BC%201977%20%D1%84%D0%B8%D0%BB%D1%8C%D0%BC","искать")</f>
        <v/>
      </c>
      <c r="N3385" s="3" t="n"/>
      <c r="O3385" s="2" t="n"/>
    </row>
    <row r="3386">
      <c r="A3386" s="2" t="n">
        <v>3385</v>
      </c>
      <c r="B3386" s="2" t="inlineStr"/>
      <c r="C3386" s="2" t="n">
        <v>8578</v>
      </c>
      <c r="D3386" s="3" t="inlineStr">
        <is>
          <t>Шестеро вышли в путь</t>
        </is>
      </c>
      <c r="E3386" s="2" t="n">
        <v>1971</v>
      </c>
      <c r="F3386" s="2" t="inlineStr">
        <is>
          <t>телефильм</t>
        </is>
      </c>
      <c r="G3386" s="2" t="n"/>
      <c r="H3386" s="2" t="n">
        <v>341</v>
      </c>
      <c r="I3386" s="2" t="inlineStr"/>
      <c r="J3386" s="2" t="inlineStr"/>
      <c r="K3386" s="3" t="inlineStr">
        <is>
          <t>Трёхсерийный телефильм по одноимённому роману писателя Евгения Рысса. 1926 год. НЭП. Шестнадцатилетний Коля Николаев в надежде найти единственного родного человека, брата отца, приезжает в маленький городок Пудож, расположенный в глухом лесном краю Карелии. Неожиданно для себя он нашёл здесь замечательных друзей в «коммуне для холостяков».</t>
        </is>
      </c>
      <c r="L3386" s="2" t="inlineStr">
        <is>
          <t>Кино_СССР сводный каталог.xlsx: список телефильмов</t>
        </is>
      </c>
      <c r="M3386" s="2">
        <f>HYPERLINK("https://ru.wikipedia.org/w/index.php?search=%D0%A8%D0%B5%D1%81%D1%82%D0%B5%D1%80%D0%BE%20%D0%B2%D1%8B%D1%88%D0%BB%D0%B8%20%D0%B2%20%D0%BF%D1%83%D1%82%D1%8C%201971%20%D1%84%D0%B8%D0%BB%D1%8C%D0%BC","искать")</f>
        <v/>
      </c>
      <c r="N3386" s="3" t="n"/>
      <c r="O3386" s="2" t="n"/>
    </row>
    <row r="3387">
      <c r="A3387" s="2" t="n">
        <v>3386</v>
      </c>
      <c r="B3387" s="2" t="inlineStr"/>
      <c r="C3387" s="2" t="n">
        <v>8935</v>
      </c>
      <c r="D3387" s="3" t="inlineStr">
        <is>
          <t>По закону джунглей</t>
        </is>
      </c>
      <c r="E3387" s="2" t="n">
        <v>1991</v>
      </c>
      <c r="F3387" s="2" t="inlineStr">
        <is>
          <t>кинофильм</t>
        </is>
      </c>
      <c r="G3387" s="2" t="inlineStr">
        <is>
          <t>Совинфильм, Узбекфильм, Eagle Films, Shakfilm</t>
        </is>
      </c>
      <c r="H3387" s="2" t="n">
        <v>341</v>
      </c>
      <c r="I3387" s="2" t="inlineStr"/>
      <c r="J3387" s="2" t="inlineStr"/>
      <c r="K3387" s="3" t="inlineStr">
        <is>
          <t>Любовный "четырехугольник", главные действующие лица которого циркачка Наташа (Ирина Кушнарева), охотник, любитель-дрессировщик слона Шанкар (Митхун Чакраборти — «Гуру», «Классический танец любви»), его подруга детства, имеющая на него виды и давний ухажер Наташи. Ревность, страдания, мучения, контрабанда наркотиков и невинные приключения.</t>
        </is>
      </c>
      <c r="L3387" s="2" t="inlineStr">
        <is>
          <t>Кино_СССР сводный каталог.xlsx: список фильмов (доп.)</t>
        </is>
      </c>
      <c r="M3387" s="2">
        <f>HYPERLINK("https://ru.wikipedia.org/w/index.php?search=%D0%9F%D0%BE%20%D0%B7%D0%B0%D0%BA%D0%BE%D0%BD%D1%83%20%D0%B4%D0%B6%D1%83%D0%BD%D0%B3%D0%BB%D0%B5%D0%B9%201991%20%D1%84%D0%B8%D0%BB%D1%8C%D0%BC","искать")</f>
        <v/>
      </c>
      <c r="N3387" s="3" t="n"/>
      <c r="O3387" s="2" t="n"/>
    </row>
    <row r="3388">
      <c r="A3388" s="2" t="n">
        <v>3387</v>
      </c>
      <c r="B3388" s="2" t="inlineStr"/>
      <c r="C3388" s="2" t="n">
        <v>9037</v>
      </c>
      <c r="D3388" s="3" t="inlineStr">
        <is>
          <t>Семь дней после убийства</t>
        </is>
      </c>
      <c r="E3388" s="2" t="n">
        <v>1991</v>
      </c>
      <c r="F3388" s="2" t="inlineStr">
        <is>
          <t>кинофильм</t>
        </is>
      </c>
      <c r="G3388" s="2" t="n"/>
      <c r="H3388" s="2" t="n">
        <v>341</v>
      </c>
      <c r="I3388" s="2" t="inlineStr"/>
      <c r="J3388" s="2" t="inlineStr"/>
      <c r="K3388" s="3" t="inlineStr">
        <is>
          <t>В семье известного генерала происходит страшная трагедия: убита одна из дочерей. Ведущий дело следователь понимает, что внешне благополучная и дружная семья только кажется абсолютно счастливой. В ходе расследования выясняется, что личный шофер генерала Рауф, которого принимают в доме как родного сына, был любовником обеих замужних дочерей.</t>
        </is>
      </c>
      <c r="L3388" s="2" t="inlineStr">
        <is>
          <t>Кино_СССР сводный каталог.xlsx: список фильмов (доп.)</t>
        </is>
      </c>
      <c r="M3388" s="2">
        <f>HYPERLINK("https://ru.wikipedia.org/w/index.php?search=%D0%A1%D0%B5%D0%BC%D1%8C%20%D0%B4%D0%BD%D0%B5%D0%B9%20%D0%BF%D0%BE%D1%81%D0%BB%D0%B5%20%D1%83%D0%B1%D0%B8%D0%B9%D1%81%D1%82%D0%B2%D0%B0%201991%20%D1%84%D0%B8%D0%BB%D1%8C%D0%BC","искать")</f>
        <v/>
      </c>
      <c r="N3388" s="3" t="n"/>
      <c r="O3388" s="2" t="n"/>
    </row>
    <row r="3389">
      <c r="A3389" s="2" t="n">
        <v>3388</v>
      </c>
      <c r="B3389" s="2" t="inlineStr"/>
      <c r="C3389" s="2" t="n">
        <v>9041</v>
      </c>
      <c r="D3389" s="3" t="inlineStr">
        <is>
          <t>Серебряный возраст</t>
        </is>
      </c>
      <c r="E3389" s="2" t="n">
        <v>1983</v>
      </c>
      <c r="F3389" s="2" t="inlineStr">
        <is>
          <t>кинофильм</t>
        </is>
      </c>
      <c r="G3389" s="2" t="n"/>
      <c r="H3389" s="2" t="n">
        <v>341</v>
      </c>
      <c r="I3389" s="2" t="inlineStr"/>
      <c r="J3389" s="2" t="inlineStr"/>
      <c r="K3389" s="3" t="inlineStr">
        <is>
          <t>Фильм снят по мотивам одноименного романа Веры Малевой. Бессменно работает председателем колхоза Замфира Дума. Здесь же работает главным инженером её муж Тудор. Они часто ссорятся из-за постоянных производственных конфликтов. Однажды, не посоветовавшись с женой, Тудор принимает предложение стать директором соседнего колхоза и уезжает туда.</t>
        </is>
      </c>
      <c r="L3389" s="2" t="inlineStr">
        <is>
          <t>Кино_СССР сводный каталог.xlsx: список фильмов (доп.)</t>
        </is>
      </c>
      <c r="M3389" s="2">
        <f>HYPERLINK("https://ru.wikipedia.org/w/index.php?search=%D0%A1%D0%B5%D1%80%D0%B5%D0%B1%D1%80%D1%8F%D0%BD%D1%8B%D0%B9%20%D0%B2%D0%BE%D0%B7%D1%80%D0%B0%D1%81%D1%82%201983%20%D1%84%D0%B8%D0%BB%D1%8C%D0%BC","искать")</f>
        <v/>
      </c>
      <c r="N3389" s="3" t="n"/>
      <c r="O3389" s="2" t="n"/>
    </row>
    <row r="3390">
      <c r="A3390" s="2" t="n">
        <v>3389</v>
      </c>
      <c r="B3390" s="2" t="inlineStr"/>
      <c r="C3390" s="2" t="n">
        <v>9267</v>
      </c>
      <c r="D3390" s="3" t="inlineStr">
        <is>
          <t>Вербовщик</t>
        </is>
      </c>
      <c r="E3390" s="2" t="n">
        <v>1991</v>
      </c>
      <c r="F3390" s="2" t="inlineStr">
        <is>
          <t>кинофильм</t>
        </is>
      </c>
      <c r="G3390" s="2" t="n"/>
      <c r="H3390" s="2" t="n">
        <v>341</v>
      </c>
      <c r="I3390" s="2" t="inlineStr"/>
      <c r="J3390" s="2" t="inlineStr"/>
      <c r="K3390" s="3" t="inlineStr">
        <is>
          <t>Остросюжетный детектив. В начале 70-х самолет военного летчика Олега Зорова был сбит во время войны на Ближнем Востоке. Лётчик остался жив, но в бессознательном состоянии попал в плен. Друзья считали его погибшим. Двадцать лет Зоров работал на ЦРУ, и вот спустя годы он возвращается на родину как гражданин США под именем Алекса Фреда Келли.</t>
        </is>
      </c>
      <c r="L3390" s="2" t="inlineStr">
        <is>
          <t>Кино_СССР сводный каталог.xlsx: список фильмов (доп.)</t>
        </is>
      </c>
      <c r="M3390" s="2">
        <f>HYPERLINK("https://ru.wikipedia.org/w/index.php?search=%D0%92%D0%B5%D1%80%D0%B1%D0%BE%D0%B2%D1%89%D0%B8%D0%BA%201991%20%D1%84%D0%B8%D0%BB%D1%8C%D0%BC","искать")</f>
        <v/>
      </c>
      <c r="N3390" s="3" t="n"/>
      <c r="O3390" s="2" t="n"/>
    </row>
    <row r="3391">
      <c r="A3391" s="2" t="n">
        <v>3390</v>
      </c>
      <c r="B3391" s="2" t="inlineStr"/>
      <c r="C3391" s="2" t="n">
        <v>9339</v>
      </c>
      <c r="D3391" s="3" t="inlineStr">
        <is>
          <t>Дитя человеческое</t>
        </is>
      </c>
      <c r="E3391" s="2" t="n">
        <v>1991</v>
      </c>
      <c r="F3391" s="2" t="inlineStr">
        <is>
          <t>кинофильм</t>
        </is>
      </c>
      <c r="G3391" s="2" t="n"/>
      <c r="H3391" s="2" t="n">
        <v>341</v>
      </c>
      <c r="I3391" s="2" t="inlineStr"/>
      <c r="J3391" s="2" t="inlineStr"/>
      <c r="K3391" s="3" t="inlineStr">
        <is>
          <t>По одноименному роману Яниса Клидзейса. Мальчик, влюбленный в молодую женщину, которая в шутку называет его своим "маленьким женихом" и клянется в вечной верности, воспринимает все всерьез. А у нее есть настоящий жених. За которого она выходит замуж. Из-за этого возникают удивительные, комические, драматические и даже трагические ситуации.</t>
        </is>
      </c>
      <c r="L3391" s="2" t="inlineStr">
        <is>
          <t>Кино_СССР сводный каталог.xlsx: список фильмов (доп.)</t>
        </is>
      </c>
      <c r="M3391" s="2">
        <f>HYPERLINK("https://ru.wikipedia.org/w/index.php?search=%D0%94%D0%B8%D1%82%D1%8F%20%D1%87%D0%B5%D0%BB%D0%BE%D0%B2%D0%B5%D1%87%D0%B5%D1%81%D0%BA%D0%BE%D0%B5%201991%20%D1%84%D0%B8%D0%BB%D1%8C%D0%BC","искать")</f>
        <v/>
      </c>
      <c r="N3391" s="3" t="n"/>
      <c r="O3391" s="2" t="n"/>
    </row>
    <row r="3392">
      <c r="A3392" s="2" t="n">
        <v>3391</v>
      </c>
      <c r="B3392" s="2" t="inlineStr"/>
      <c r="C3392" s="2" t="n">
        <v>9372</v>
      </c>
      <c r="D3392" s="3" t="inlineStr">
        <is>
          <t>Запретная зона</t>
        </is>
      </c>
      <c r="E3392" s="2" t="n">
        <v>1988</v>
      </c>
      <c r="F3392" s="2" t="inlineStr">
        <is>
          <t>кинофильм</t>
        </is>
      </c>
      <c r="G3392" s="2" t="n"/>
      <c r="H3392" s="2" t="n">
        <v>341</v>
      </c>
      <c r="I3392" s="2" t="inlineStr"/>
      <c r="J3392" s="2" t="inlineStr"/>
      <c r="K3392" s="3" t="inlineStr">
        <is>
          <t>Центральная Россия. Заместителю председателя райисполкома Третьяковой поручено организовать работу по ликвидации последствий смерча, внезапно обрушившегося на село. Ей приходится смириться с равнодушием дачников из соседнего поселка, нетронутого бедствием. Полагаясь на собственный опыт и волю пострадавших, Третьякова сделает все возможное.</t>
        </is>
      </c>
      <c r="L3392" s="2" t="inlineStr">
        <is>
          <t>Кино_СССР сводный каталог.xlsx: список фильмов (доп.)</t>
        </is>
      </c>
      <c r="M3392" s="2">
        <f>HYPERLINK("https://ru.wikipedia.org/w/index.php?search=%D0%97%D0%B0%D0%BF%D1%80%D0%B5%D1%82%D0%BD%D0%B0%D1%8F%20%D0%B7%D0%BE%D0%BD%D0%B0%201988%20%D1%84%D0%B8%D0%BB%D1%8C%D0%BC","искать")</f>
        <v/>
      </c>
      <c r="N3392" s="3" t="n"/>
      <c r="O3392" s="2" t="n"/>
    </row>
    <row r="3393">
      <c r="A3393" s="2" t="n">
        <v>3392</v>
      </c>
      <c r="B3393" s="2" t="inlineStr"/>
      <c r="C3393" s="2" t="n">
        <v>9510</v>
      </c>
      <c r="D3393" s="3" t="inlineStr">
        <is>
          <t>Ничего не случилось</t>
        </is>
      </c>
      <c r="E3393" s="2" t="n">
        <v>1989</v>
      </c>
      <c r="F3393" s="2" t="inlineStr">
        <is>
          <t>кинофильм</t>
        </is>
      </c>
      <c r="G3393" s="2" t="n"/>
      <c r="H3393" s="2" t="n">
        <v>341</v>
      </c>
      <c r="I3393" s="2" t="inlineStr"/>
      <c r="J3393" s="2" t="inlineStr"/>
      <c r="K3393" s="3" t="inlineStr">
        <is>
          <t>По мотивам повести Байрама Абдуллаева «Звездный дождь». Сотрудник КГБ Галканов прибывает в одну из европейских стран с целью выяснить — каким образом в заграничные банки попадают на хранение золотые монеты от высокопоставленных лиц из СССР. Галканов выходит на коррумпированное руководство своей республики — и вскоре отзывается в Туркмению.</t>
        </is>
      </c>
      <c r="L3393" s="2" t="inlineStr">
        <is>
          <t>Кино_СССР сводный каталог.xlsx: список фильмов (доп.)</t>
        </is>
      </c>
      <c r="M3393" s="2">
        <f>HYPERLINK("https://ru.wikipedia.org/w/index.php?search=%D0%9D%D0%B8%D1%87%D0%B5%D0%B3%D0%BE%20%D0%BD%D0%B5%20%D1%81%D0%BB%D1%83%D1%87%D0%B8%D0%BB%D0%BE%D1%81%D1%8C%201989%20%D1%84%D0%B8%D0%BB%D1%8C%D0%BC","искать")</f>
        <v/>
      </c>
      <c r="N3393" s="3" t="n"/>
      <c r="O3393" s="2" t="n"/>
    </row>
    <row r="3394">
      <c r="A3394" s="2" t="n">
        <v>3393</v>
      </c>
      <c r="B3394" s="2" t="inlineStr"/>
      <c r="C3394" s="2" t="n">
        <v>9540</v>
      </c>
      <c r="D3394" s="3" t="inlineStr">
        <is>
          <t>Очищение</t>
        </is>
      </c>
      <c r="E3394" s="2" t="n">
        <v>1990</v>
      </c>
      <c r="F3394" s="2" t="inlineStr">
        <is>
          <t>кинофильм</t>
        </is>
      </c>
      <c r="G3394" s="2" t="n"/>
      <c r="H3394" s="2" t="n">
        <v>341</v>
      </c>
      <c r="I3394" s="2" t="inlineStr"/>
      <c r="J3394" s="2" t="inlineStr"/>
      <c r="K3394" s="3" t="inlineStr">
        <is>
          <t>Фильм снят по произведению Л.Андреева "Жизнь Василия Фивейского", где с исключительной силой звучит богоборческая тема, гневный протест против слепого подчинения "высшей" власти. Несчастья, обрушивающиеся на отца Василия, нарушают меру возможного: у него тонет в реке сын, второй рождается идиотом, пьяная жена поджигает дом и сгорает в нем.</t>
        </is>
      </c>
      <c r="L3394" s="2" t="inlineStr">
        <is>
          <t>Кино_СССР сводный каталог.xlsx: список фильмов (доп.)</t>
        </is>
      </c>
      <c r="M3394" s="2">
        <f>HYPERLINK("https://ru.wikipedia.org/w/index.php?search=%D0%9E%D1%87%D0%B8%D1%89%D0%B5%D0%BD%D0%B8%D0%B5%201990%20%D1%84%D0%B8%D0%BB%D1%8C%D0%BC","искать")</f>
        <v/>
      </c>
      <c r="N3394" s="3" t="n"/>
      <c r="O3394" s="2" t="n"/>
    </row>
    <row r="3395">
      <c r="A3395" s="2" t="n">
        <v>3394</v>
      </c>
      <c r="B3395" s="2" t="inlineStr"/>
      <c r="C3395" s="2" t="n">
        <v>9628</v>
      </c>
      <c r="D3395" s="3" t="inlineStr">
        <is>
          <t>Сатана</t>
        </is>
      </c>
      <c r="E3395" s="2" t="n">
        <v>1990</v>
      </c>
      <c r="F3395" s="2" t="inlineStr">
        <is>
          <t>кинофильм</t>
        </is>
      </c>
      <c r="G3395" s="2" t="inlineStr">
        <is>
          <t>Ленфильм</t>
        </is>
      </c>
      <c r="H3395" s="2" t="n">
        <v>341</v>
      </c>
      <c r="I3395" s="2" t="inlineStr"/>
      <c r="J3395" s="2" t="inlineStr"/>
      <c r="K3395" s="3" t="inlineStr">
        <is>
          <t>У председателя горисполкома - Алены Павловны - похищают дочь. Преступление совершает с виду симпатичный молодой человек по имени Виталий, ранее работавший курьером в горисполкоме, а помогает мерзавцу родной дедушка. Похитив девочку, Виталий тут же ее убивает. Однако за возвращение ребенка они с дедом все же требуют крупную сумму от матери.</t>
        </is>
      </c>
      <c r="L3395" s="2" t="inlineStr">
        <is>
          <t>Кино_СССР сводный каталог.xlsx: список фильмов (доп.)</t>
        </is>
      </c>
      <c r="M3395" s="2">
        <f>HYPERLINK("https://ru.wikipedia.org/w/index.php?search=%D0%A1%D0%B0%D1%82%D0%B0%D0%BD%D0%B0%201990%20%D1%84%D0%B8%D0%BB%D1%8C%D0%BC","искать")</f>
        <v/>
      </c>
      <c r="N3395" s="3" t="n"/>
      <c r="O3395" s="2" t="n"/>
    </row>
    <row r="3396">
      <c r="A3396" s="2" t="n">
        <v>3395</v>
      </c>
      <c r="B3396" s="2" t="inlineStr"/>
      <c r="C3396" s="2" t="n">
        <v>8229</v>
      </c>
      <c r="D3396" s="3" t="inlineStr">
        <is>
          <t>Проделки сорванца</t>
        </is>
      </c>
      <c r="E3396" s="2" t="n">
        <v>1985</v>
      </c>
      <c r="F3396" s="2" t="inlineStr">
        <is>
          <t>телефильм</t>
        </is>
      </c>
      <c r="G3396" s="2" t="n"/>
      <c r="H3396" s="2" t="n">
        <v>342</v>
      </c>
      <c r="I3396" s="2" t="inlineStr"/>
      <c r="J3396" s="2" t="inlineStr"/>
      <c r="K3396" s="3" t="inlineStr">
        <is>
          <t>Телефильм по мотивам книги Астрид Линдгрен «Проделки Эмиля». Герой фильма - добрый, жизнерадостный и проказливый мальчик Эмиль. Он очень любит свою семью: любознательную сестренку Иду, вечно занятого отца и ласковую маму. Заботливый сын, он всегда старается избавить своих домочадцем от лишних забот, а что из этого получается - решайте сами.</t>
        </is>
      </c>
      <c r="L3396" s="2" t="inlineStr">
        <is>
          <t>Кино_СССР сводный каталог.xlsx: список телефильмов</t>
        </is>
      </c>
      <c r="M3396" s="2">
        <f>HYPERLINK("https://ru.wikipedia.org/w/index.php?search=%D0%9F%D1%80%D0%BE%D0%B4%D0%B5%D0%BB%D0%BA%D0%B8%20%D1%81%D0%BE%D1%80%D0%B2%D0%B0%D0%BD%D1%86%D0%B0%201985%20%D1%84%D0%B8%D0%BB%D1%8C%D0%BC","искать")</f>
        <v/>
      </c>
      <c r="N3396" s="3" t="n"/>
      <c r="O3396" s="2" t="n"/>
    </row>
    <row r="3397">
      <c r="A3397" s="2" t="n">
        <v>3396</v>
      </c>
      <c r="B3397" s="2" t="inlineStr"/>
      <c r="C3397" s="2" t="n">
        <v>8279</v>
      </c>
      <c r="D3397" s="3" t="inlineStr">
        <is>
          <t>Родной дом</t>
        </is>
      </c>
      <c r="E3397" s="2" t="n">
        <v>1973</v>
      </c>
      <c r="F3397" s="2" t="inlineStr">
        <is>
          <t>телефильм</t>
        </is>
      </c>
      <c r="G3397" s="2" t="n"/>
      <c r="H3397" s="2" t="n">
        <v>342</v>
      </c>
      <c r="I3397" s="2" t="inlineStr"/>
      <c r="J3397" s="2" t="inlineStr"/>
      <c r="K3397" s="3" t="inlineStr">
        <is>
          <t>По мотивам романа Анны Лупан "Третьи петухи". В семье потомственного хлебороба Ариона Карамана выросли четыре дочери. Их думами и заботами живет Арион, хотя и не может согласиться со многим, что происходит в их жизни. Особая духовная тонкость Ариона куда-то исчезает, когда он узнает о любви своей дочери Иляны к цыганскому пареньку Микандру.</t>
        </is>
      </c>
      <c r="L3397" s="2" t="inlineStr">
        <is>
          <t>Кино_СССР сводный каталог.xlsx: список телефильмов</t>
        </is>
      </c>
      <c r="M3397" s="2">
        <f>HYPERLINK("https://ru.wikipedia.org/w/index.php?search=%D0%A0%D0%BE%D0%B4%D0%BD%D0%BE%D0%B9%20%D0%B4%D0%BE%D0%BC%201973%20%D1%84%D0%B8%D0%BB%D1%8C%D0%BC","искать")</f>
        <v/>
      </c>
      <c r="N3397" s="3" t="n"/>
      <c r="O3397" s="2" t="n"/>
    </row>
    <row r="3398">
      <c r="A3398" s="2" t="n">
        <v>3397</v>
      </c>
      <c r="B3398" s="2" t="inlineStr"/>
      <c r="C3398" s="2" t="n">
        <v>8878</v>
      </c>
      <c r="D3398" s="3" t="inlineStr">
        <is>
          <t>Номер люкс для генерала с девочкой</t>
        </is>
      </c>
      <c r="E3398" s="2" t="n">
        <v>1991</v>
      </c>
      <c r="F3398" s="2" t="inlineStr">
        <is>
          <t>кинофильм</t>
        </is>
      </c>
      <c r="G3398" s="2" t="n"/>
      <c r="H3398" s="2" t="n">
        <v>342</v>
      </c>
      <c r="I3398" s="2" t="inlineStr"/>
      <c r="J3398" s="2" t="inlineStr"/>
      <c r="K3398" s="3" t="inlineStr">
        <is>
          <t>История путешествия старого карточного шулера Коти Бристоля и пятнадцатилетней Люськи, случайно составившей ему компанию... Человек он оказался добрый, и Люся вскоре стала называть его дедушкой. Они вместе поехали в Ялту, как говорил Котя, "на игру". Но работа шулера опасна, и нашлись люди, которые очень не прочь "попросить" его поделиться.</t>
        </is>
      </c>
      <c r="L3398" s="2" t="inlineStr">
        <is>
          <t>Кино_СССР сводный каталог.xlsx: список фильмов (доп.)</t>
        </is>
      </c>
      <c r="M3398" s="2">
        <f>HYPERLINK("https://ru.wikipedia.org/w/index.php?search=%D0%9D%D0%BE%D0%BC%D0%B5%D1%80%20%D0%BB%D1%8E%D0%BA%D1%81%20%D0%B4%D0%BB%D1%8F%20%D0%B3%D0%B5%D0%BD%D0%B5%D1%80%D0%B0%D0%BB%D0%B0%20%D1%81%20%D0%B4%D0%B5%D0%B2%D0%BE%D1%87%D0%BA%D0%BE%D0%B9%201991%20%D1%84%D0%B8%D0%BB%D1%8C%D0%BC","искать")</f>
        <v/>
      </c>
      <c r="N3398" s="3" t="n"/>
      <c r="O3398" s="2" t="n"/>
    </row>
    <row r="3399">
      <c r="A3399" s="2" t="n">
        <v>3398</v>
      </c>
      <c r="B3399" s="2" t="inlineStr"/>
      <c r="C3399" s="2" t="n">
        <v>8889</v>
      </c>
      <c r="D3399" s="3" t="inlineStr">
        <is>
          <t>Обручальное кольцо</t>
        </is>
      </c>
      <c r="E3399" s="2" t="n">
        <v>1991</v>
      </c>
      <c r="F3399" s="2" t="inlineStr">
        <is>
          <t>кинофильм</t>
        </is>
      </c>
      <c r="G3399" s="2" t="n"/>
      <c r="H3399" s="2" t="n">
        <v>342</v>
      </c>
      <c r="I3399" s="2" t="inlineStr"/>
      <c r="J3399" s="2" t="inlineStr"/>
      <c r="K3399" s="3" t="inlineStr">
        <is>
          <t>По мотивам одноименной пьесы Вагифа Самедоглу. В фильме рассказывается о летних дачных приключениях семей, собравшихся из разных слоев общества. Они очень разные, и в каждой семье есть свой взгляд на мир. Поэтому, на протяжении всего фильма мы наблюдаем комические и смешные сценки, в которые попадают эти семьи, из-за отношения друг к другу.</t>
        </is>
      </c>
      <c r="L3399" s="2" t="inlineStr">
        <is>
          <t>Кино_СССР сводный каталог.xlsx: список фильмов (доп.)</t>
        </is>
      </c>
      <c r="M3399" s="2">
        <f>HYPERLINK("https://ru.wikipedia.org/w/index.php?search=%D0%9E%D0%B1%D1%80%D1%83%D1%87%D0%B0%D0%BB%D1%8C%D0%BD%D0%BE%D0%B5%20%D0%BA%D0%BE%D0%BB%D1%8C%D1%86%D0%BE%201991%20%D1%84%D0%B8%D0%BB%D1%8C%D0%BC","искать")</f>
        <v/>
      </c>
      <c r="N3399" s="3" t="n"/>
      <c r="O3399" s="2" t="n"/>
    </row>
    <row r="3400">
      <c r="A3400" s="2" t="n">
        <v>3399</v>
      </c>
      <c r="B3400" s="2" t="inlineStr"/>
      <c r="C3400" s="2" t="n">
        <v>9462</v>
      </c>
      <c r="D3400" s="3" t="inlineStr">
        <is>
          <t>Люк</t>
        </is>
      </c>
      <c r="E3400" s="2" t="n">
        <v>1991</v>
      </c>
      <c r="F3400" s="2" t="inlineStr">
        <is>
          <t>кинофильм</t>
        </is>
      </c>
      <c r="G3400" s="2" t="n"/>
      <c r="H3400" s="2" t="n">
        <v>342</v>
      </c>
      <c r="I3400" s="2" t="inlineStr"/>
      <c r="J3400" s="2" t="inlineStr"/>
      <c r="K3400" s="3" t="inlineStr">
        <is>
          <t>Молодой бомж Люк не собирается подчиняться законам, установленным его же коллегами-бомжами, а также произволу прораба, когда попадает на принудительные работы. Но только сопротивление себе подобным ничего не дает Люку: без жилья и средств существования, и, наконец, без элементарных прав защиты личности он уже не видит просвета в этой жизни.</t>
        </is>
      </c>
      <c r="L3400" s="2" t="inlineStr">
        <is>
          <t>Кино_СССР сводный каталог.xlsx: список фильмов (доп.)</t>
        </is>
      </c>
      <c r="M3400" s="2">
        <f>HYPERLINK("https://ru.wikipedia.org/w/index.php?search=%D0%9B%D1%8E%D0%BA%201991%20%D1%84%D0%B8%D0%BB%D1%8C%D0%BC","искать")</f>
        <v/>
      </c>
      <c r="N3400" s="3" t="n"/>
      <c r="O3400" s="2" t="n"/>
    </row>
    <row r="3401">
      <c r="A3401" s="2" t="n">
        <v>3400</v>
      </c>
      <c r="B3401" s="2" t="inlineStr"/>
      <c r="C3401" s="2" t="n">
        <v>9581</v>
      </c>
      <c r="D3401" s="3" t="inlineStr">
        <is>
          <t>Презумпция невиновности</t>
        </is>
      </c>
      <c r="E3401" s="2" t="n">
        <v>1988</v>
      </c>
      <c r="F3401" s="2" t="inlineStr">
        <is>
          <t>кинофильм</t>
        </is>
      </c>
      <c r="G3401" s="2" t="n"/>
      <c r="H3401" s="2" t="n">
        <v>342</v>
      </c>
      <c r="I3401" s="2" t="inlineStr"/>
      <c r="J3401" s="2" t="inlineStr"/>
      <c r="K3401" s="3" t="inlineStr">
        <is>
          <t>У одной из пассажирок спального вагона "Красной стрелы" (Москва-Ленинград) пропадает пиджак, а вместе с ним и заграничный паспорт, по которому эстрадная звезда должна уехать за рубеж на гастроли. Два безбилетных пассажира, направляющиеся в Ленинград на учебу (повышение квалификации) выдают себя за сотрудников милиции и начинают "следствие".</t>
        </is>
      </c>
      <c r="L3401" s="2" t="inlineStr">
        <is>
          <t>Кино_СССР сводный каталог.xlsx: список фильмов (доп.)</t>
        </is>
      </c>
      <c r="M3401" s="2">
        <f>HYPERLINK("https://ru.wikipedia.org/w/index.php?search=%D0%9F%D1%80%D0%B5%D0%B7%D1%83%D0%BC%D0%BF%D1%86%D0%B8%D1%8F%20%D0%BD%D0%B5%D0%B2%D0%B8%D0%BD%D0%BE%D0%B2%D0%BD%D0%BE%D1%81%D1%82%D0%B8%201988%20%D1%84%D0%B8%D0%BB%D1%8C%D0%BC","искать")</f>
        <v/>
      </c>
      <c r="N3401" s="3" t="n"/>
      <c r="O3401" s="2" t="n"/>
    </row>
    <row r="3402">
      <c r="A3402" s="2" t="n">
        <v>3401</v>
      </c>
      <c r="B3402" s="2" t="inlineStr"/>
      <c r="C3402" s="2" t="n">
        <v>9655</v>
      </c>
      <c r="D3402" s="3" t="inlineStr">
        <is>
          <t>Смиренное кладбище</t>
        </is>
      </c>
      <c r="E3402" s="2" t="n">
        <v>1989</v>
      </c>
      <c r="F3402" s="2" t="inlineStr">
        <is>
          <t>кинофильм</t>
        </is>
      </c>
      <c r="G3402" s="2" t="n"/>
      <c r="H3402" s="2" t="n">
        <v>342</v>
      </c>
      <c r="I3402" s="2" t="inlineStr"/>
      <c r="J3402" s="2" t="inlineStr"/>
      <c r="K3402" s="3" t="inlineStr">
        <is>
          <t>По одноименной повести Сергея Каледина. Директором одного из кладбищ была продана под новое захоронение старая могила. Место это находилось рядом с могилой декабриста и было определено под мемориал. Выкопать новую могилу директор поручает Алексею Воробьеву по прозвищу Воробей. Когда началось выяснение инцидента, всю вину свалили на Воробья.</t>
        </is>
      </c>
      <c r="L3402" s="2" t="inlineStr">
        <is>
          <t>Кино_СССР сводный каталог.xlsx: список фильмов (доп.)</t>
        </is>
      </c>
      <c r="M3402" s="2">
        <f>HYPERLINK("https://ru.wikipedia.org/w/index.php?search=%D0%A1%D0%BC%D0%B8%D1%80%D0%B5%D0%BD%D0%BD%D0%BE%D0%B5%20%D0%BA%D0%BB%D0%B0%D0%B4%D0%B1%D0%B8%D1%89%D0%B5%201989%20%D1%84%D0%B8%D0%BB%D1%8C%D0%BC","искать")</f>
        <v/>
      </c>
      <c r="N3402" s="3" t="n"/>
      <c r="O3402" s="2" t="n"/>
    </row>
    <row r="3403">
      <c r="A3403" s="2" t="n">
        <v>3402</v>
      </c>
      <c r="B3403" s="2" t="inlineStr"/>
      <c r="C3403" s="2" t="n">
        <v>9839</v>
      </c>
      <c r="D3403" s="3" t="inlineStr">
        <is>
          <t>Зареченские женихи</t>
        </is>
      </c>
      <c r="E3403" s="2" t="n">
        <v>1967</v>
      </c>
      <c r="F3403" s="2" t="inlineStr">
        <is>
          <t>телефильм</t>
        </is>
      </c>
      <c r="G3403" s="2" t="inlineStr">
        <is>
          <t>Мосфильм</t>
        </is>
      </c>
      <c r="H3403" s="2" t="n">
        <v>342</v>
      </c>
      <c r="I3403" s="2" t="inlineStr"/>
      <c r="J3403" s="2" t="inlineStr"/>
      <c r="K3403" s="3" t="inlineStr">
        <is>
          <t>Телефильм по мотивам одноименного рассказа А.Леонова.
Известный сельский ловелас Пётр Бычков наконец-то решается жениться, превратно и самонадеянно истолковав Танины слова и засылает к невесте сватов, но... получает "от ворот-поворот", так как сердце Таньки уже отдано колхозному шоферу Мишке, с которым она и сбегает на санях сватов из дому.</t>
        </is>
      </c>
      <c r="L3403" s="2" t="inlineStr">
        <is>
          <t>https://www.kino-teatr.ru/short/movie/sov/2398/annot/</t>
        </is>
      </c>
      <c r="M3403" s="2">
        <f>HYPERLINK("https://ru.wikipedia.org/w/index.php?search=%D0%97%D0%B0%D1%80%D0%B5%D1%87%D0%B5%D0%BD%D1%81%D0%BA%D0%B8%D0%B5%20%D0%B6%D0%B5%D0%BD%D0%B8%D1%85%D0%B8%201967%20%D1%84%D0%B8%D0%BB%D1%8C%D0%BC","искать")</f>
        <v/>
      </c>
      <c r="N3403" s="3" t="n"/>
      <c r="O3403" s="2" t="n"/>
    </row>
    <row r="3404">
      <c r="A3404" s="2" t="n">
        <v>3403</v>
      </c>
      <c r="B3404" s="2" t="inlineStr"/>
      <c r="C3404" s="2" t="n">
        <v>7245</v>
      </c>
      <c r="D3404" s="3" t="inlineStr">
        <is>
          <t>Белый квадрат</t>
        </is>
      </c>
      <c r="E3404" s="2" t="n">
        <v>1970</v>
      </c>
      <c r="F3404" s="2" t="inlineStr">
        <is>
          <t>телефильм</t>
        </is>
      </c>
      <c r="G3404" s="2" t="inlineStr">
        <is>
          <t>Казахфильм</t>
        </is>
      </c>
      <c r="H3404" s="2" t="n">
        <v>343</v>
      </c>
      <c r="I3404" s="2" t="inlineStr"/>
      <c r="J3404" s="2" t="inlineStr"/>
      <c r="K3404" s="3" t="inlineStr">
        <is>
          <t>В телефильме рассказано о жизни молодого советского парня, по имени Куат. Его, выходца из далекого аула, отличают целеустремленность и серьезное отношение к учебе в ветеринарном институте, собственному увлечению боксом, в котором он добивается немалых успехов, и к жизни вообще. Вокруг него прекрасные люди, которые оказывают ему немало добра.</t>
        </is>
      </c>
      <c r="L3404" s="2" t="inlineStr">
        <is>
          <t>Кино_СССР сводный каталог.xlsx: список телефильмов</t>
        </is>
      </c>
      <c r="M3404" s="2">
        <f>HYPERLINK("https://ru.wikipedia.org/w/index.php?search=%D0%91%D0%B5%D0%BB%D1%8B%D0%B9%20%D0%BA%D0%B2%D0%B0%D0%B4%D1%80%D0%B0%D1%82%201970%20%D1%84%D0%B8%D0%BB%D1%8C%D0%BC","искать")</f>
        <v/>
      </c>
      <c r="N3404" s="3" t="n"/>
      <c r="O3404" s="2" t="n"/>
    </row>
    <row r="3405">
      <c r="A3405" s="2" t="n">
        <v>3404</v>
      </c>
      <c r="B3405" s="2" t="inlineStr"/>
      <c r="C3405" s="2" t="n">
        <v>7981</v>
      </c>
      <c r="D3405" s="3" t="inlineStr">
        <is>
          <t>Некалендарный матч</t>
        </is>
      </c>
      <c r="E3405" s="2" t="n">
        <v>1972</v>
      </c>
      <c r="F3405" s="2" t="inlineStr">
        <is>
          <t>телефильм</t>
        </is>
      </c>
      <c r="G3405" s="2" t="n"/>
      <c r="H3405" s="2" t="n">
        <v>343</v>
      </c>
      <c r="I3405" s="2" t="inlineStr"/>
      <c r="J3405" s="2" t="inlineStr"/>
      <c r="K3405" s="3" t="inlineStr">
        <is>
          <t>Футбольная команда высшей лиги приезжает из Ташкента в поселок Солнечный для проведения товарищеского матча с командой геологов-буровиков. В команде мастеров играет Анвар - геолог по образованию. В Солнечном он встречает свою бывшую сокурсницу Гулю, которую любил в студенческие годы. Гуля убеждает Анвара вернуться к своей основной профессии.</t>
        </is>
      </c>
      <c r="L3405" s="2" t="inlineStr">
        <is>
          <t>Кино_СССР сводный каталог.xlsx: список телефильмов</t>
        </is>
      </c>
      <c r="M3405" s="2">
        <f>HYPERLINK("https://ru.wikipedia.org/w/index.php?search=%D0%9D%D0%B5%D0%BA%D0%B0%D0%BB%D0%B5%D0%BD%D0%B4%D0%B0%D1%80%D0%BD%D1%8B%D0%B9%20%D0%BC%D0%B0%D1%82%D1%87%201972%20%D1%84%D0%B8%D0%BB%D1%8C%D0%BC","искать")</f>
        <v/>
      </c>
      <c r="N3405" s="3" t="n"/>
      <c r="O3405" s="2" t="n"/>
    </row>
    <row r="3406">
      <c r="A3406" s="2" t="n">
        <v>3405</v>
      </c>
      <c r="B3406" s="2" t="inlineStr"/>
      <c r="C3406" s="2" t="n">
        <v>8022</v>
      </c>
      <c r="D3406" s="3" t="inlineStr">
        <is>
          <t>Обратной дороги нет</t>
        </is>
      </c>
      <c r="E3406" s="2" t="n">
        <v>1970</v>
      </c>
      <c r="F3406" s="2" t="inlineStr">
        <is>
          <t>телефильм</t>
        </is>
      </c>
      <c r="G3406" s="2" t="inlineStr">
        <is>
          <t>к/с им. Довженко</t>
        </is>
      </c>
      <c r="H3406" s="2" t="n">
        <v>343</v>
      </c>
      <c r="I3406" s="2" t="inlineStr"/>
      <c r="J3406" s="2" t="inlineStr"/>
      <c r="K3406" s="3" t="inlineStr">
        <is>
          <t>Телефильм. Великая Отечественная война. Октябрь 1943 года. Майор Красной Армии Топорков, совершив побег из концлагеря, попадает в партизанский отряд. Он передаёт командиру отряда просьбу заключённых: в лагере готовится восстание, необходимо оружие. Командир отряда принимает решение отправить в помощь восставшим обоз с оружием и боеприпасами.</t>
        </is>
      </c>
      <c r="L3406" s="2" t="inlineStr">
        <is>
          <t>Кино_СССР сводный каталог.xlsx: список телефильмов</t>
        </is>
      </c>
      <c r="M3406" s="2">
        <f>HYPERLINK("https://ru.wikipedia.org/w/index.php?search=%D0%9E%D0%B1%D1%80%D0%B0%D1%82%D0%BD%D0%BE%D0%B9%20%D0%B4%D0%BE%D1%80%D0%BE%D0%B3%D0%B8%20%D0%BD%D0%B5%D1%82%201970%20%D1%84%D0%B8%D0%BB%D1%8C%D0%BC","искать")</f>
        <v/>
      </c>
      <c r="N3406" s="3" t="n"/>
      <c r="O3406" s="2" t="n"/>
    </row>
    <row r="3407">
      <c r="A3407" s="2" t="n">
        <v>3406</v>
      </c>
      <c r="B3407" s="2" t="inlineStr"/>
      <c r="C3407" s="2" t="n">
        <v>8093</v>
      </c>
      <c r="D3407" s="3" t="inlineStr">
        <is>
          <t>Перегон</t>
        </is>
      </c>
      <c r="E3407" s="2" t="n">
        <v>1984</v>
      </c>
      <c r="F3407" s="2" t="inlineStr">
        <is>
          <t>телефильм</t>
        </is>
      </c>
      <c r="G3407" s="2" t="n"/>
      <c r="H3407" s="2" t="n">
        <v>343</v>
      </c>
      <c r="I3407" s="2" t="inlineStr"/>
      <c r="J3407" s="2" t="inlineStr"/>
      <c r="K3407" s="3" t="inlineStr">
        <is>
          <t>Телефильм по повести Виктора Конецкого “Завтрашние заботы”. Первая экранизация повести была осуществлена в 1962 г. Звучит радио. Из окна видна зеленая улица. Мать и сын завтракают. «Что такое перегон?» - спрашивает она. Караван судов идет из пункта А в пункт Б. Вот и все. Сын уходит в плаванье и обещает вернуться и остаться дома уже надолго.</t>
        </is>
      </c>
      <c r="L3407" s="2" t="inlineStr">
        <is>
          <t>Кино_СССР сводный каталог.xlsx: список телефильмов</t>
        </is>
      </c>
      <c r="M3407" s="2">
        <f>HYPERLINK("https://ru.wikipedia.org/w/index.php?search=%D0%9F%D0%B5%D1%80%D0%B5%D0%B3%D0%BE%D0%BD%201984%20%D1%84%D0%B8%D0%BB%D1%8C%D0%BC","искать")</f>
        <v/>
      </c>
      <c r="N3407" s="3" t="n"/>
      <c r="O3407" s="2" t="n"/>
    </row>
    <row r="3408">
      <c r="A3408" s="2" t="n">
        <v>3407</v>
      </c>
      <c r="B3408" s="2" t="inlineStr"/>
      <c r="C3408" s="2" t="n">
        <v>8235</v>
      </c>
      <c r="D3408" s="3" t="inlineStr">
        <is>
          <t>Просто Саша</t>
        </is>
      </c>
      <c r="E3408" s="2" t="n">
        <v>1976</v>
      </c>
      <c r="F3408" s="2" t="inlineStr">
        <is>
          <t>телефильм</t>
        </is>
      </c>
      <c r="G3408" s="2" t="n"/>
      <c r="H3408" s="2" t="n">
        <v>343</v>
      </c>
      <c r="I3408" s="2" t="inlineStr"/>
      <c r="J3408" s="2" t="inlineStr"/>
      <c r="K3408" s="3" t="inlineStr">
        <is>
          <t>Мелодрама по мотивам одноименной повести Сергея Баруздина. Медсестра Саша Неродова, красивая, добрая, умная женщина - ее уважают сослуживцы, любят больные, но личного счастья все нет и нет. В районную больницу приезжает хирург Вячеслав Алексеевич. В городе у него осталась семья. Саша знает об этом, но своих сильных чувств к нему не скрывает.</t>
        </is>
      </c>
      <c r="L3408" s="2" t="inlineStr">
        <is>
          <t>Кино_СССР сводный каталог.xlsx: список телефильмов</t>
        </is>
      </c>
      <c r="M3408" s="2">
        <f>HYPERLINK("https://ru.wikipedia.org/w/index.php?search=%D0%9F%D1%80%D0%BE%D1%81%D1%82%D0%BE%20%D0%A1%D0%B0%D1%88%D0%B0%201976%20%D1%84%D0%B8%D0%BB%D1%8C%D0%BC","искать")</f>
        <v/>
      </c>
      <c r="N3408" s="3" t="n"/>
      <c r="O3408" s="2" t="n"/>
    </row>
    <row r="3409">
      <c r="A3409" s="2" t="n">
        <v>3408</v>
      </c>
      <c r="B3409" s="2" t="inlineStr"/>
      <c r="C3409" s="2" t="n">
        <v>8341</v>
      </c>
      <c r="D3409" s="3" t="inlineStr">
        <is>
          <t>Сестра моя Люся</t>
        </is>
      </c>
      <c r="E3409" s="2" t="n">
        <v>1985</v>
      </c>
      <c r="F3409" s="2" t="inlineStr">
        <is>
          <t>телефильм</t>
        </is>
      </c>
      <c r="G3409" s="2" t="n"/>
      <c r="H3409" s="2" t="n">
        <v>343</v>
      </c>
      <c r="I3409" s="2" t="inlineStr"/>
      <c r="J3409" s="2" t="inlineStr"/>
      <c r="K3409" s="3" t="inlineStr">
        <is>
          <t>Фильм-воспоминание взрослого человека о незабываемых днях первого послевоенного года. Клава, потерявшая мужа на фронте, с 12-летней дочерью Люсей приютила в своем доме Айгуль с семилетнем мальчиком. Сын Айгуль — главный герой, ныне ставший летчиком, вспоминает свое детство в небольшой казахском городе, выпавшее на трудное послевоенное время.</t>
        </is>
      </c>
      <c r="L3409" s="2" t="inlineStr">
        <is>
          <t>Кино_СССР сводный каталог.xlsx: список телефильмов</t>
        </is>
      </c>
      <c r="M3409" s="2">
        <f>HYPERLINK("https://ru.wikipedia.org/w/index.php?search=%D0%A1%D0%B5%D1%81%D1%82%D1%80%D0%B0%20%D0%BC%D0%BE%D1%8F%20%D0%9B%D1%8E%D1%81%D1%8F%201985%20%D1%84%D0%B8%D0%BB%D1%8C%D0%BC","искать")</f>
        <v/>
      </c>
      <c r="N3409" s="3" t="n"/>
      <c r="O3409" s="2" t="n"/>
    </row>
    <row r="3410">
      <c r="A3410" s="2" t="n">
        <v>3409</v>
      </c>
      <c r="B3410" s="2" t="inlineStr"/>
      <c r="C3410" s="2" t="n">
        <v>8436</v>
      </c>
      <c r="D3410" s="3" t="inlineStr">
        <is>
          <t>Такая длинная, длинная дорога...</t>
        </is>
      </c>
      <c r="E3410" s="2" t="n">
        <v>1969</v>
      </c>
      <c r="F3410" s="2" t="inlineStr">
        <is>
          <t>телефильм</t>
        </is>
      </c>
      <c r="G3410" s="2" t="n"/>
      <c r="H3410" s="2" t="n">
        <v>343</v>
      </c>
      <c r="I3410" s="2" t="inlineStr"/>
      <c r="J3410" s="2" t="inlineStr"/>
      <c r="K3410" s="3" t="inlineStr">
        <is>
          <t>Вышедший недавно на пенсию вдовый ленинградский рабочий собирается в дорогу, чтобы найти, где похоронен его не вернувшийся с войны единственный сын. У него есть только письмо с упоминанием местности, последнее письмо с фронта. Взяв с собой плотницкий инструмент, чтобы поставить памятник на могиле, отец отправляется в длинную, длинную дорогу.</t>
        </is>
      </c>
      <c r="L3410" s="2" t="inlineStr">
        <is>
          <t>Кино_СССР сводный каталог.xlsx: список телефильмов</t>
        </is>
      </c>
      <c r="M3410" s="2">
        <f>HYPERLINK("https://ru.wikipedia.org/w/index.php?search=%D0%A2%D0%B0%D0%BA%D0%B0%D1%8F%20%D0%B4%D0%BB%D0%B8%D0%BD%D0%BD%D0%B0%D1%8F%2C%20%D0%B4%D0%BB%D0%B8%D0%BD%D0%BD%D0%B0%D1%8F%20%D0%B4%D0%BE%D1%80%D0%BE%D0%B3%D0%B0...%201969%20%D1%84%D0%B8%D0%BB%D1%8C%D0%BC","искать")</f>
        <v/>
      </c>
      <c r="N3410" s="3" t="n"/>
      <c r="O3410" s="2" t="n"/>
    </row>
    <row r="3411">
      <c r="A3411" s="2" t="n">
        <v>3410</v>
      </c>
      <c r="B3411" s="2" t="inlineStr"/>
      <c r="C3411" s="2" t="n">
        <v>8666</v>
      </c>
      <c r="D3411" s="3" t="inlineStr">
        <is>
          <t>Воспоминания без даты</t>
        </is>
      </c>
      <c r="E3411" s="2" t="n">
        <v>1990</v>
      </c>
      <c r="F3411" s="2" t="inlineStr">
        <is>
          <t>кинофильм</t>
        </is>
      </c>
      <c r="G3411" s="2" t="n"/>
      <c r="H3411" s="2" t="n">
        <v>343</v>
      </c>
      <c r="I3411" s="2" t="inlineStr"/>
      <c r="J3411" s="2" t="inlineStr"/>
      <c r="K3411" s="3" t="inlineStr">
        <is>
          <t>По мотивам повести Н.Дубова «Беглец». Где-то на побережье в отдалении от поселка живет и работает бригада дорожных рабочих - несколько семей. Тяжел и бессмыслен их труд - дорога, которую они непрерывно ремонтируют, никуда не ведет и никому не нужна. Монотонность этой жизни нарушает поселившаяся рядом в палатке пара, путешествующая на машине.</t>
        </is>
      </c>
      <c r="L3411" s="2" t="inlineStr">
        <is>
          <t>Кино_СССР сводный каталог.xlsx: список фильмов (доп.)</t>
        </is>
      </c>
      <c r="M3411" s="2">
        <f>HYPERLINK("https://ru.wikipedia.org/w/index.php?search=%D0%92%D0%BE%D1%81%D0%BF%D0%BE%D0%BC%D0%B8%D0%BD%D0%B0%D0%BD%D0%B8%D1%8F%20%D0%B1%D0%B5%D0%B7%20%D0%B4%D0%B0%D1%82%D1%8B%201990%20%D1%84%D0%B8%D0%BB%D1%8C%D0%BC","искать")</f>
        <v/>
      </c>
      <c r="N3411" s="3" t="n"/>
      <c r="O3411" s="2" t="n"/>
    </row>
    <row r="3412">
      <c r="A3412" s="2" t="n">
        <v>3411</v>
      </c>
      <c r="B3412" s="2" t="inlineStr"/>
      <c r="C3412" s="2" t="n">
        <v>8827</v>
      </c>
      <c r="D3412" s="3" t="inlineStr">
        <is>
          <t>Мгновения любви</t>
        </is>
      </c>
      <c r="E3412" s="2" t="n">
        <v>1989</v>
      </c>
      <c r="F3412" s="2" t="inlineStr">
        <is>
          <t>кинофильм</t>
        </is>
      </c>
      <c r="G3412" s="2" t="n"/>
      <c r="H3412" s="2" t="n">
        <v>343</v>
      </c>
      <c r="I3412" s="2" t="inlineStr"/>
      <c r="J3412" s="2" t="inlineStr"/>
      <c r="K3412" s="3" t="inlineStr">
        <is>
          <t>Актеры и работники провинциального театра ездят со своими спектаклями по местам, где происходило действие лермонтовской "Бэлы". Актерская душа, сквозь которую проходят жизни множества персонажей, берет что-то от этих персонажей, пропускает их через себя, становится глубже... Фильм «Мгновения» завоевал ряд призов на международных киносмотрах.</t>
        </is>
      </c>
      <c r="L3412" s="2" t="inlineStr">
        <is>
          <t>Кино_СССР сводный каталог.xlsx: список фильмов (доп.)</t>
        </is>
      </c>
      <c r="M3412" s="2">
        <f>HYPERLINK("https://ru.wikipedia.org/w/index.php?search=%D0%9C%D0%B3%D0%BD%D0%BE%D0%B2%D0%B5%D0%BD%D0%B8%D1%8F%20%D0%BB%D1%8E%D0%B1%D0%B2%D0%B8%201989%20%D1%84%D0%B8%D0%BB%D1%8C%D0%BC","искать")</f>
        <v/>
      </c>
      <c r="N3412" s="3" t="n"/>
      <c r="O3412" s="2" t="n"/>
    </row>
    <row r="3413">
      <c r="A3413" s="2" t="n">
        <v>3412</v>
      </c>
      <c r="B3413" s="2" t="inlineStr"/>
      <c r="C3413" s="2" t="n">
        <v>10015</v>
      </c>
      <c r="D3413" s="3" t="inlineStr">
        <is>
          <t>Опасный приз</t>
        </is>
      </c>
      <c r="E3413" s="2" t="n">
        <v>1986</v>
      </c>
      <c r="F3413" s="2" t="inlineStr">
        <is>
          <t>телефильм</t>
        </is>
      </c>
      <c r="G3413" s="2" t="inlineStr">
        <is>
          <t>Киностудия им. М.Горького по заказу Гостелерадио СССР</t>
        </is>
      </c>
      <c r="H3413" s="2" t="n">
        <v>343</v>
      </c>
      <c r="I3413" s="2" t="inlineStr"/>
      <c r="J3413" s="2" t="inlineStr"/>
      <c r="K3413" s="3" t="inlineStr">
        <is>
          <t>По мотивам рассказа детского писателя Юрия Сотника "Кинохроника".
Учеников 5 "Б" класса за первое место в сборе макулатуры наградили кинокамерой. Снимать хронику жизни класса поручили Антону Дудкину. В результате всех курьезных историй, которые произошли с ребятами во время съемок, они решили "опасный приз" - кинокамеру - сдать в металлолом.</t>
        </is>
      </c>
      <c r="L3413" s="2" t="inlineStr">
        <is>
          <t>https://www.kino-teatr.ru/short/movie/sov/15924/annot/</t>
        </is>
      </c>
      <c r="M3413" s="2">
        <f>HYPERLINK("https://ru.wikipedia.org/w/index.php?search=%D0%9E%D0%BF%D0%B0%D1%81%D0%BD%D1%8B%D0%B9%20%D0%BF%D1%80%D0%B8%D0%B7%201986%20%D1%84%D0%B8%D0%BB%D1%8C%D0%BC","искать")</f>
        <v/>
      </c>
      <c r="N3413" s="3" t="n"/>
      <c r="O3413" s="2" t="n"/>
    </row>
    <row r="3414">
      <c r="A3414" s="2" t="n">
        <v>3413</v>
      </c>
      <c r="B3414" s="2" t="inlineStr"/>
      <c r="C3414" s="2" t="n">
        <v>10295</v>
      </c>
      <c r="D3414" s="3" t="inlineStr">
        <is>
          <t>Ваня, ты как здесь?</t>
        </is>
      </c>
      <c r="E3414" s="2" t="n">
        <v>1969</v>
      </c>
      <c r="F3414" s="2" t="inlineStr">
        <is>
          <t>фильм-спектакль</t>
        </is>
      </c>
      <c r="G3414" s="2" t="inlineStr">
        <is>
          <t>Ленинградское Телевидение</t>
        </is>
      </c>
      <c r="H3414" s="2" t="n">
        <v>343</v>
      </c>
      <c r="I3414" s="2" t="inlineStr"/>
      <c r="J3414" s="2" t="inlineStr"/>
      <c r="K3414" s="3" t="inlineStr">
        <is>
          <t>По одноименному рассказу Василия Шукшина.
Тракторист Пронька Лагутин приезжает в город. Знакомство с ассистентом режиссера неожиданно оборачивается приглашением его на роль сельского парня, переехавшего в город. Пронька с удовольствием репетирует, но поняв, что остаться - значит никогда больше не увидеть родной деревни, сбегает от режиссера.</t>
        </is>
      </c>
      <c r="L3414" s="2" t="inlineStr">
        <is>
          <t>https://www.kino-teatr.ru/teatr/movie/81415/annot/</t>
        </is>
      </c>
      <c r="M3414" s="2">
        <f>HYPERLINK("https://ru.wikipedia.org/w/index.php?search=%D0%92%D0%B0%D0%BD%D1%8F%2C%20%D1%82%D1%8B%20%D0%BA%D0%B0%D0%BA%20%D0%B7%D0%B4%D0%B5%D1%81%D1%8C%3F%201969%20%D1%84%D0%B8%D0%BB%D1%8C%D0%BC","искать")</f>
        <v/>
      </c>
      <c r="N3414" s="3" t="n"/>
      <c r="O3414" s="2" t="n"/>
    </row>
    <row r="3415">
      <c r="A3415" s="2" t="n">
        <v>3414</v>
      </c>
      <c r="B3415" s="2" t="inlineStr"/>
      <c r="C3415" s="2" t="n">
        <v>7343</v>
      </c>
      <c r="D3415" s="3" t="inlineStr">
        <is>
          <t>Виктория</t>
        </is>
      </c>
      <c r="E3415" s="2" t="n">
        <v>1987</v>
      </c>
      <c r="F3415" s="2" t="inlineStr">
        <is>
          <t>телефильм</t>
        </is>
      </c>
      <c r="G3415" s="2" t="inlineStr">
        <is>
          <t>Ленфильм</t>
        </is>
      </c>
      <c r="H3415" s="2" t="n">
        <v>344</v>
      </c>
      <c r="I3415" s="2" t="inlineStr"/>
      <c r="J3415" s="2" t="inlineStr"/>
      <c r="K3415" s="3" t="inlineStr">
        <is>
          <t>По пьесе А.Червинского "Счастье мое...". Действие фильма происходит после окончания Великой Отечественной войны. Много горя выпало на долю молодой учительницы Виктории. В детстве она потеряла мать, в тридцатые годы был арестован и расстрелян её отец. Встреча с курсантом училища военных дипломатов, Семеном, предопределяет ее дальнейшую судьбу.</t>
        </is>
      </c>
      <c r="L3415" s="2" t="inlineStr">
        <is>
          <t>Кино_СССР сводный каталог.xlsx: список телефильмов</t>
        </is>
      </c>
      <c r="M3415" s="2">
        <f>HYPERLINK("https://ru.wikipedia.org/w/index.php?search=%D0%92%D0%B8%D0%BA%D1%82%D0%BE%D1%80%D0%B8%D1%8F%201987%20%D1%84%D0%B8%D0%BB%D1%8C%D0%BC","искать")</f>
        <v/>
      </c>
      <c r="N3415" s="3" t="n"/>
      <c r="O3415" s="2" t="n"/>
    </row>
    <row r="3416">
      <c r="A3416" s="2" t="n">
        <v>3415</v>
      </c>
      <c r="B3416" s="2" t="inlineStr"/>
      <c r="C3416" s="2" t="n">
        <v>7435</v>
      </c>
      <c r="D3416" s="3" t="inlineStr">
        <is>
          <t>Где-то гремит война</t>
        </is>
      </c>
      <c r="E3416" s="2" t="n">
        <v>1986</v>
      </c>
      <c r="F3416" s="2" t="inlineStr">
        <is>
          <t>телефильм</t>
        </is>
      </c>
      <c r="G3416" s="2" t="inlineStr">
        <is>
          <t>к/с им. Довженко</t>
        </is>
      </c>
      <c r="H3416" s="2" t="n">
        <v>344</v>
      </c>
      <c r="I3416" s="2" t="inlineStr"/>
      <c r="J3416" s="2" t="inlineStr"/>
      <c r="K3416" s="3" t="inlineStr">
        <is>
          <t>Телесериал по мотивам романа В. Астафьева «Последний поклон». Герой фильма – семнадцатилетний Митя Ненашкин, которого война застала в далеком тылу в Сибири. Много тяжелого, трагичного пришлось ему пережить, повидать. Но в подавляющем большинстве Мите встречались добрые, мужественные люди, готовые прийти на помощь другим, поделиться последним.</t>
        </is>
      </c>
      <c r="L3416" s="2" t="inlineStr">
        <is>
          <t>Кино_СССР сводный каталог.xlsx: список телефильмов</t>
        </is>
      </c>
      <c r="M3416" s="2">
        <f>HYPERLINK("https://ru.wikipedia.org/w/index.php?search=%D0%93%D0%B4%D0%B5-%D1%82%D0%BE%20%D0%B3%D1%80%D0%B5%D0%BC%D0%B8%D1%82%20%D0%B2%D0%BE%D0%B9%D0%BD%D0%B0%201986%20%D1%84%D0%B8%D0%BB%D1%8C%D0%BC","искать")</f>
        <v/>
      </c>
      <c r="N3416" s="3" t="n"/>
      <c r="O3416" s="2" t="n"/>
    </row>
    <row r="3417">
      <c r="A3417" s="2" t="n">
        <v>3416</v>
      </c>
      <c r="B3417" s="2" t="inlineStr"/>
      <c r="C3417" s="2" t="n">
        <v>7717</v>
      </c>
      <c r="D3417" s="3" t="inlineStr">
        <is>
          <t>Карл Маркс. Молодые годы</t>
        </is>
      </c>
      <c r="E3417" s="2" t="n">
        <v>1980</v>
      </c>
      <c r="F3417" s="2" t="inlineStr">
        <is>
          <t>телефильм</t>
        </is>
      </c>
      <c r="G3417" s="2" t="inlineStr">
        <is>
          <t>к/с им. Горького</t>
        </is>
      </c>
      <c r="H3417" s="2" t="n">
        <v>344</v>
      </c>
      <c r="I3417" s="2" t="inlineStr"/>
      <c r="J3417" s="2" t="inlineStr"/>
      <c r="K3417" s="3" t="inlineStr">
        <is>
          <t>Телесериал. Студент берлинского университета Карл Маркс вступает в "Докторский клуб", прибежище молодых вольнодумцев, Карл Маркс решил посветить себя философии защищает диссертацию, становиться доктором философии, но его надежды преподавать в боннском университете рушатся, тогда Маркс принимает предложение работать редактором рейнской газеты.</t>
        </is>
      </c>
      <c r="L3417" s="2" t="inlineStr">
        <is>
          <t>Кино_СССР сводный каталог.xlsx: список телефильмов</t>
        </is>
      </c>
      <c r="M3417" s="2">
        <f>HYPERLINK("https://ru.wikipedia.org/w/index.php?search=%D0%9A%D0%B0%D1%80%D0%BB%20%D0%9C%D0%B0%D1%80%D0%BA%D1%81.%20%D0%9C%D0%BE%D0%BB%D0%BE%D0%B4%D1%8B%D0%B5%20%D0%B3%D0%BE%D0%B4%D1%8B%201980%20%D1%84%D0%B8%D0%BB%D1%8C%D0%BC","искать")</f>
        <v/>
      </c>
      <c r="N3417" s="3" t="n"/>
      <c r="O3417" s="2" t="n"/>
    </row>
    <row r="3418">
      <c r="A3418" s="2" t="n">
        <v>3417</v>
      </c>
      <c r="B3418" s="2" t="inlineStr"/>
      <c r="C3418" s="2" t="n">
        <v>8027</v>
      </c>
      <c r="D3418" s="3" t="inlineStr">
        <is>
          <t>Обыкновенное чудо</t>
        </is>
      </c>
      <c r="E3418" s="2" t="n">
        <v>1978</v>
      </c>
      <c r="F3418" s="2" t="inlineStr">
        <is>
          <t>телефильм</t>
        </is>
      </c>
      <c r="G3418" s="2" t="n"/>
      <c r="H3418" s="2" t="n">
        <v>344</v>
      </c>
      <c r="I3418" s="2" t="inlineStr"/>
      <c r="J3418" s="2" t="inlineStr"/>
      <c r="K3418" s="3" t="inlineStr">
        <is>
          <t>Великолепная киноверсия пьесы-сказки Евгения Шварца. В картине много волшебных приключений и чудес, главное из которых - колдовское чудо любви, способной победить злые чары. Блестящая драматургия и режиссура, замечательная музыка, выдающиеся актеры заставляют всякий раз как бы заново воспринимать этот фильм - веселый, трогательный и глубокий.</t>
        </is>
      </c>
      <c r="L3418" s="2" t="inlineStr">
        <is>
          <t>Кино_СССР сводный каталог.xlsx: список телефильмов</t>
        </is>
      </c>
      <c r="M3418" s="2">
        <f>HYPERLINK("https://ru.wikipedia.org/w/index.php?search=%D0%9E%D0%B1%D1%8B%D0%BA%D0%BD%D0%BE%D0%B2%D0%B5%D0%BD%D0%BD%D0%BE%D0%B5%20%D1%87%D1%83%D0%B4%D0%BE%201978%20%D1%84%D0%B8%D0%BB%D1%8C%D0%BC","искать")</f>
        <v/>
      </c>
      <c r="N3418" s="3" t="n"/>
      <c r="O3418" s="2" t="n"/>
    </row>
    <row r="3419">
      <c r="A3419" s="2" t="n">
        <v>3418</v>
      </c>
      <c r="B3419" s="2" t="inlineStr"/>
      <c r="C3419" s="2" t="n">
        <v>8075</v>
      </c>
      <c r="D3419" s="3" t="inlineStr">
        <is>
          <t>Ошибка Тони Вендиса</t>
        </is>
      </c>
      <c r="E3419" s="2" t="n">
        <v>1981</v>
      </c>
      <c r="F3419" s="2" t="inlineStr">
        <is>
          <t>телефильм</t>
        </is>
      </c>
      <c r="G3419" s="2" t="n"/>
      <c r="H3419" s="2" t="n">
        <v>344</v>
      </c>
      <c r="I3419" s="2" t="inlineStr"/>
      <c r="J3419" s="2" t="inlineStr"/>
      <c r="K3419" s="3" t="inlineStr">
        <is>
          <t>Телефильм. Это экранизация остросюжетной пьесы Фредерика Нотта "Телефонный звонок" или, если угодно, молдавский ремейк психологического детектива Альфреда Хичкока "Для убийства набирайте "M". Известный теннисист Тони Вендис хочет завладеть деньгами своей неверной жены Марго, шантажирует её бывшего любовника и наконец задумывает убийство жены.</t>
        </is>
      </c>
      <c r="L3419" s="2" t="inlineStr">
        <is>
          <t>Кино_СССР сводный каталог.xlsx: список телефильмов</t>
        </is>
      </c>
      <c r="M3419" s="2">
        <f>HYPERLINK("https://ru.wikipedia.org/w/index.php?search=%D0%9E%D1%88%D0%B8%D0%B1%D0%BA%D0%B0%20%D0%A2%D0%BE%D0%BD%D0%B8%20%D0%92%D0%B5%D0%BD%D0%B4%D0%B8%D1%81%D0%B0%201981%20%D1%84%D0%B8%D0%BB%D1%8C%D0%BC","искать")</f>
        <v/>
      </c>
      <c r="N3419" s="3" t="n"/>
      <c r="O3419" s="2" t="n"/>
    </row>
    <row r="3420">
      <c r="A3420" s="2" t="n">
        <v>3419</v>
      </c>
      <c r="B3420" s="2" t="inlineStr"/>
      <c r="C3420" s="2" t="n">
        <v>8094</v>
      </c>
      <c r="D3420" s="3" t="inlineStr">
        <is>
          <t>Перед большой дорогой на войну</t>
        </is>
      </c>
      <c r="E3420" s="2" t="n">
        <v>1987</v>
      </c>
      <c r="F3420" s="2" t="inlineStr">
        <is>
          <t>телефильм</t>
        </is>
      </c>
      <c r="G3420" s="2" t="n"/>
      <c r="H3420" s="2" t="n">
        <v>344</v>
      </c>
      <c r="I3420" s="2" t="inlineStr"/>
      <c r="J3420" s="2" t="inlineStr"/>
      <c r="K3420" s="3" t="inlineStr">
        <is>
          <t>По мотивам повести О. Сидельникова "Трое отважных". Действие фильма происходит в предвоенные годы. Капитан НКВД Фролов расследует диверсию на химзаводе. Подозрение падает на артиста цирка Эрвина Гросса. Однако злодейское убийство клоуна приостанавливает расследование. Только с помощью юных цирковых гимнастов Фролову удается установить истину.</t>
        </is>
      </c>
      <c r="L3420" s="2" t="inlineStr">
        <is>
          <t>Кино_СССР сводный каталог.xlsx: список телефильмов</t>
        </is>
      </c>
      <c r="M3420" s="2">
        <f>HYPERLINK("https://ru.wikipedia.org/w/index.php?search=%D0%9F%D0%B5%D1%80%D0%B5%D0%B4%20%D0%B1%D0%BE%D0%BB%D1%8C%D1%88%D0%BE%D0%B9%20%D0%B4%D0%BE%D1%80%D0%BE%D0%B3%D0%BE%D0%B9%20%D0%BD%D0%B0%20%D0%B2%D0%BE%D0%B9%D0%BD%D1%83%201987%20%D1%84%D0%B8%D0%BB%D1%8C%D0%BC","искать")</f>
        <v/>
      </c>
      <c r="N3420" s="3" t="n"/>
      <c r="O3420" s="2" t="n"/>
    </row>
    <row r="3421">
      <c r="A3421" s="2" t="n">
        <v>3420</v>
      </c>
      <c r="B3421" s="2" t="inlineStr"/>
      <c r="C3421" s="2" t="n">
        <v>8295</v>
      </c>
      <c r="D3421" s="3" t="inlineStr">
        <is>
          <t>С кошки всё и началось...</t>
        </is>
      </c>
      <c r="E3421" s="2" t="n">
        <v>1982</v>
      </c>
      <c r="F3421" s="2" t="inlineStr">
        <is>
          <t>телефильм</t>
        </is>
      </c>
      <c r="G3421" s="2" t="n"/>
      <c r="H3421" s="2" t="n">
        <v>344</v>
      </c>
      <c r="I3421" s="2" t="inlineStr"/>
      <c r="J3421" s="2" t="inlineStr"/>
      <c r="K3421" s="3" t="inlineStr">
        <is>
          <t>Фильм снят по мотивам повести Юрия Томина "Нынче всё наоборот" - о том, как дети решили устроить праздник непослушания. Галка, Юрка и Славик решили никого не слушать и поступать только так, как хочется. Обескураженные родители и учительница не сразу понимают, что произошло с ребятами, но убеждают их отказаться от столь непродуманного решения.</t>
        </is>
      </c>
      <c r="L3421" s="2" t="inlineStr">
        <is>
          <t>Кино_СССР сводный каталог.xlsx: список телефильмов</t>
        </is>
      </c>
      <c r="M3421" s="2">
        <f>HYPERLINK("https://ru.wikipedia.org/w/index.php?search=%D0%A1%20%D0%BA%D0%BE%D1%88%D0%BA%D0%B8%20%D0%B2%D1%81%D1%91%20%D0%B8%20%D0%BD%D0%B0%D1%87%D0%B0%D0%BB%D0%BE%D1%81%D1%8C...%201982%20%D1%84%D0%B8%D0%BB%D1%8C%D0%BC","искать")</f>
        <v/>
      </c>
      <c r="N3421" s="3" t="n"/>
      <c r="O3421" s="2" t="n"/>
    </row>
    <row r="3422">
      <c r="A3422" s="2" t="n">
        <v>3421</v>
      </c>
      <c r="B3422" s="2" t="inlineStr"/>
      <c r="C3422" s="2" t="n">
        <v>8455</v>
      </c>
      <c r="D3422" s="3" t="inlineStr">
        <is>
          <t>Тихоня</t>
        </is>
      </c>
      <c r="E3422" s="2" t="n">
        <v>1973</v>
      </c>
      <c r="F3422" s="2" t="inlineStr">
        <is>
          <t>телефильм</t>
        </is>
      </c>
      <c r="G3422" s="2" t="n"/>
      <c r="H3422" s="2" t="n">
        <v>344</v>
      </c>
      <c r="I3422" s="2" t="inlineStr"/>
      <c r="J3422" s="2" t="inlineStr"/>
      <c r="K3422" s="3" t="inlineStr">
        <is>
          <t>Телефильм. Скромного жителя молдавского городка Василия Чебана незаслуженно обвиняют в том, что три года назад в Ялте он познакомился с девушкой Надей, и она родила от него ребенка. Хотя Василий и не являлся отцом, он решает материально помо-гать Наде, скрыв все от своей матери. Случайно обнаружив письма, мать Чебана приглашает Надю приехать.</t>
        </is>
      </c>
      <c r="L3422" s="2" t="inlineStr">
        <is>
          <t>Кино_СССР сводный каталог.xlsx: список телефильмов</t>
        </is>
      </c>
      <c r="M3422" s="2">
        <f>HYPERLINK("https://ru.wikipedia.org/w/index.php?search=%D0%A2%D0%B8%D1%85%D0%BE%D0%BD%D1%8F%201973%20%D1%84%D0%B8%D0%BB%D1%8C%D0%BC","искать")</f>
        <v/>
      </c>
      <c r="N3422" s="3" t="n"/>
      <c r="O3422" s="2" t="n"/>
    </row>
    <row r="3423">
      <c r="A3423" s="2" t="n">
        <v>3422</v>
      </c>
      <c r="B3423" s="2" t="inlineStr"/>
      <c r="C3423" s="2" t="n">
        <v>8527</v>
      </c>
      <c r="D3423" s="3" t="inlineStr">
        <is>
          <t>Холодно - горячо</t>
        </is>
      </c>
      <c r="E3423" s="2" t="n">
        <v>1971</v>
      </c>
      <c r="F3423" s="2" t="inlineStr">
        <is>
          <t>телефильм</t>
        </is>
      </c>
      <c r="G3423" s="2" t="n"/>
      <c r="H3423" s="2" t="n">
        <v>344</v>
      </c>
      <c r="I3423" s="2" t="inlineStr"/>
      <c r="J3423" s="2" t="inlineStr"/>
      <c r="K3423" s="3" t="inlineStr">
        <is>
          <t>Телефильм по мотивам рассказа Николая Чуковского “Неравный брак” Вера Касаткина в молодости пережила душевную травму: ее с ребенком оставил муж. Ей двадцать семь лет, о личном счастье она даже и не помышляет. Встретив Володю Чижова, который моложе ее, она вполне искренне берется помочь парню подготовиться к вступительным экзаменам в институт.</t>
        </is>
      </c>
      <c r="L3423" s="2" t="inlineStr">
        <is>
          <t>Кино_СССР сводный каталог.xlsx: список телефильмов</t>
        </is>
      </c>
      <c r="M3423" s="2">
        <f>HYPERLINK("https://ru.wikipedia.org/w/index.php?search=%D0%A5%D0%BE%D0%BB%D0%BE%D0%B4%D0%BD%D0%BE%20-%20%D0%B3%D0%BE%D1%80%D1%8F%D1%87%D0%BE%201971%20%D1%84%D0%B8%D0%BB%D1%8C%D0%BC","искать")</f>
        <v/>
      </c>
      <c r="N3423" s="3" t="n"/>
      <c r="O3423" s="2" t="n"/>
    </row>
    <row r="3424">
      <c r="A3424" s="2" t="n">
        <v>3423</v>
      </c>
      <c r="B3424" s="2" t="inlineStr"/>
      <c r="C3424" s="2" t="n">
        <v>9024</v>
      </c>
      <c r="D3424" s="3" t="inlineStr">
        <is>
          <t>Савой</t>
        </is>
      </c>
      <c r="E3424" s="2" t="n">
        <v>1990</v>
      </c>
      <c r="F3424" s="2" t="inlineStr">
        <is>
          <t>кинофильм</t>
        </is>
      </c>
      <c r="G3424" s="2" t="n"/>
      <c r="H3424" s="2" t="n">
        <v>344</v>
      </c>
      <c r="I3424" s="2" t="inlineStr"/>
      <c r="J3424" s="2" t="inlineStr"/>
      <c r="K3424" s="3" t="inlineStr">
        <is>
          <t>Несколько меланхоличный инженер московского НИИ Гусев в поезде, везущем его к месту назначения командировки, выпивает бутылку водки, после чего места его пребывания следующие: багажник автомобиля, бескрайняя степь и соляные прииски, где он становится рабом. Затем его выкупает колонист-немец, его арестовывают, он бежит и сталкивается с мафией.</t>
        </is>
      </c>
      <c r="L3424" s="2" t="inlineStr">
        <is>
          <t>Кино_СССР сводный каталог.xlsx: список фильмов (доп.)</t>
        </is>
      </c>
      <c r="M3424" s="2">
        <f>HYPERLINK("https://ru.wikipedia.org/w/index.php?search=%D0%A1%D0%B0%D0%B2%D0%BE%D0%B9%201990%20%D1%84%D0%B8%D0%BB%D1%8C%D0%BC","искать")</f>
        <v/>
      </c>
      <c r="N3424" s="3" t="n"/>
      <c r="O3424" s="2" t="n"/>
    </row>
    <row r="3425">
      <c r="A3425" s="2" t="n">
        <v>3424</v>
      </c>
      <c r="B3425" s="2" t="inlineStr"/>
      <c r="C3425" s="2" t="n">
        <v>9468</v>
      </c>
      <c r="D3425" s="3" t="inlineStr">
        <is>
          <t>Медовый месяц</t>
        </is>
      </c>
      <c r="E3425" s="2" t="n">
        <v>1991</v>
      </c>
      <c r="F3425" s="2" t="inlineStr">
        <is>
          <t>кинофильм</t>
        </is>
      </c>
      <c r="G3425" s="2" t="n"/>
      <c r="H3425" s="2" t="n">
        <v>344</v>
      </c>
      <c r="I3425" s="2" t="inlineStr"/>
      <c r="J3425" s="2" t="inlineStr"/>
      <c r="K3425" s="3" t="inlineStr">
        <is>
          <t>Фильм рассказывает о первых шагах "деятельности" начинающего рэкетира, пытающегося усовершенствовать политику налогообложения трудящихся. Первое его дело - сбор дани с владельцев пасек - сталкивает новоявленного гангстера с рядом неожиданностей и нешуточных проблем... О режиссере фильма: С распадом СССР развалились республиканские киностудии.</t>
        </is>
      </c>
      <c r="L3425" s="2" t="inlineStr">
        <is>
          <t>Кино_СССР сводный каталог.xlsx: список фильмов (доп.)</t>
        </is>
      </c>
      <c r="M3425" s="2">
        <f>HYPERLINK("https://ru.wikipedia.org/w/index.php?search=%D0%9C%D0%B5%D0%B4%D0%BE%D0%B2%D1%8B%D0%B9%20%D0%BC%D0%B5%D1%81%D1%8F%D1%86%201991%20%D1%84%D0%B8%D0%BB%D1%8C%D0%BC","искать")</f>
        <v/>
      </c>
      <c r="N3425" s="3" t="n"/>
      <c r="O3425" s="2" t="n"/>
    </row>
    <row r="3426">
      <c r="A3426" s="2" t="n">
        <v>3425</v>
      </c>
      <c r="B3426" s="2" t="inlineStr"/>
      <c r="C3426" s="2" t="n">
        <v>9512</v>
      </c>
      <c r="D3426" s="3" t="inlineStr">
        <is>
          <t>Новые приключения янки при дворе короля Артура</t>
        </is>
      </c>
      <c r="E3426" s="2" t="n">
        <v>1988</v>
      </c>
      <c r="F3426" s="2" t="inlineStr">
        <is>
          <t>кинофильм</t>
        </is>
      </c>
      <c r="G3426" s="2" t="n"/>
      <c r="H3426" s="2" t="n">
        <v>344</v>
      </c>
      <c r="I3426" s="2" t="inlineStr"/>
      <c r="J3426" s="2" t="inlineStr"/>
      <c r="K3426" s="3" t="inlineStr">
        <is>
          <t>Самолет американского летчика заблудился во времени. Летчик попал в эпоху славного короля Артура. Здесь ему суждено встретить легендарных рыцарей Круглого стола и коварную Моргану — сестру короля, прекрасную Сэнди и мудрого Волшебника. Ему предстоит оказаться в лохмотьях раба и в рыцарских латах, стать свидетелем величия и гибели королевства.</t>
        </is>
      </c>
      <c r="L3426" s="2" t="inlineStr">
        <is>
          <t>Кино_СССР сводный каталог.xlsx: список фильмов (доп.)</t>
        </is>
      </c>
      <c r="M3426" s="2">
        <f>HYPERLINK("https://ru.wikipedia.org/w/index.php?search=%D0%9D%D0%BE%D0%B2%D1%8B%D0%B5%20%D0%BF%D1%80%D0%B8%D0%BA%D0%BB%D1%8E%D1%87%D0%B5%D0%BD%D0%B8%D1%8F%20%D1%8F%D0%BD%D0%BA%D0%B8%20%D0%BF%D1%80%D0%B8%20%D0%B4%D0%B2%D0%BE%D1%80%D0%B5%20%D0%BA%D0%BE%D1%80%D0%BE%D0%BB%D1%8F%20%D0%90%D1%80%D1%82%D1%83%D1%80%D0%B0%201988%20%D1%84%D0%B8%D0%BB%D1%8C%D0%BC","искать")</f>
        <v/>
      </c>
      <c r="N3426" s="3" t="n"/>
      <c r="O3426" s="2" t="n"/>
    </row>
    <row r="3427">
      <c r="A3427" s="2" t="n">
        <v>3426</v>
      </c>
      <c r="B3427" s="2" t="inlineStr"/>
      <c r="C3427" s="2" t="n">
        <v>9541</v>
      </c>
      <c r="D3427" s="3" t="inlineStr">
        <is>
          <t>Ошибки юности</t>
        </is>
      </c>
      <c r="E3427" s="2" t="n">
        <v>1978</v>
      </c>
      <c r="F3427" s="2" t="inlineStr">
        <is>
          <t>кинофильм</t>
        </is>
      </c>
      <c r="G3427" s="2" t="n"/>
      <c r="H3427" s="2" t="n">
        <v>344</v>
      </c>
      <c r="I3427" s="2" t="inlineStr"/>
      <c r="J3427" s="2" t="inlineStr"/>
      <c r="K3427" s="3" t="inlineStr">
        <is>
          <t>Часто плата за счастье - сделка с собственной совестью и горе, принесенное близким. После службы в армии герой решает испытать себя в трудных условиях Крайнего Севера и уезжает из родной деревни на далекую стройку. Испытания не заставляют себя ждать... Стараясь выдержать экзамен на честность и порядочность, герой делает одну ошибку за другой.</t>
        </is>
      </c>
      <c r="L3427" s="2" t="inlineStr">
        <is>
          <t>Кино_СССР сводный каталог.xlsx: список фильмов (доп.)</t>
        </is>
      </c>
      <c r="M3427" s="2">
        <f>HYPERLINK("https://ru.wikipedia.org/w/index.php?search=%D0%9E%D1%88%D0%B8%D0%B1%D0%BA%D0%B8%20%D1%8E%D0%BD%D0%BE%D1%81%D1%82%D0%B8%201978%20%D1%84%D0%B8%D0%BB%D1%8C%D0%BC","искать")</f>
        <v/>
      </c>
      <c r="N3427" s="3" t="n"/>
      <c r="O3427" s="2" t="n"/>
    </row>
    <row r="3428">
      <c r="A3428" s="2" t="n">
        <v>3427</v>
      </c>
      <c r="B3428" s="2" t="inlineStr"/>
      <c r="C3428" s="2" t="n">
        <v>11227</v>
      </c>
      <c r="D3428" s="3" t="inlineStr">
        <is>
          <t>Семья преступника</t>
        </is>
      </c>
      <c r="E3428" s="2" t="n">
        <v>1988</v>
      </c>
      <c r="F3428" s="2" t="inlineStr">
        <is>
          <t>фильм-спектакль</t>
        </is>
      </c>
      <c r="G3428" s="2" t="inlineStr">
        <is>
          <t>Главная редакция литературно-драматических программ ЦТ</t>
        </is>
      </c>
      <c r="H3428" s="2" t="n">
        <v>344</v>
      </c>
      <c r="I3428" s="2" t="inlineStr"/>
      <c r="J3428" s="2" t="inlineStr"/>
      <c r="K3428" s="3" t="inlineStr">
        <is>
          <t>По одноименной пьесе П.Джакометти в постановке Ленинаканского государственного драматического театра имени А.Мравяна.
Защищая честь своей жены Розалин, Коррадо совершает убийство. Много лет он проводит в тюрьме, прежде, чем ему удается бежать. Коррадо тайно встречается с женой, но, не найдя сочувствия и поддержки, кончает жизнь самоубийством.</t>
        </is>
      </c>
      <c r="L3428" s="2" t="inlineStr">
        <is>
          <t>https://www.kino-teatr.ru/teatr/movie/81848/annot/</t>
        </is>
      </c>
      <c r="M3428" s="2">
        <f>HYPERLINK("https://ru.wikipedia.org/w/index.php?search=%D0%A1%D0%B5%D0%BC%D1%8C%D1%8F%20%D0%BF%D1%80%D0%B5%D1%81%D1%82%D1%83%D0%BF%D0%BD%D0%B8%D0%BA%D0%B0%201988%20%D1%84%D0%B8%D0%BB%D1%8C%D0%BC","искать")</f>
        <v/>
      </c>
      <c r="N3428" s="3" t="n"/>
      <c r="O3428" s="2" t="n"/>
    </row>
    <row r="3429">
      <c r="A3429" s="2" t="n">
        <v>3428</v>
      </c>
      <c r="B3429" s="2" t="inlineStr"/>
      <c r="C3429" s="2" t="n">
        <v>11348</v>
      </c>
      <c r="D3429" s="3" t="inlineStr">
        <is>
          <t>Сон с продолжением</t>
        </is>
      </c>
      <c r="E3429" s="2" t="n">
        <v>1991</v>
      </c>
      <c r="F3429" s="2" t="inlineStr">
        <is>
          <t>фильм-спектакль</t>
        </is>
      </c>
      <c r="G3429" s="2" t="inlineStr">
        <is>
          <t>Студия детских и юношеских телефильмов ТПО "СОЮЗТЕЛЕФИЛЬМ"</t>
        </is>
      </c>
      <c r="H3429" s="2" t="n">
        <v>344</v>
      </c>
      <c r="I3429" s="2" t="inlineStr"/>
      <c r="J3429" s="2" t="inlineStr"/>
      <c r="K3429" s="3" t="inlineStr">
        <is>
          <t>По одноименной пьесе Сергея Михалкова в постановке Государственного центрального академического детского театра.
Однажды во сне девочка Люба познакомилась с деревянной куклой Щелкунчиком, который рассказал ей печальную историю страны Джоконды, покоренной Мышиным королем. После многих приключений Люба помогла Щелкунчику победить злое чудовище.</t>
        </is>
      </c>
      <c r="L3429" s="2" t="inlineStr">
        <is>
          <t>https://www.kino-teatr.ru/teatr/movie/79906/annot/</t>
        </is>
      </c>
      <c r="M3429" s="2">
        <f>HYPERLINK("https://ru.wikipedia.org/w/index.php?search=%D0%A1%D0%BE%D0%BD%20%D1%81%20%D0%BF%D1%80%D0%BE%D0%B4%D0%BE%D0%BB%D0%B6%D0%B5%D0%BD%D0%B8%D0%B5%D0%BC%201991%20%D1%84%D0%B8%D0%BB%D1%8C%D0%BC","искать")</f>
        <v/>
      </c>
      <c r="N3429" s="3" t="n"/>
      <c r="O3429" s="2" t="n"/>
    </row>
    <row r="3430">
      <c r="A3430" s="2" t="n">
        <v>3429</v>
      </c>
      <c r="B3430" s="2" t="inlineStr"/>
      <c r="C3430" s="2" t="n">
        <v>7263</v>
      </c>
      <c r="D3430" s="3" t="inlineStr">
        <is>
          <t>Большая перемена</t>
        </is>
      </c>
      <c r="E3430" s="2" t="n">
        <v>1972</v>
      </c>
      <c r="F3430" s="2" t="inlineStr">
        <is>
          <t>телефильм</t>
        </is>
      </c>
      <c r="G3430" s="2" t="inlineStr">
        <is>
          <t>Мосфильм</t>
        </is>
      </c>
      <c r="H3430" s="2" t="n">
        <v>345</v>
      </c>
      <c r="I3430" s="2" t="inlineStr"/>
      <c r="J3430" s="2" t="inlineStr"/>
      <c r="K3430" s="3" t="inlineStr">
        <is>
          <t>Телефильм по мотивам повести Г. Садовникова "Иду к людям". Молодой подающий надежды историк, поссорившись со своей невестой, обошедшей его на конкурсе в аспирантуру педагогического института, бросает науку и идет работать в вечернюю школу. Взаимоотношения с учениками (многие из которых старше его) "учат его жизни", возвращая в итоге к невесте.</t>
        </is>
      </c>
      <c r="L3430" s="2" t="inlineStr">
        <is>
          <t>Кино_СССР сводный каталог.xlsx: список телефильмов</t>
        </is>
      </c>
      <c r="M3430" s="2">
        <f>HYPERLINK("https://ru.wikipedia.org/w/index.php?search=%D0%91%D0%BE%D0%BB%D1%8C%D1%88%D0%B0%D1%8F%20%D0%BF%D0%B5%D1%80%D0%B5%D0%BC%D0%B5%D0%BD%D0%B0%201972%20%D1%84%D0%B8%D0%BB%D1%8C%D0%BC","искать")</f>
        <v/>
      </c>
      <c r="N3430" s="3" t="n"/>
      <c r="O3430" s="2" t="n"/>
    </row>
    <row r="3431">
      <c r="A3431" s="2" t="n">
        <v>3430</v>
      </c>
      <c r="B3431" s="2" t="inlineStr"/>
      <c r="C3431" s="2" t="n">
        <v>7271</v>
      </c>
      <c r="D3431" s="3" t="inlineStr">
        <is>
          <t>Братья Рико</t>
        </is>
      </c>
      <c r="E3431" s="2" t="n">
        <v>1980</v>
      </c>
      <c r="F3431" s="2" t="inlineStr">
        <is>
          <t>телефильм</t>
        </is>
      </c>
      <c r="G3431" s="2" t="n"/>
      <c r="H3431" s="2" t="n">
        <v>345</v>
      </c>
      <c r="I3431" s="2" t="inlineStr"/>
      <c r="J3431" s="2" t="inlineStr"/>
      <c r="K3431" s="3" t="inlineStr">
        <is>
          <t>Телефильм по мотивам романа Жоржа Сименона. Герои фильма - дети итальянских эмигрантов в США, связавшие свою жизнь с мафией. Гангстерская сага, действие которой начинается в 1932 году во время разгула организованной преступности, вызванного сухим законом. В одном из районов Нью-Йорка погибает Чезаре Рико, глава семьи, муж и отец троих сыновей.</t>
        </is>
      </c>
      <c r="L3431" s="2" t="inlineStr">
        <is>
          <t>Кино_СССР сводный каталог.xlsx: список телефильмов</t>
        </is>
      </c>
      <c r="M3431" s="2">
        <f>HYPERLINK("https://ru.wikipedia.org/w/index.php?search=%D0%91%D1%80%D0%B0%D1%82%D1%8C%D1%8F%20%D0%A0%D0%B8%D0%BA%D0%BE%201980%20%D1%84%D0%B8%D0%BB%D1%8C%D0%BC","искать")</f>
        <v/>
      </c>
      <c r="N3431" s="3" t="n"/>
      <c r="O3431" s="2" t="n"/>
    </row>
    <row r="3432">
      <c r="A3432" s="2" t="n">
        <v>3431</v>
      </c>
      <c r="B3432" s="2" t="inlineStr"/>
      <c r="C3432" s="2" t="n">
        <v>7357</v>
      </c>
      <c r="D3432" s="3" t="inlineStr">
        <is>
          <t>Возвращение Ольмеса</t>
        </is>
      </c>
      <c r="E3432" s="2" t="n">
        <v>1984</v>
      </c>
      <c r="F3432" s="2" t="inlineStr">
        <is>
          <t>телефильм</t>
        </is>
      </c>
      <c r="G3432" s="2" t="inlineStr">
        <is>
          <t>Казахфильм</t>
        </is>
      </c>
      <c r="H3432" s="2" t="n">
        <v>345</v>
      </c>
      <c r="I3432" s="2" t="inlineStr"/>
      <c r="J3432" s="2" t="inlineStr"/>
      <c r="K3432" s="3" t="inlineStr">
        <is>
          <t>Телефильм. Трое братьев ждали возвращения с войны своего отца Ольмеса. В их воображении он был батыром, таким же силачом, как бывший цирковой артист Ануар, поселившийся в ауле. Ребята не знали, что Ануар опустился, пьянствовал и воровал колхозных овец. Когда же вернулся отец, детей постигло разочарование: внешне он совсем не походил на батыра.</t>
        </is>
      </c>
      <c r="L3432" s="2" t="inlineStr">
        <is>
          <t>Кино_СССР сводный каталог.xlsx: список телефильмов</t>
        </is>
      </c>
      <c r="M3432" s="2">
        <f>HYPERLINK("https://ru.wikipedia.org/w/index.php?search=%D0%92%D0%BE%D0%B7%D0%B2%D1%80%D0%B0%D1%89%D0%B5%D0%BD%D0%B8%D0%B5%20%D0%9E%D0%BB%D1%8C%D0%BC%D0%B5%D1%81%D0%B0%201984%20%D1%84%D0%B8%D0%BB%D1%8C%D0%BC","искать")</f>
        <v/>
      </c>
      <c r="N3432" s="3" t="n"/>
      <c r="O3432" s="2" t="n"/>
    </row>
    <row r="3433">
      <c r="A3433" s="2" t="n">
        <v>3432</v>
      </c>
      <c r="B3433" s="2" t="inlineStr"/>
      <c r="C3433" s="2" t="n">
        <v>7533</v>
      </c>
      <c r="D3433" s="3" t="inlineStr">
        <is>
          <t>Долгий путь в лабиринте</t>
        </is>
      </c>
      <c r="E3433" s="2" t="n">
        <v>1981</v>
      </c>
      <c r="F3433" s="2" t="inlineStr">
        <is>
          <t>телефильм</t>
        </is>
      </c>
      <c r="G3433" s="2" t="n"/>
      <c r="H3433" s="2" t="n">
        <v>345</v>
      </c>
      <c r="I3433" s="2" t="inlineStr"/>
      <c r="J3433" s="2" t="inlineStr"/>
      <c r="K3433" s="3" t="inlineStr">
        <is>
          <t>По роману Александра Насибова. Герои фильма - чекисты Саша Сизова и Шагин вывозят из захваченного белогвардейцами города конфискованные драгоценности и доставляют их в Киев. Вернувшись в освобожденный Красной Армией город, они разоблачают агента белогвардейцев, проникшего в ЧК, и принимают активное участие в разгроме банды полковника Шерстева.</t>
        </is>
      </c>
      <c r="L3433" s="2" t="inlineStr">
        <is>
          <t>Кино_СССР сводный каталог.xlsx: список телефильмов</t>
        </is>
      </c>
      <c r="M3433" s="2">
        <f>HYPERLINK("https://ru.wikipedia.org/w/index.php?search=%D0%94%D0%BE%D0%BB%D0%B3%D0%B8%D0%B9%20%D0%BF%D1%83%D1%82%D1%8C%20%D0%B2%20%D0%BB%D0%B0%D0%B1%D0%B8%D1%80%D0%B8%D0%BD%D1%82%D0%B5%201981%20%D1%84%D0%B8%D0%BB%D1%8C%D0%BC","искать")</f>
        <v/>
      </c>
      <c r="N3433" s="3" t="n"/>
      <c r="O3433" s="2" t="n"/>
    </row>
    <row r="3434">
      <c r="A3434" s="2" t="n">
        <v>3433</v>
      </c>
      <c r="B3434" s="2" t="inlineStr"/>
      <c r="C3434" s="2" t="n">
        <v>7938</v>
      </c>
      <c r="D3434" s="3" t="inlineStr">
        <is>
          <t>Надёжный человек</t>
        </is>
      </c>
      <c r="E3434" s="2" t="n">
        <v>1975</v>
      </c>
      <c r="F3434" s="2" t="inlineStr">
        <is>
          <t>телефильм</t>
        </is>
      </c>
      <c r="G3434" s="2" t="n"/>
      <c r="H3434" s="2" t="n">
        <v>345</v>
      </c>
      <c r="I3434" s="2" t="inlineStr"/>
      <c r="J3434" s="2" t="inlineStr"/>
      <c r="K3434" s="3" t="inlineStr">
        <is>
          <t>По мотивам романа Алеся Осипенко «Неприкаянный месяц». Врач Вера Павловна Занемонец с недавних пор работает в научно-исследовательском институте генетики, думает о диссертации. Ее жизнь вполне благополучна: любимая работа, семья. Однажды по срочному вызову Вера едет к сестре, которая живет в деревне и после аварии нуждается в срочной операции.</t>
        </is>
      </c>
      <c r="L3434" s="2" t="inlineStr">
        <is>
          <t>Кино_СССР сводный каталог.xlsx: список телефильмов</t>
        </is>
      </c>
      <c r="M3434" s="2">
        <f>HYPERLINK("https://ru.wikipedia.org/w/index.php?search=%D0%9D%D0%B0%D0%B4%D1%91%D0%B6%D0%BD%D1%8B%D0%B9%20%D1%87%D0%B5%D0%BB%D0%BE%D0%B2%D0%B5%D0%BA%201975%20%D1%84%D0%B8%D0%BB%D1%8C%D0%BC","искать")</f>
        <v/>
      </c>
      <c r="N3434" s="3" t="n"/>
      <c r="O3434" s="2" t="n"/>
    </row>
    <row r="3435">
      <c r="A3435" s="2" t="n">
        <v>3434</v>
      </c>
      <c r="B3435" s="2" t="inlineStr"/>
      <c r="C3435" s="2" t="n">
        <v>8305</v>
      </c>
      <c r="D3435" s="3" t="inlineStr">
        <is>
          <t>Свадьба соек</t>
        </is>
      </c>
      <c r="E3435" s="2" t="n">
        <v>1984</v>
      </c>
      <c r="F3435" s="2" t="inlineStr">
        <is>
          <t>телефильм</t>
        </is>
      </c>
      <c r="G3435" s="2" t="n"/>
      <c r="H3435" s="2" t="n">
        <v>345</v>
      </c>
      <c r="I3435" s="2" t="inlineStr"/>
      <c r="J3435" s="2" t="inlineStr"/>
      <c r="K3435" s="3" t="inlineStr">
        <is>
          <t>Телефильм-ревю по мотивам произведений Важа Пшавелы. Своеобразная "птичья" версия "Ромео и Джульетты". Две сойки, самец и самочка, любят друг друга. Вредные родители, озабоченные чистотой породы и ходом эволюции, не дают им воссоединиться. Тогда за дело принимается добрый старый ворон, и всё, естественно, заканчивается большим свадебным пиром.</t>
        </is>
      </c>
      <c r="L3435" s="2" t="inlineStr">
        <is>
          <t>Кино_СССР сводный каталог.xlsx: список телефильмов</t>
        </is>
      </c>
      <c r="M3435" s="2">
        <f>HYPERLINK("https://ru.wikipedia.org/w/index.php?search=%D0%A1%D0%B2%D0%B0%D0%B4%D1%8C%D0%B1%D0%B0%20%D1%81%D0%BE%D0%B5%D0%BA%201984%20%D1%84%D0%B8%D0%BB%D1%8C%D0%BC","искать")</f>
        <v/>
      </c>
      <c r="N3435" s="3" t="n"/>
      <c r="O3435" s="2" t="n"/>
    </row>
    <row r="3436">
      <c r="A3436" s="2" t="n">
        <v>3435</v>
      </c>
      <c r="B3436" s="2" t="inlineStr"/>
      <c r="C3436" s="2" t="n">
        <v>8333</v>
      </c>
      <c r="D3436" s="3" t="inlineStr">
        <is>
          <t>Семья Зитаров</t>
        </is>
      </c>
      <c r="E3436" s="2" t="n">
        <v>1990</v>
      </c>
      <c r="F3436" s="2" t="inlineStr">
        <is>
          <t>телефильм</t>
        </is>
      </c>
      <c r="G3436" s="2" t="n"/>
      <c r="H3436" s="2" t="n">
        <v>345</v>
      </c>
      <c r="I3436" s="2" t="inlineStr"/>
      <c r="J3436" s="2" t="inlineStr"/>
      <c r="K3436" s="3" t="inlineStr">
        <is>
          <t>По одноименному роману Вилиса Лациса. События, о которых идет речь в телефильме, разворачиваются в начале прошлого века, когда в России революция уже произошла, а в буржуазной Латвии она только начиналась. Перед членами простой крестьянской семьи Зитаров был сложный выбор: идти с революционерами или смириться с порядками буржуазной республики.</t>
        </is>
      </c>
      <c r="L3436" s="2" t="inlineStr">
        <is>
          <t>Кино_СССР сводный каталог.xlsx: список телефильмов</t>
        </is>
      </c>
      <c r="M3436" s="2">
        <f>HYPERLINK("https://ru.wikipedia.org/w/index.php?search=%D0%A1%D0%B5%D0%BC%D1%8C%D1%8F%20%D0%97%D0%B8%D1%82%D0%B0%D1%80%D0%BE%D0%B2%201990%20%D1%84%D0%B8%D0%BB%D1%8C%D0%BC","искать")</f>
        <v/>
      </c>
      <c r="N3436" s="3" t="n"/>
      <c r="O3436" s="2" t="n"/>
    </row>
    <row r="3437">
      <c r="A3437" s="2" t="n">
        <v>3436</v>
      </c>
      <c r="B3437" s="2" t="inlineStr"/>
      <c r="C3437" s="2" t="n">
        <v>8680</v>
      </c>
      <c r="D3437" s="3" t="inlineStr">
        <is>
          <t>Год хорошего ребёнка</t>
        </is>
      </c>
      <c r="E3437" s="2" t="n">
        <v>1991</v>
      </c>
      <c r="F3437" s="2" t="inlineStr">
        <is>
          <t>кинофильм</t>
        </is>
      </c>
      <c r="G3437" s="2" t="n"/>
      <c r="H3437" s="2" t="n">
        <v>345</v>
      </c>
      <c r="I3437" s="2" t="inlineStr"/>
      <c r="J3437" s="2" t="inlineStr"/>
      <c r="K3437" s="3" t="inlineStr">
        <is>
          <t>По мотивам одноименного романа Эдуарда Успенского и Элс де Грун. Рома Рогов был мальчиком талантливым и одаренным, что заметно уже на 4-й минуте фильма (взорвал учителя). Девочка из Германии по имени Рози запросто чинит папин мотороллер. Такие выдающиеся дети посылаются на Международный фестиваль гениальных детей в честь Года Хорошего ребенка.</t>
        </is>
      </c>
      <c r="L3437" s="2" t="inlineStr">
        <is>
          <t>Кино_СССР сводный каталог.xlsx: список фильмов (доп.)</t>
        </is>
      </c>
      <c r="M3437" s="2">
        <f>HYPERLINK("https://ru.wikipedia.org/w/index.php?search=%D0%93%D0%BE%D0%B4%20%D1%85%D0%BE%D1%80%D0%BE%D1%88%D0%B5%D0%B3%D0%BE%20%D1%80%D0%B5%D0%B1%D1%91%D0%BD%D0%BA%D0%B0%201991%20%D1%84%D0%B8%D0%BB%D1%8C%D0%BC","искать")</f>
        <v/>
      </c>
      <c r="N3437" s="3" t="n"/>
      <c r="O3437" s="2" t="n"/>
    </row>
    <row r="3438">
      <c r="A3438" s="2" t="n">
        <v>3437</v>
      </c>
      <c r="B3438" s="2" t="inlineStr"/>
      <c r="C3438" s="2" t="n">
        <v>7305</v>
      </c>
      <c r="D3438" s="3" t="inlineStr">
        <is>
          <t>Вальс</t>
        </is>
      </c>
      <c r="E3438" s="2" t="n">
        <v>1969</v>
      </c>
      <c r="F3438" s="2" t="inlineStr">
        <is>
          <t>телефильм</t>
        </is>
      </c>
      <c r="G3438" s="2" t="n"/>
      <c r="H3438" s="2" t="n">
        <v>346</v>
      </c>
      <c r="I3438" s="2" t="inlineStr"/>
      <c r="J3438" s="2" t="inlineStr"/>
      <c r="K3438" s="3" t="inlineStr">
        <is>
          <t>Телефильм о том, как тяжелые дни блокады Ленинграда объединили жильцов коммунальной квартиры. 1941 год. Подростка Петю Фролова берет соседская семья после гибели его матери. Мальчик идет работать на завод, а когда находится его младший брат Вовка, Петя стремится заменить ему отца. Фильм буквально пронизан вальсом Штрауса "Сказки Венского леса".</t>
        </is>
      </c>
      <c r="L3438" s="2" t="inlineStr">
        <is>
          <t>Кино_СССР сводный каталог.xlsx: список телефильмов</t>
        </is>
      </c>
      <c r="M3438" s="2">
        <f>HYPERLINK("https://ru.wikipedia.org/w/index.php?search=%D0%92%D0%B0%D0%BB%D1%8C%D1%81%201969%20%D1%84%D0%B8%D0%BB%D1%8C%D0%BC","искать")</f>
        <v/>
      </c>
      <c r="N3438" s="3" t="n"/>
      <c r="O3438" s="2" t="n"/>
    </row>
    <row r="3439">
      <c r="A3439" s="2" t="n">
        <v>3438</v>
      </c>
      <c r="B3439" s="2" t="inlineStr"/>
      <c r="C3439" s="2" t="n">
        <v>7392</v>
      </c>
      <c r="D3439" s="3" t="inlineStr">
        <is>
          <t>Время по солнцу</t>
        </is>
      </c>
      <c r="E3439" s="2" t="n">
        <v>1979</v>
      </c>
      <c r="F3439" s="2" t="inlineStr">
        <is>
          <t>телефильм</t>
        </is>
      </c>
      <c r="G3439" s="2" t="n"/>
      <c r="H3439" s="2" t="n">
        <v>346</v>
      </c>
      <c r="I3439" s="2" t="inlineStr"/>
      <c r="J3439" s="2" t="inlineStr"/>
      <c r="K3439" s="3" t="inlineStr">
        <is>
          <t>По мотивам повести В. Александрова "Блуждающие токи". В лаборатории научно-исследовательского института проводят важные экспериментальные работы, связанные с использованием солнечной энергии. Большую роль в поисках новых научных решений играет молодой ученый Хатамов. О его взаимоотношениях с коллегами и о любви, без которой не бывает молодости.</t>
        </is>
      </c>
      <c r="L3439" s="2" t="inlineStr">
        <is>
          <t>Кино_СССР сводный каталог.xlsx: список телефильмов</t>
        </is>
      </c>
      <c r="M3439" s="2">
        <f>HYPERLINK("https://ru.wikipedia.org/w/index.php?search=%D0%92%D1%80%D0%B5%D0%BC%D1%8F%20%D0%BF%D0%BE%20%D1%81%D0%BE%D0%BB%D0%BD%D1%86%D1%83%201979%20%D1%84%D0%B8%D0%BB%D1%8C%D0%BC","искать")</f>
        <v/>
      </c>
      <c r="N3439" s="3" t="n"/>
      <c r="O3439" s="2" t="n"/>
    </row>
    <row r="3440">
      <c r="A3440" s="2" t="n">
        <v>3439</v>
      </c>
      <c r="B3440" s="2" t="inlineStr"/>
      <c r="C3440" s="2" t="n">
        <v>7700</v>
      </c>
      <c r="D3440" s="3" t="inlineStr">
        <is>
          <t>Как пишется слово Солнце</t>
        </is>
      </c>
      <c r="E3440" s="2" t="n">
        <v>1978</v>
      </c>
      <c r="F3440" s="2" t="inlineStr">
        <is>
          <t>телефильм</t>
        </is>
      </c>
      <c r="G3440" s="2" t="n"/>
      <c r="H3440" s="2" t="n">
        <v>346</v>
      </c>
      <c r="I3440" s="2" t="inlineStr"/>
      <c r="J3440" s="2" t="inlineStr"/>
      <c r="K3440" s="3" t="inlineStr">
        <is>
          <t>По мотивам повести Ш. Бейшеналиева "Аманат". Аманат, оставленный матерью и после смерти отца рос у деда с бабкой. Волею судьбы, выехав на смотр художественной самодеятельности в город, он встречается с матерью. Материнское чувство всколыхнулось при встрече и мать всячески старается искупить вину перед сыном, хочет обрести его внимание и любовь.</t>
        </is>
      </c>
      <c r="L3440" s="2" t="inlineStr">
        <is>
          <t>Кино_СССР сводный каталог.xlsx: список телефильмов</t>
        </is>
      </c>
      <c r="M3440" s="2">
        <f>HYPERLINK("https://ru.wikipedia.org/w/index.php?search=%D0%9A%D0%B0%D0%BA%20%D0%BF%D0%B8%D1%88%D0%B5%D1%82%D1%81%D1%8F%20%D1%81%D0%BB%D0%BE%D0%B2%D0%BE%20%D0%A1%D0%BE%D0%BB%D0%BD%D1%86%D0%B5%201978%20%D1%84%D0%B8%D0%BB%D1%8C%D0%BC","искать")</f>
        <v/>
      </c>
      <c r="N3440" s="3" t="n"/>
      <c r="O3440" s="2" t="n"/>
    </row>
    <row r="3441">
      <c r="A3441" s="2" t="n">
        <v>3440</v>
      </c>
      <c r="B3441" s="2" t="inlineStr"/>
      <c r="C3441" s="2" t="n">
        <v>7808</v>
      </c>
      <c r="D3441" s="3" t="inlineStr">
        <is>
          <t>Ливень</t>
        </is>
      </c>
      <c r="E3441" s="2" t="n">
        <v>1979</v>
      </c>
      <c r="F3441" s="2" t="inlineStr">
        <is>
          <t>телефильм</t>
        </is>
      </c>
      <c r="G3441" s="2" t="n"/>
      <c r="H3441" s="2" t="n">
        <v>346</v>
      </c>
      <c r="I3441" s="2" t="inlineStr"/>
      <c r="J3441" s="2" t="inlineStr"/>
      <c r="K3441" s="3" t="inlineStr">
        <is>
          <t>Искандер, директор магазина, пытаясь добиться взаимности у продавщицы Нази, обвиняет ее в недостаче, а затем выступает в роли спасителя. В результате Нази впала в тяжелую депрессию, разочаровавшись в людях. Но пройдет немного времени и Нази встретит Азиза, офицера военно-морского флота, с которым она забудет кошмар, который ей навязал Искандер.</t>
        </is>
      </c>
      <c r="L3441" s="2" t="inlineStr">
        <is>
          <t>Кино_СССР сводный каталог.xlsx: список телефильмов</t>
        </is>
      </c>
      <c r="M3441" s="2">
        <f>HYPERLINK("https://ru.wikipedia.org/w/index.php?search=%D0%9B%D0%B8%D0%B2%D0%B5%D0%BD%D1%8C%201979%20%D1%84%D0%B8%D0%BB%D1%8C%D0%BC","искать")</f>
        <v/>
      </c>
      <c r="N3441" s="3" t="n"/>
      <c r="O3441" s="2" t="n"/>
    </row>
    <row r="3442">
      <c r="A3442" s="2" t="n">
        <v>3441</v>
      </c>
      <c r="B3442" s="2" t="inlineStr"/>
      <c r="C3442" s="2" t="n">
        <v>8034</v>
      </c>
      <c r="D3442" s="3" t="inlineStr">
        <is>
          <t>Одинокий автобус под дождём</t>
        </is>
      </c>
      <c r="E3442" s="2" t="n">
        <v>1986</v>
      </c>
      <c r="F3442" s="2" t="inlineStr">
        <is>
          <t>телефильм</t>
        </is>
      </c>
      <c r="G3442" s="2" t="n"/>
      <c r="H3442" s="2" t="n">
        <v>346</v>
      </c>
      <c r="I3442" s="2" t="inlineStr"/>
      <c r="J3442" s="2" t="inlineStr"/>
      <c r="K3442" s="3" t="inlineStr">
        <is>
          <t>Молодой капитан уголовного розыска Зенич расследует запутанное дело о краже крупной суммы денег из заводской кассы. В поле зрения следователя попадают двое подозреваемых: кассир Литвинова, которую берут под наблюдение, и матерый рецидивист Вул. Преступник, которому нечего терять, заметая следы, пытается направить расследование по ложному следу.</t>
        </is>
      </c>
      <c r="L3442" s="2" t="inlineStr">
        <is>
          <t>Кино_СССР сводный каталог.xlsx: список телефильмов</t>
        </is>
      </c>
      <c r="M3442" s="2">
        <f>HYPERLINK("https://ru.wikipedia.org/w/index.php?search=%D0%9E%D0%B4%D0%B8%D0%BD%D0%BE%D0%BA%D0%B8%D0%B9%20%D0%B0%D0%B2%D1%82%D0%BE%D0%B1%D1%83%D1%81%20%D0%BF%D0%BE%D0%B4%20%D0%B4%D0%BE%D0%B6%D0%B4%D1%91%D0%BC%201986%20%D1%84%D0%B8%D0%BB%D1%8C%D0%BC","искать")</f>
        <v/>
      </c>
      <c r="N3442" s="3" t="n"/>
      <c r="O3442" s="2" t="n"/>
    </row>
    <row r="3443">
      <c r="A3443" s="2" t="n">
        <v>3442</v>
      </c>
      <c r="B3443" s="2" t="inlineStr"/>
      <c r="C3443" s="2" t="n">
        <v>8339</v>
      </c>
      <c r="D3443" s="3" t="inlineStr">
        <is>
          <t>Сержант милиции</t>
        </is>
      </c>
      <c r="E3443" s="2" t="n">
        <v>1974</v>
      </c>
      <c r="F3443" s="2" t="inlineStr">
        <is>
          <t>телефильм</t>
        </is>
      </c>
      <c r="G3443" s="2" t="inlineStr">
        <is>
          <t>Ленфильм</t>
        </is>
      </c>
      <c r="H3443" s="2" t="n">
        <v>346</v>
      </c>
      <c r="I3443" s="2" t="inlineStr"/>
      <c r="J3443" s="2" t="inlineStr"/>
      <c r="K3443" s="3" t="inlineStr">
        <is>
          <t>Телефильм по одноименной повести Ивана Лазутина. Приехавшего поступать в Ленинградский университет из Сибири Алексея Северцева ловко обманывают опытные преступники. На вокзале им удается увлечь за собой и заманить Северцева в безлюдное место, избить и обворовать. Расследовать это происшествие поручают молодому сержанту милиции Николаю Захарову.</t>
        </is>
      </c>
      <c r="L3443" s="2" t="inlineStr">
        <is>
          <t>Кино_СССР сводный каталог.xlsx: список телефильмов</t>
        </is>
      </c>
      <c r="M3443" s="2">
        <f>HYPERLINK("https://ru.wikipedia.org/w/index.php?search=%D0%A1%D0%B5%D1%80%D0%B6%D0%B0%D0%BD%D1%82%20%D0%BC%D0%B8%D0%BB%D0%B8%D1%86%D0%B8%D0%B8%201974%20%D1%84%D0%B8%D0%BB%D1%8C%D0%BC","искать")</f>
        <v/>
      </c>
      <c r="N3443" s="3" t="n"/>
      <c r="O3443" s="2" t="n"/>
    </row>
    <row r="3444">
      <c r="A3444" s="2" t="n">
        <v>3443</v>
      </c>
      <c r="B3444" s="2" t="inlineStr"/>
      <c r="C3444" s="2" t="n">
        <v>9222</v>
      </c>
      <c r="D3444" s="3" t="inlineStr">
        <is>
          <t>Беглецы</t>
        </is>
      </c>
      <c r="E3444" s="2" t="n">
        <v>1932</v>
      </c>
      <c r="F3444" s="2" t="inlineStr">
        <is>
          <t>кинофильм</t>
        </is>
      </c>
      <c r="G3444" s="2" t="n"/>
      <c r="H3444" s="2" t="n">
        <v>346</v>
      </c>
      <c r="I3444" s="2" t="inlineStr"/>
      <c r="J3444" s="2" t="inlineStr"/>
      <c r="K3444" s="3" t="inlineStr">
        <is>
          <t>«Авторы фундаментального Доклада об основных этапах развития белорусской кинематографии (1932 г.) Л.Кацнельсон и Я.Бобрик формулируют тему картины следующим образом: «проблема дезертирства и его пагубного следствия для Красной Армии в будущей войне». Сюжет в их изложении таков: «Связист штаба с донесением наталкивается на линию огня противника.</t>
        </is>
      </c>
      <c r="L3444" s="2" t="inlineStr">
        <is>
          <t>Кино_СССР сводный каталог.xlsx: список фильмов (доп.)</t>
        </is>
      </c>
      <c r="M3444" s="2">
        <f>HYPERLINK("https://ru.wikipedia.org/w/index.php?search=%D0%91%D0%B5%D0%B3%D0%BB%D0%B5%D1%86%D1%8B%201932%20%D1%84%D0%B8%D0%BB%D1%8C%D0%BC","искать")</f>
        <v/>
      </c>
      <c r="N3444" s="3" t="n"/>
      <c r="O3444" s="2" t="n"/>
    </row>
    <row r="3445">
      <c r="A3445" s="2" t="n">
        <v>3444</v>
      </c>
      <c r="B3445" s="2" t="inlineStr"/>
      <c r="C3445" s="2" t="n">
        <v>7267</v>
      </c>
      <c r="D3445" s="3" t="inlineStr">
        <is>
          <t>Брак по-имеретински</t>
        </is>
      </c>
      <c r="E3445" s="2" t="n">
        <v>1979</v>
      </c>
      <c r="F3445" s="2" t="inlineStr">
        <is>
          <t>телефильм</t>
        </is>
      </c>
      <c r="G3445" s="2" t="n"/>
      <c r="H3445" s="2" t="n">
        <v>347</v>
      </c>
      <c r="I3445" s="2" t="inlineStr"/>
      <c r="J3445" s="2" t="inlineStr"/>
      <c r="K3445" s="3" t="inlineStr">
        <is>
          <t>Двухсерийный игровой телефильм по одноименному роману А. Эбаноидзе. Лирическая кинокомедия. Вернувшись домой, молодой скульптор Ладо решил подарить родному селу статую, которая бы украсила центральную площадь. В натурщицы он выбрал юную односельчанку Нуцу. Молодые люди сразу полюбили друг друга, но их чувствам пришлось пройти серьезную проверку.</t>
        </is>
      </c>
      <c r="L3445" s="2" t="inlineStr">
        <is>
          <t>Кино_СССР сводный каталог.xlsx: список телефильмов</t>
        </is>
      </c>
      <c r="M3445" s="2">
        <f>HYPERLINK("https://ru.wikipedia.org/w/index.php?search=%D0%91%D1%80%D0%B0%D0%BA%20%D0%BF%D0%BE-%D0%B8%D0%BC%D0%B5%D1%80%D0%B5%D1%82%D0%B8%D0%BD%D1%81%D0%BA%D0%B8%201979%20%D1%84%D0%B8%D0%BB%D1%8C%D0%BC","искать")</f>
        <v/>
      </c>
      <c r="N3445" s="3" t="n"/>
      <c r="O3445" s="2" t="n"/>
    </row>
    <row r="3446">
      <c r="A3446" s="2" t="n">
        <v>3445</v>
      </c>
      <c r="B3446" s="2" t="inlineStr"/>
      <c r="C3446" s="2" t="n">
        <v>7897</v>
      </c>
      <c r="D3446" s="3" t="inlineStr">
        <is>
          <t>Морские ворота</t>
        </is>
      </c>
      <c r="E3446" s="2" t="n">
        <v>1974</v>
      </c>
      <c r="F3446" s="2" t="inlineStr">
        <is>
          <t>телефильм</t>
        </is>
      </c>
      <c r="G3446" s="2" t="n"/>
      <c r="H3446" s="2" t="n">
        <v>347</v>
      </c>
      <c r="I3446" s="2" t="inlineStr"/>
      <c r="J3446" s="2" t="inlineStr"/>
      <c r="K3446" s="3" t="inlineStr">
        <is>
          <t>О семье капитана рыболовного судна Ансиса. У него жена Кристина, две взрослые дочери, Айна и Ева. Сын Кристап ушёл из дома, чтобы выбрать карьеру музыканта вопреки воле отца. Обе дочери — учителя. Муж дочери Айны Эдгар также как Ансис является капитаном рыбацкого судна. Младшая дочь Ева и капитан Йорен любят друг друга, хотя у Йорена есть семья.</t>
        </is>
      </c>
      <c r="L3446" s="2" t="inlineStr">
        <is>
          <t>Кино_СССР сводный каталог.xlsx: список телефильмов</t>
        </is>
      </c>
      <c r="M3446" s="2">
        <f>HYPERLINK("https://ru.wikipedia.org/w/index.php?search=%D0%9C%D0%BE%D1%80%D1%81%D0%BA%D0%B8%D0%B5%20%D0%B2%D0%BE%D1%80%D0%BE%D1%82%D0%B0%201974%20%D1%84%D0%B8%D0%BB%D1%8C%D0%BC","искать")</f>
        <v/>
      </c>
      <c r="N3446" s="3" t="n"/>
      <c r="O3446" s="2" t="n"/>
    </row>
    <row r="3447">
      <c r="A3447" s="2" t="n">
        <v>3446</v>
      </c>
      <c r="B3447" s="2" t="inlineStr"/>
      <c r="C3447" s="2" t="n">
        <v>8132</v>
      </c>
      <c r="D3447" s="3" t="inlineStr">
        <is>
          <t>Под крышами Монмартра</t>
        </is>
      </c>
      <c r="E3447" s="2" t="n">
        <v>1975</v>
      </c>
      <c r="F3447" s="2" t="inlineStr">
        <is>
          <t>телефильм</t>
        </is>
      </c>
      <c r="G3447" s="2" t="n"/>
      <c r="H3447" s="2" t="n">
        <v>347</v>
      </c>
      <c r="I3447" s="2" t="inlineStr"/>
      <c r="J3447" s="2" t="inlineStr"/>
      <c r="K3447" s="3" t="inlineStr">
        <is>
          <t>Телефильм. Экранизация оперетты Имре Кальмана "Фиалка Монмартра". Скромная продавщица цветов, жившая из милости у хозяина кафе, внезапно оказалась без крова и в долгах. И вряд ли убереглась бы она от судьбы дамы с камелиями, если бы не три друга - художник, музыкант и поэт - и другие обитатели артистического Монмартра, люди бедные и талантливые.</t>
        </is>
      </c>
      <c r="L3447" s="2" t="inlineStr">
        <is>
          <t>Кино_СССР сводный каталог.xlsx: список телефильмов</t>
        </is>
      </c>
      <c r="M3447" s="2">
        <f>HYPERLINK("https://ru.wikipedia.org/w/index.php?search=%D0%9F%D0%BE%D0%B4%20%D0%BA%D1%80%D1%8B%D1%88%D0%B0%D0%BC%D0%B8%20%D0%9C%D0%BE%D0%BD%D0%BC%D0%B0%D1%80%D1%82%D1%80%D0%B0%201975%20%D1%84%D0%B8%D0%BB%D1%8C%D0%BC","искать")</f>
        <v/>
      </c>
      <c r="N3447" s="3" t="n"/>
      <c r="O3447" s="2" t="n"/>
    </row>
    <row r="3448">
      <c r="A3448" s="2" t="n">
        <v>3447</v>
      </c>
      <c r="B3448" s="2" t="inlineStr"/>
      <c r="C3448" s="2" t="n">
        <v>8469</v>
      </c>
      <c r="D3448" s="3" t="inlineStr">
        <is>
          <t>Тревожные ночи в Самаре</t>
        </is>
      </c>
      <c r="E3448" s="2" t="n">
        <v>1969</v>
      </c>
      <c r="F3448" s="2" t="inlineStr">
        <is>
          <t>телефильм</t>
        </is>
      </c>
      <c r="G3448" s="2" t="n"/>
      <c r="H3448" s="2" t="n">
        <v>347</v>
      </c>
      <c r="I3448" s="2" t="inlineStr"/>
      <c r="J3448" s="2" t="inlineStr"/>
      <c r="K3448" s="3" t="inlineStr">
        <is>
          <t>В основу фильма положены подлинные события, происходившие в Самаре - контрреволюционный заговор 1921 года. Самарская ГубЧК с блеском разоблачает контрреволюционный бандитский заговор против Советской власти. Главные герои - вполне реальные люди. Председатель ЧК Левин (Владимир Емельянов) в жизни носил фамилию Бирн, в 30-е годы был репрессирован.</t>
        </is>
      </c>
      <c r="L3448" s="2" t="inlineStr">
        <is>
          <t>Кино_СССР сводный каталог.xlsx: список телефильмов</t>
        </is>
      </c>
      <c r="M3448" s="2">
        <f>HYPERLINK("https://ru.wikipedia.org/w/index.php?search=%D0%A2%D1%80%D0%B5%D0%B2%D0%BE%D0%B6%D0%BD%D1%8B%D0%B5%20%D0%BD%D0%BE%D1%87%D0%B8%20%D0%B2%20%D0%A1%D0%B0%D0%BC%D0%B0%D1%80%D0%B5%201969%20%D1%84%D0%B8%D0%BB%D1%8C%D0%BC","искать")</f>
        <v/>
      </c>
      <c r="N3448" s="3" t="n"/>
      <c r="O3448" s="2" t="n"/>
    </row>
    <row r="3449">
      <c r="A3449" s="2" t="n">
        <v>3448</v>
      </c>
      <c r="B3449" s="2" t="inlineStr"/>
      <c r="C3449" s="2" t="n">
        <v>9312</v>
      </c>
      <c r="D3449" s="3" t="inlineStr">
        <is>
          <t>Город Зеро</t>
        </is>
      </c>
      <c r="E3449" s="2" t="n">
        <v>1988</v>
      </c>
      <c r="F3449" s="2" t="inlineStr">
        <is>
          <t>кинофильм</t>
        </is>
      </c>
      <c r="G3449" s="2" t="n"/>
      <c r="H3449" s="2" t="n">
        <v>347</v>
      </c>
      <c r="I3449" s="2" t="inlineStr"/>
      <c r="J3449" s="2" t="inlineStr"/>
      <c r="K3449" s="3" t="inlineStr">
        <is>
          <t>"Режиссер отправил героя фильма в командировку. Что-то беспокоящее, настораживающее, внушающее опасение несут уже первые кадры ночного города: безлюдье, пустые улицы, словно вымершие дома, гулкая тишина, взрываемая подчеркнуто пронзительными звуками. Перед нами - заповедник прошлого, часы здесь не совсем остановились, они лишь чудовищно отстают.</t>
        </is>
      </c>
      <c r="L3449" s="2" t="inlineStr">
        <is>
          <t>Кино_СССР сводный каталог.xlsx: список фильмов (доп.)</t>
        </is>
      </c>
      <c r="M3449" s="2">
        <f>HYPERLINK("https://ru.wikipedia.org/w/index.php?search=%D0%93%D0%BE%D1%80%D0%BE%D0%B4%20%D0%97%D0%B5%D1%80%D0%BE%201988%20%D1%84%D0%B8%D0%BB%D1%8C%D0%BC","искать")</f>
        <v/>
      </c>
      <c r="N3449" s="3" t="n"/>
      <c r="O3449" s="2" t="n"/>
    </row>
    <row r="3450">
      <c r="A3450" s="2" t="n">
        <v>3449</v>
      </c>
      <c r="B3450" s="2" t="inlineStr"/>
      <c r="C3450" s="2" t="n">
        <v>9530</v>
      </c>
      <c r="D3450" s="3" t="inlineStr">
        <is>
          <t>Осень. Чертаново</t>
        </is>
      </c>
      <c r="E3450" s="2" t="n">
        <v>1988</v>
      </c>
      <c r="F3450" s="2" t="inlineStr">
        <is>
          <t>кинофильм</t>
        </is>
      </c>
      <c r="G3450" s="2" t="n"/>
      <c r="H3450" s="2" t="n">
        <v>347</v>
      </c>
      <c r="I3450" s="2" t="inlineStr"/>
      <c r="J3450" s="2" t="inlineStr"/>
      <c r="K3450" s="3" t="inlineStr">
        <is>
          <t>По мотивам повести «Ум лисицы» и других произведений Георгия Семенова. 1984 год. Писатель Федор страстно влюблен в молодую красивую женщину Марию, отвечающую ему взаимностью. Между тем, она замужем за физиком, которого, как она сама говорит, тоже любит и не может оставить. Сложный конфликт взаимоотношений главных героев заканчивается трагически.</t>
        </is>
      </c>
      <c r="L3450" s="2" t="inlineStr">
        <is>
          <t>Кино_СССР сводный каталог.xlsx: список фильмов (доп.)</t>
        </is>
      </c>
      <c r="M3450" s="2">
        <f>HYPERLINK("https://ru.wikipedia.org/w/index.php?search=%D0%9E%D1%81%D0%B5%D0%BD%D1%8C.%20%D0%A7%D0%B5%D1%80%D1%82%D0%B0%D0%BD%D0%BE%D0%B2%D0%BE%201988%20%D1%84%D0%B8%D0%BB%D1%8C%D0%BC","искать")</f>
        <v/>
      </c>
      <c r="N3450" s="3" t="n"/>
      <c r="O3450" s="2" t="n"/>
    </row>
    <row r="3451">
      <c r="A3451" s="2" t="n">
        <v>3450</v>
      </c>
      <c r="B3451" s="2" t="inlineStr"/>
      <c r="C3451" s="2" t="n">
        <v>9566</v>
      </c>
      <c r="D3451" s="3" t="inlineStr">
        <is>
          <t>Поездка в Висбаден</t>
        </is>
      </c>
      <c r="E3451" s="2" t="n">
        <v>1989</v>
      </c>
      <c r="F3451" s="2" t="inlineStr">
        <is>
          <t>кинофильм</t>
        </is>
      </c>
      <c r="G3451" s="2" t="n"/>
      <c r="H3451" s="2" t="n">
        <v>347</v>
      </c>
      <c r="I3451" s="2" t="inlineStr"/>
      <c r="J3451" s="2" t="inlineStr"/>
      <c r="K3451" s="3" t="inlineStr">
        <is>
          <t>По мотивам повести И.С.Тургенева "Вешние воды". По центральной площади Вены, у здания городской ратуши, прогуливался щеголеватый молодой человек в коричневом костюме, в цилиндре и с тросточкой. Все ему было здесь ново: узенькие улочки старого европейского города, торговцы зеленью, разноцветные картинки в окнах приветливых маленьких магазинчиков.</t>
        </is>
      </c>
      <c r="L3451" s="2" t="inlineStr">
        <is>
          <t>Кино_СССР сводный каталог.xlsx: список фильмов (доп.)</t>
        </is>
      </c>
      <c r="M3451" s="2">
        <f>HYPERLINK("https://ru.wikipedia.org/w/index.php?search=%D0%9F%D0%BE%D0%B5%D0%B7%D0%B4%D0%BA%D0%B0%20%D0%B2%20%D0%92%D0%B8%D1%81%D0%B1%D0%B0%D0%B4%D0%B5%D0%BD%201989%20%D1%84%D0%B8%D0%BB%D1%8C%D0%BC","искать")</f>
        <v/>
      </c>
      <c r="N3451" s="3" t="n"/>
      <c r="O3451" s="2" t="n"/>
    </row>
    <row r="3452">
      <c r="A3452" s="2" t="n">
        <v>3451</v>
      </c>
      <c r="B3452" s="2" t="inlineStr"/>
      <c r="C3452" s="2" t="n">
        <v>7893</v>
      </c>
      <c r="D3452" s="3" t="inlineStr">
        <is>
          <t>Мой старший брат</t>
        </is>
      </c>
      <c r="E3452" s="2" t="n">
        <v>1976</v>
      </c>
      <c r="F3452" s="2" t="inlineStr">
        <is>
          <t>телефильм</t>
        </is>
      </c>
      <c r="G3452" s="2" t="n"/>
      <c r="H3452" s="2" t="n">
        <v>348</v>
      </c>
      <c r="I3452" s="2" t="inlineStr"/>
      <c r="J3452" s="2" t="inlineStr"/>
      <c r="K3452" s="3" t="inlineStr">
        <is>
          <t>Телефильм. После автомобильной катастрофы Бахтияр взял на себя вину жены, управлявшей машиной. Но это не изменило плохих отношений между ними, жена ушла к другому, пока Бахтияр выздоравливал в больнице. После случившегося трудно было Бахтияру верить людям. Только Вере, школьной подруге его младшего брата, удалось вселить в него надежду на любовь.</t>
        </is>
      </c>
      <c r="L3452" s="2" t="inlineStr">
        <is>
          <t>Кино_СССР сводный каталог.xlsx: список телефильмов</t>
        </is>
      </c>
      <c r="M3452" s="2">
        <f>HYPERLINK("https://ru.wikipedia.org/w/index.php?search=%D0%9C%D0%BE%D0%B9%20%D1%81%D1%82%D0%B0%D1%80%D1%88%D0%B8%D0%B9%20%D0%B1%D1%80%D0%B0%D1%82%201976%20%D1%84%D0%B8%D0%BB%D1%8C%D0%BC","искать")</f>
        <v/>
      </c>
      <c r="N3452" s="3" t="n"/>
      <c r="O3452" s="2" t="n"/>
    </row>
    <row r="3453">
      <c r="A3453" s="2" t="n">
        <v>3452</v>
      </c>
      <c r="B3453" s="2" t="inlineStr"/>
      <c r="C3453" s="2" t="n">
        <v>8466</v>
      </c>
      <c r="D3453" s="3" t="inlineStr">
        <is>
          <t>Трава зелена</t>
        </is>
      </c>
      <c r="E3453" s="2" t="n">
        <v>1986</v>
      </c>
      <c r="F3453" s="2" t="inlineStr">
        <is>
          <t>телефильм</t>
        </is>
      </c>
      <c r="G3453" s="2" t="n"/>
      <c r="H3453" s="2" t="n">
        <v>348</v>
      </c>
      <c r="I3453" s="2" t="inlineStr"/>
      <c r="J3453" s="2" t="inlineStr"/>
      <c r="K3453" s="3" t="inlineStr">
        <is>
          <t>Мирно протекает жизнь в семье Анны и Николая, хотя жена каждый день встречает и провожает пароход, на котором работает Иван - ее первая любовь. Анна - уводит колхозных коров от деревенского «активиста» Репехина, безответственного и несерьезного типа, и прячет их на заброшенном займище. Расследование этого дела поручено лейтенанту милиции Коржову.</t>
        </is>
      </c>
      <c r="L3453" s="2" t="inlineStr">
        <is>
          <t>Кино_СССР сводный каталог.xlsx: список телефильмов</t>
        </is>
      </c>
      <c r="M3453" s="2">
        <f>HYPERLINK("https://ru.wikipedia.org/w/index.php?search=%D0%A2%D1%80%D0%B0%D0%B2%D0%B0%20%D0%B7%D0%B5%D0%BB%D0%B5%D0%BD%D0%B0%201986%20%D1%84%D0%B8%D0%BB%D1%8C%D0%BC","искать")</f>
        <v/>
      </c>
      <c r="N3453" s="3" t="n"/>
      <c r="O3453" s="2" t="n"/>
    </row>
    <row r="3454">
      <c r="A3454" s="2" t="n">
        <v>3453</v>
      </c>
      <c r="B3454" s="2" t="inlineStr"/>
      <c r="C3454" s="2" t="n">
        <v>8780</v>
      </c>
      <c r="D3454" s="3" t="inlineStr">
        <is>
          <t>Кровь за кровь</t>
        </is>
      </c>
      <c r="E3454" s="2" t="n">
        <v>1991</v>
      </c>
      <c r="F3454" s="2" t="inlineStr">
        <is>
          <t>кинофильм</t>
        </is>
      </c>
      <c r="G3454" s="2" t="n"/>
      <c r="H3454" s="2" t="n">
        <v>348</v>
      </c>
      <c r="I3454" s="2" t="inlineStr"/>
      <c r="J3454" s="2" t="inlineStr"/>
      <c r="K3454" s="3" t="inlineStr">
        <is>
          <t>Сюжет фильма основан на реальном уголовном деле, когда несколько лет назад шайка преступников убивала видных военачальников с целью кражи их боевых наград. Совершено убийство отставного генерала Гриднева, а его квартира ограблена. Майор милиции Таганцев выходит на наводчиков бандитов. Но вору-рецидивисту по кличке Валек удается переиграть сыщика.</t>
        </is>
      </c>
      <c r="L3454" s="2" t="inlineStr">
        <is>
          <t>Кино_СССР сводный каталог.xlsx: список фильмов (доп.)</t>
        </is>
      </c>
      <c r="M3454" s="2">
        <f>HYPERLINK("https://ru.wikipedia.org/w/index.php?search=%D0%9A%D1%80%D0%BE%D0%B2%D1%8C%20%D0%B7%D0%B0%20%D0%BA%D1%80%D0%BE%D0%B2%D1%8C%201991%20%D1%84%D0%B8%D0%BB%D1%8C%D0%BC","искать")</f>
        <v/>
      </c>
      <c r="N3454" s="3" t="n"/>
      <c r="O3454" s="2" t="n"/>
    </row>
    <row r="3455">
      <c r="A3455" s="2" t="n">
        <v>3454</v>
      </c>
      <c r="B3455" s="2" t="inlineStr"/>
      <c r="C3455" s="2" t="n">
        <v>9013</v>
      </c>
      <c r="D3455" s="3" t="inlineStr">
        <is>
          <t>Рисованный круг</t>
        </is>
      </c>
      <c r="E3455" s="2" t="n">
        <v>1988</v>
      </c>
      <c r="F3455" s="2" t="inlineStr">
        <is>
          <t>кинофильм</t>
        </is>
      </c>
      <c r="G3455" s="2" t="n"/>
      <c r="H3455" s="2" t="n">
        <v>348</v>
      </c>
      <c r="I3455" s="2" t="inlineStr"/>
      <c r="J3455" s="2" t="inlineStr"/>
      <c r="K3455" s="3" t="inlineStr">
        <is>
          <t>Гипнотизер и фокусник Давид Чейшвили, пытаясь вызволить из мелкой уголовной истории своего сына, идет на некоторую уступку следователю и помогает получить заветную подпись в показаниях некоего подсудимого. В ход пущены способности гипнотизера. Фокус удается и жертва расписывается под показаниями, однако правила игры нарушаются самим следователем.</t>
        </is>
      </c>
      <c r="L3455" s="2" t="inlineStr">
        <is>
          <t>Кино_СССР сводный каталог.xlsx: список фильмов (доп.)</t>
        </is>
      </c>
      <c r="M3455" s="2">
        <f>HYPERLINK("https://ru.wikipedia.org/w/index.php?search=%D0%A0%D0%B8%D1%81%D0%BE%D0%B2%D0%B0%D0%BD%D0%BD%D1%8B%D0%B9%20%D0%BA%D1%80%D1%83%D0%B3%201988%20%D1%84%D0%B8%D0%BB%D1%8C%D0%BC","искать")</f>
        <v/>
      </c>
      <c r="N3455" s="3" t="n"/>
      <c r="O3455" s="2" t="n"/>
    </row>
    <row r="3456">
      <c r="A3456" s="2" t="n">
        <v>3455</v>
      </c>
      <c r="B3456" s="2" t="inlineStr"/>
      <c r="C3456" s="2" t="n">
        <v>9270</v>
      </c>
      <c r="D3456" s="3" t="inlineStr">
        <is>
          <t>Взгляд</t>
        </is>
      </c>
      <c r="E3456" s="2" t="n">
        <v>1988</v>
      </c>
      <c r="F3456" s="2" t="inlineStr">
        <is>
          <t>кинофильм</t>
        </is>
      </c>
      <c r="G3456" s="2" t="n"/>
      <c r="H3456" s="2" t="n">
        <v>348</v>
      </c>
      <c r="I3456" s="2" t="inlineStr"/>
      <c r="J3456" s="2" t="inlineStr"/>
      <c r="K3456" s="3" t="inlineStr">
        <is>
          <t>Семейная драма с трагическим финалом. Причина конфликта - тема национальных отношений. Юный герой Далер - наполовину таджик, наполовину, как он полагает - русский. Его мать - карачаевка, случайно спасшаяся от сталинского геноцида и скрывающая свою национальность. Далер получает паспорт и хочет записать в графе "национальность" - "гражданин СССР".</t>
        </is>
      </c>
      <c r="L3456" s="2" t="inlineStr">
        <is>
          <t>Кино_СССР сводный каталог.xlsx: список фильмов (доп.)</t>
        </is>
      </c>
      <c r="M3456" s="2">
        <f>HYPERLINK("https://ru.wikipedia.org/w/index.php?search=%D0%92%D0%B7%D0%B3%D0%BB%D1%8F%D0%B4%201988%20%D1%84%D0%B8%D0%BB%D1%8C%D0%BC","искать")</f>
        <v/>
      </c>
      <c r="N3456" s="3" t="n"/>
      <c r="O3456" s="2" t="n"/>
    </row>
    <row r="3457">
      <c r="A3457" s="2" t="n">
        <v>3456</v>
      </c>
      <c r="B3457" s="2" t="inlineStr"/>
      <c r="C3457" s="2" t="n">
        <v>10539</v>
      </c>
      <c r="D3457" s="3" t="inlineStr">
        <is>
          <t>Андро и Сандро</t>
        </is>
      </c>
      <c r="E3457" s="2" t="n">
        <v>1974</v>
      </c>
      <c r="F3457" s="2" t="inlineStr">
        <is>
          <t>фильм-спектакль</t>
        </is>
      </c>
      <c r="G3457" s="2" t="inlineStr">
        <is>
          <t>Центральное телевидение</t>
        </is>
      </c>
      <c r="H3457" s="2" t="n">
        <v>348</v>
      </c>
      <c r="I3457" s="2" t="inlineStr"/>
      <c r="J3457" s="2" t="inlineStr"/>
      <c r="K3457" s="3" t="inlineStr">
        <is>
          <t>Постановка Театра Сатиры по пьесе Георгия Хугаева.
Прекрасный дуэт Георгий Менглет и Роман Ткачук (Андро и Сандро) показали всем настоящую стариковскую дружбу. Самоотверженные осетинские ветераны колхоза с безграничным чувством юмора выдержали множество испытаний, дав назло друг другу обещание никогда не ссориться, и даже обрели настоящую любовь.</t>
        </is>
      </c>
      <c r="L3457" s="2" t="inlineStr">
        <is>
          <t>https://www.kino-teatr.ru/teatr/movie/81423/annot/</t>
        </is>
      </c>
      <c r="M3457" s="2">
        <f>HYPERLINK("https://ru.wikipedia.org/w/index.php?search=%D0%90%D0%BD%D0%B4%D1%80%D0%BE%20%D0%B8%20%D0%A1%D0%B0%D0%BD%D0%B4%D1%80%D0%BE%201974%20%D1%84%D0%B8%D0%BB%D1%8C%D0%BC","искать")</f>
        <v/>
      </c>
      <c r="N3457" s="3" t="n"/>
      <c r="O3457" s="2" t="n"/>
    </row>
    <row r="3458">
      <c r="A3458" s="2" t="n">
        <v>3457</v>
      </c>
      <c r="B3458" s="2" t="inlineStr"/>
      <c r="C3458" s="2" t="n">
        <v>7318</v>
      </c>
      <c r="D3458" s="3" t="inlineStr">
        <is>
          <t>Великое противостояние</t>
        </is>
      </c>
      <c r="E3458" s="2" t="n">
        <v>1974</v>
      </c>
      <c r="F3458" s="2" t="inlineStr">
        <is>
          <t>телефильм</t>
        </is>
      </c>
      <c r="G3458" s="2" t="n"/>
      <c r="H3458" s="2" t="n">
        <v>349</v>
      </c>
      <c r="I3458" s="2" t="inlineStr"/>
      <c r="J3458" s="2" t="inlineStr"/>
      <c r="K3458" s="3" t="inlineStr">
        <is>
          <t>Телефильм по мотивам одноименной повести Льва Кассиля (1941—1947). Героиня фильма — ученый Серафима Андреевна Крупицына. Еще в школьные времена своей жизни она принимала участие в съемках фильма об Отечественной войне 1812 года, где исполнила роль партизанки. Позже, в годы Великой Отечественной войны, она фактически повторила подвиг своей героини.</t>
        </is>
      </c>
      <c r="L3458" s="2" t="inlineStr">
        <is>
          <t>Кино_СССР сводный каталог.xlsx: список телефильмов</t>
        </is>
      </c>
      <c r="M3458" s="2">
        <f>HYPERLINK("https://ru.wikipedia.org/w/index.php?search=%D0%92%D0%B5%D0%BB%D0%B8%D0%BA%D0%BE%D0%B5%20%D0%BF%D1%80%D0%BE%D1%82%D0%B8%D0%B2%D0%BE%D1%81%D1%82%D0%BE%D1%8F%D0%BD%D0%B8%D0%B5%201974%20%D1%84%D0%B8%D0%BB%D1%8C%D0%BC","искать")</f>
        <v/>
      </c>
      <c r="N3458" s="3" t="n"/>
      <c r="O3458" s="2" t="n"/>
    </row>
    <row r="3459">
      <c r="A3459" s="2" t="n">
        <v>3458</v>
      </c>
      <c r="B3459" s="2" t="inlineStr"/>
      <c r="C3459" s="2" t="n">
        <v>7477</v>
      </c>
      <c r="D3459" s="3" t="inlineStr">
        <is>
          <t>Два капитана</t>
        </is>
      </c>
      <c r="E3459" s="2" t="n">
        <v>1976</v>
      </c>
      <c r="F3459" s="2" t="inlineStr">
        <is>
          <t>телефильм</t>
        </is>
      </c>
      <c r="G3459" s="2" t="inlineStr">
        <is>
          <t>Мосфильм</t>
        </is>
      </c>
      <c r="H3459" s="2" t="n">
        <v>349</v>
      </c>
      <c r="I3459" s="2" t="inlineStr"/>
      <c r="J3459" s="2" t="inlineStr"/>
      <c r="K3459" s="3" t="inlineStr">
        <is>
          <t>Телесериал. Знаменитая экранизация романа Вениамина Каверина. Удивительная история о любви и дружбе, стойкости и слабости, верности и предательстве, пронизанная духом романтики и приключений. История Саши Григорьева, с детских лет поставившего перед собой благородную и трудную задачу - раскрыть тайну гибели полярной экспедиции капитана Татаринова.</t>
        </is>
      </c>
      <c r="L3459" s="2" t="inlineStr">
        <is>
          <t>Кино_СССР сводный каталог.xlsx: список телефильмов</t>
        </is>
      </c>
      <c r="M3459" s="2">
        <f>HYPERLINK("https://ru.wikipedia.org/w/index.php?search=%D0%94%D0%B2%D0%B0%20%D0%BA%D0%B0%D0%BF%D0%B8%D1%82%D0%B0%D0%BD%D0%B0%201976%20%D1%84%D0%B8%D0%BB%D1%8C%D0%BC","искать")</f>
        <v/>
      </c>
      <c r="N3459" s="3" t="n"/>
      <c r="O3459" s="2" t="n"/>
    </row>
    <row r="3460">
      <c r="A3460" s="2" t="n">
        <v>3459</v>
      </c>
      <c r="B3460" s="2" t="inlineStr"/>
      <c r="C3460" s="2" t="n">
        <v>7952</v>
      </c>
      <c r="D3460" s="3" t="inlineStr">
        <is>
          <t>Наследница "Оборотней"</t>
        </is>
      </c>
      <c r="E3460" s="2" t="n">
        <v>1990</v>
      </c>
      <c r="F3460" s="2" t="inlineStr">
        <is>
          <t>телефильм</t>
        </is>
      </c>
      <c r="G3460" s="2" t="n"/>
      <c r="H3460" s="2" t="n">
        <v>349</v>
      </c>
      <c r="I3460" s="2" t="inlineStr"/>
      <c r="J3460" s="2" t="inlineStr"/>
      <c r="K3460" s="3" t="inlineStr">
        <is>
          <t>Телефильм по мотивам одноименного романа И.Леймане. О событиях середины 19 века, когда были распространены основанные на языческих верованиях легенды о ведьмах, оборотнях и другой нечистой силе, помогающей одним и приносящей беду другим. Это рассказ о сильной любви Андрея и Алине, которые смогли преодолеть и предрассудки, и недоверие, и ненависть.</t>
        </is>
      </c>
      <c r="L3460" s="2" t="inlineStr">
        <is>
          <t>Кино_СССР сводный каталог.xlsx: список телефильмов</t>
        </is>
      </c>
      <c r="M3460" s="2">
        <f>HYPERLINK("https://ru.wikipedia.org/w/index.php?search=%D0%9D%D0%B0%D1%81%D0%BB%D0%B5%D0%B4%D0%BD%D0%B8%D1%86%D0%B0%20%22%D0%9E%D0%B1%D0%BE%D1%80%D0%BE%D1%82%D0%BD%D0%B5%D0%B9%22%201990%20%D1%84%D0%B8%D0%BB%D1%8C%D0%BC","искать")</f>
        <v/>
      </c>
      <c r="N3460" s="3" t="n"/>
      <c r="O3460" s="2" t="n"/>
    </row>
    <row r="3461">
      <c r="A3461" s="2" t="n">
        <v>3460</v>
      </c>
      <c r="B3461" s="2" t="inlineStr"/>
      <c r="C3461" s="2" t="n">
        <v>8101</v>
      </c>
      <c r="D3461" s="3" t="inlineStr">
        <is>
          <t>Переходный возраст</t>
        </is>
      </c>
      <c r="E3461" s="2" t="n">
        <v>1981</v>
      </c>
      <c r="F3461" s="2" t="inlineStr">
        <is>
          <t>телефильм</t>
        </is>
      </c>
      <c r="G3461" s="2" t="n"/>
      <c r="H3461" s="2" t="n">
        <v>349</v>
      </c>
      <c r="I3461" s="2" t="inlineStr"/>
      <c r="J3461" s="2" t="inlineStr"/>
      <c r="K3461" s="3" t="inlineStr">
        <is>
          <t>Телефильм. Четырнадцатилетняя Ануца живет вдвоем с отцом. Ему, администратору филармонии, приходится часто бывать в отъезде, и тогда девочка остается одна. Но она к этому привыкла и давно уже стала самостоятельной. Ануца была предоставлена сама себе до тех пор, пока в их доме не появилась актриса Изольда, папина подруга, и не завоевала ее доверие.</t>
        </is>
      </c>
      <c r="L3461" s="2" t="inlineStr">
        <is>
          <t>Кино_СССР сводный каталог.xlsx: список телефильмов</t>
        </is>
      </c>
      <c r="M3461" s="2">
        <f>HYPERLINK("https://ru.wikipedia.org/w/index.php?search=%D0%9F%D0%B5%D1%80%D0%B5%D1%85%D0%BE%D0%B4%D0%BD%D1%8B%D0%B9%20%D0%B2%D0%BE%D0%B7%D1%80%D0%B0%D1%81%D1%82%201981%20%D1%84%D0%B8%D0%BB%D1%8C%D0%BC","искать")</f>
        <v/>
      </c>
      <c r="N3461" s="3" t="n"/>
      <c r="O3461" s="2" t="n"/>
    </row>
    <row r="3462">
      <c r="A3462" s="2" t="n">
        <v>3461</v>
      </c>
      <c r="B3462" s="2" t="inlineStr"/>
      <c r="C3462" s="2" t="n">
        <v>8420</v>
      </c>
      <c r="D3462" s="3" t="inlineStr">
        <is>
          <t>Схватка</t>
        </is>
      </c>
      <c r="E3462" s="2" t="n">
        <v>1982</v>
      </c>
      <c r="F3462" s="2" t="inlineStr">
        <is>
          <t>телефильм</t>
        </is>
      </c>
      <c r="G3462" s="2" t="n"/>
      <c r="H3462" s="2" t="n">
        <v>349</v>
      </c>
      <c r="I3462" s="2" t="inlineStr"/>
      <c r="J3462" s="2" t="inlineStr"/>
      <c r="K3462" s="3" t="inlineStr">
        <is>
          <t>Телефильм. Старый коряк Комо, один из лучших охотников поселка, собирается уйти в тундру, чтобы там, согласно обычаям предков, умереть вдали от людей. Несмотря на измучившее его недомогание, герой решает выполнить последнее поручение и берется отвезти крупную сумму денег в дальний поселок. В пути Комо встречается с бежавшим из заключения Степаном.</t>
        </is>
      </c>
      <c r="L3462" s="2" t="inlineStr">
        <is>
          <t>Кино_СССР сводный каталог.xlsx: список телефильмов</t>
        </is>
      </c>
      <c r="M3462" s="2">
        <f>HYPERLINK("https://ru.wikipedia.org/w/index.php?search=%D0%A1%D1%85%D0%B2%D0%B0%D1%82%D0%BA%D0%B0%201982%20%D1%84%D0%B8%D0%BB%D1%8C%D0%BC","искать")</f>
        <v/>
      </c>
      <c r="N3462" s="3" t="n"/>
      <c r="O3462" s="2" t="n"/>
    </row>
    <row r="3463">
      <c r="A3463" s="2" t="n">
        <v>3462</v>
      </c>
      <c r="B3463" s="2" t="inlineStr"/>
      <c r="C3463" s="2" t="n">
        <v>8604</v>
      </c>
      <c r="D3463" s="3" t="inlineStr">
        <is>
          <t>Ювелирное дело</t>
        </is>
      </c>
      <c r="E3463" s="2" t="n">
        <v>1983</v>
      </c>
      <c r="F3463" s="2" t="inlineStr">
        <is>
          <t>телефильм</t>
        </is>
      </c>
      <c r="G3463" s="2" t="inlineStr">
        <is>
          <t>Лентелефильм</t>
        </is>
      </c>
      <c r="H3463" s="2" t="n">
        <v>349</v>
      </c>
      <c r="I3463" s="2" t="inlineStr"/>
      <c r="J3463" s="2" t="inlineStr"/>
      <c r="K3463" s="3" t="inlineStr">
        <is>
          <t>На пульт вневедомственной охраны поступил сигнал. В дверях охраняемой квартиры милиция задерживает воришку. У него находят мешочек с золотыми изделиями. После допроса он сам показывает, где он их взял. Это - квартира работника ювелирного магазина “Яхонт” Зои Малининой. Она о пропаже не заявляла. Начальник отдела чувствует, что это дело не простое.</t>
        </is>
      </c>
      <c r="L3463" s="2" t="inlineStr">
        <is>
          <t>Кино_СССР сводный каталог.xlsx: список телефильмов</t>
        </is>
      </c>
      <c r="M3463" s="2">
        <f>HYPERLINK("https://ru.wikipedia.org/w/index.php?search=%D0%AE%D0%B2%D0%B5%D0%BB%D0%B8%D1%80%D0%BD%D0%BE%D0%B5%20%D0%B4%D0%B5%D0%BB%D0%BE%201983%20%D1%84%D0%B8%D0%BB%D1%8C%D0%BC","искать")</f>
        <v/>
      </c>
      <c r="N3463" s="3" t="n"/>
      <c r="O3463" s="2" t="n"/>
    </row>
    <row r="3464">
      <c r="A3464" s="2" t="n">
        <v>3463</v>
      </c>
      <c r="B3464" s="2" t="inlineStr"/>
      <c r="C3464" s="2" t="n">
        <v>9256</v>
      </c>
      <c r="D3464" s="3" t="inlineStr">
        <is>
          <t>Бурса</t>
        </is>
      </c>
      <c r="E3464" s="2" t="n">
        <v>1990</v>
      </c>
      <c r="F3464" s="2" t="inlineStr">
        <is>
          <t>кинофильм</t>
        </is>
      </c>
      <c r="G3464" s="2" t="inlineStr">
        <is>
          <t>к/с им. Горького</t>
        </is>
      </c>
      <c r="H3464" s="2" t="n">
        <v>349</v>
      </c>
      <c r="I3464" s="2" t="inlineStr"/>
      <c r="J3464" s="2" t="inlineStr"/>
      <c r="K3464" s="3" t="inlineStr">
        <is>
          <t>По мотивам повести Н. Г. Помяловского "Очерки бурсы". Бурса - это школа молодых священников, где учатся мальчики из поповских семей. В наказание за малейшую провинность - розги. Но приходит в школу новый воспитатель. Розги отменяются, а вместо них - наушничество и фискальство. И разрушается товарищество бурсаков, некогда сплотившихся против розог.</t>
        </is>
      </c>
      <c r="L3464" s="2" t="inlineStr">
        <is>
          <t>Кино_СССР сводный каталог.xlsx: список фильмов (доп.)</t>
        </is>
      </c>
      <c r="M3464" s="2">
        <f>HYPERLINK("https://ru.wikipedia.org/w/index.php?search=%D0%91%D1%83%D1%80%D1%81%D0%B0%201990%20%D1%84%D0%B8%D0%BB%D1%8C%D0%BC","искать")</f>
        <v/>
      </c>
      <c r="N3464" s="3" t="n"/>
      <c r="O3464" s="2" t="n"/>
    </row>
    <row r="3465">
      <c r="A3465" s="2" t="n">
        <v>3464</v>
      </c>
      <c r="B3465" s="2" t="inlineStr"/>
      <c r="C3465" s="2" t="n">
        <v>9580</v>
      </c>
      <c r="D3465" s="3" t="inlineStr">
        <is>
          <t>Прежде, чем расстаться</t>
        </is>
      </c>
      <c r="E3465" s="2" t="n">
        <v>1984</v>
      </c>
      <c r="F3465" s="2" t="inlineStr">
        <is>
          <t>кинофильм</t>
        </is>
      </c>
      <c r="G3465" s="2" t="n"/>
      <c r="H3465" s="2" t="n">
        <v>349</v>
      </c>
      <c r="I3465" s="2" t="inlineStr"/>
      <c r="J3465" s="2" t="inlineStr"/>
      <c r="K3465" s="3" t="inlineStr">
        <is>
          <t>В годы войны для перегона самолётов по маршруту Аляска-Россия-фронт был построен аэропорт, где спустя сорок лет, встретились сын американского лётчика, посетившего в те времена эти места, и русская женщина Антонина, которой американец обязан жизнью. Причастность к этому событию объединила героев, которые в ожидании рейса проводят вместе один день.</t>
        </is>
      </c>
      <c r="L3465" s="2" t="inlineStr">
        <is>
          <t>Кино_СССР сводный каталог.xlsx: список фильмов (доп.)</t>
        </is>
      </c>
      <c r="M3465" s="2">
        <f>HYPERLINK("https://ru.wikipedia.org/w/index.php?search=%D0%9F%D1%80%D0%B5%D0%B6%D0%B4%D0%B5%2C%20%D1%87%D0%B5%D0%BC%20%D1%80%D0%B0%D1%81%D1%81%D1%82%D0%B0%D1%82%D1%8C%D1%81%D1%8F%201984%20%D1%84%D0%B8%D0%BB%D1%8C%D0%BC","искать")</f>
        <v/>
      </c>
      <c r="N3465" s="3" t="n"/>
      <c r="O3465" s="2" t="n"/>
    </row>
    <row r="3466">
      <c r="A3466" s="2" t="n">
        <v>3465</v>
      </c>
      <c r="B3466" s="2" t="inlineStr"/>
      <c r="C3466" s="2" t="n">
        <v>9729</v>
      </c>
      <c r="D3466" s="3" t="inlineStr">
        <is>
          <t>Ха-би-ассы</t>
        </is>
      </c>
      <c r="E3466" s="2" t="n">
        <v>1990</v>
      </c>
      <c r="F3466" s="2" t="inlineStr">
        <is>
          <t>кинофильм</t>
        </is>
      </c>
      <c r="G3466" s="2" t="n"/>
      <c r="H3466" s="2" t="n">
        <v>349</v>
      </c>
      <c r="I3466" s="2" t="inlineStr"/>
      <c r="J3466" s="2" t="inlineStr"/>
      <c r="K3466" s="3" t="inlineStr">
        <is>
          <t>Бродят по свету, воруют маленьких детишек и поедают старичков Ха-би-ассы, напевая при этом наглую песенку: 'Войдем, войдем в избушку, съедим деда и старушку...'. Путешествуя автостопом юная Маша кого только не встретит на своем пути к морю: и грубого приставалу, и веселого простодушного милиционера Федю, и дезертира-литовца, заплутавшегося в лесу.</t>
        </is>
      </c>
      <c r="L3466" s="2" t="inlineStr">
        <is>
          <t>Кино_СССР сводный каталог.xlsx: список фильмов (доп.)</t>
        </is>
      </c>
      <c r="M3466" s="2">
        <f>HYPERLINK("https://ru.wikipedia.org/w/index.php?search=%D0%A5%D0%B0-%D0%B1%D0%B8-%D0%B0%D1%81%D1%81%D1%8B%201990%20%D1%84%D0%B8%D0%BB%D1%8C%D0%BC","искать")</f>
        <v/>
      </c>
      <c r="N3466" s="3" t="n"/>
      <c r="O3466" s="2" t="n"/>
    </row>
    <row r="3467">
      <c r="A3467" s="2" t="n">
        <v>3466</v>
      </c>
      <c r="B3467" s="2" t="inlineStr"/>
      <c r="C3467" s="2" t="n">
        <v>11119</v>
      </c>
      <c r="D3467" s="3" t="inlineStr">
        <is>
          <t>Накануне отъезда</t>
        </is>
      </c>
      <c r="E3467" s="2" t="n">
        <v>1986</v>
      </c>
      <c r="F3467" s="2" t="inlineStr">
        <is>
          <t>фильм-спектакль</t>
        </is>
      </c>
      <c r="G3467" s="2" t="inlineStr">
        <is>
          <t>Главная редакция литературно-драматических программ ЦТ</t>
        </is>
      </c>
      <c r="H3467" s="2" t="n">
        <v>349</v>
      </c>
      <c r="I3467" s="2" t="inlineStr"/>
      <c r="J3467" s="2" t="inlineStr"/>
      <c r="K3467" s="3" t="inlineStr">
        <is>
          <t>Главный герой спектакля - механик-испытатель тракторного завода Константин Лесогор. Он решительно выступает против бракоделов и выполнения плана любой ценой. Эта борьба завершается победой Лесогора и его сторонников. Личная жизнь героя - это незаладившаяся семейная жизнь его взрослой дочери и безответная любовь к женщине, которая ему очень дорога.</t>
        </is>
      </c>
      <c r="L3467" s="2" t="inlineStr">
        <is>
          <t>https://www.kino-teatr.ru/teatr/movie/17230/annot/</t>
        </is>
      </c>
      <c r="M3467" s="2">
        <f>HYPERLINK("https://ru.wikipedia.org/w/index.php?search=%D0%9D%D0%B0%D0%BA%D0%B0%D0%BD%D1%83%D0%BD%D0%B5%20%D0%BE%D1%82%D1%8A%D0%B5%D0%B7%D0%B4%D0%B0%201986%20%D1%84%D0%B8%D0%BB%D1%8C%D0%BC","искать")</f>
        <v/>
      </c>
      <c r="N3467" s="3" t="n"/>
      <c r="O3467" s="2" t="n"/>
    </row>
    <row r="3468">
      <c r="A3468" s="2" t="n">
        <v>3467</v>
      </c>
      <c r="B3468" s="2" t="inlineStr"/>
      <c r="C3468" s="2" t="n">
        <v>11167</v>
      </c>
      <c r="D3468" s="3" t="inlineStr">
        <is>
          <t>Любящий вас Коля</t>
        </is>
      </c>
      <c r="E3468" s="2" t="n">
        <v>1987</v>
      </c>
      <c r="F3468" s="2" t="inlineStr">
        <is>
          <t>фильм-спектакль</t>
        </is>
      </c>
      <c r="G3468" s="2" t="inlineStr">
        <is>
          <t>Творческое объединение "Экран"</t>
        </is>
      </c>
      <c r="H3468" s="2" t="n">
        <v>349</v>
      </c>
      <c r="I3468" s="2" t="inlineStr"/>
      <c r="J3468" s="2" t="inlineStr"/>
      <c r="K3468" s="3" t="inlineStr">
        <is>
          <t>По одноименной пьесе В.Москаленко в постановке Московского драматического театра на Малой Бронной.
О судьбе Николая Павловича Шмита, московского фабриканта, мечтавшего улучшить положение рабочих не только на своем предприятии, но и во всей России. Арестованный во время революционных событий 1905 года, он был позднее убит в камере Бутырской тюрьмы.</t>
        </is>
      </c>
      <c r="L3468" s="2" t="inlineStr">
        <is>
          <t>https://www.kino-teatr.ru/teatr/movie/81200/annot/</t>
        </is>
      </c>
      <c r="M3468" s="2">
        <f>HYPERLINK("https://ru.wikipedia.org/w/index.php?search=%D0%9B%D1%8E%D0%B1%D1%8F%D1%89%D0%B8%D0%B9%20%D0%B2%D0%B0%D1%81%20%D0%9A%D0%BE%D0%BB%D1%8F%201987%20%D1%84%D0%B8%D0%BB%D1%8C%D0%BC","искать")</f>
        <v/>
      </c>
      <c r="N3468" s="3" t="n"/>
      <c r="O3468" s="2" t="n"/>
    </row>
    <row r="3469">
      <c r="A3469" s="2" t="n">
        <v>3468</v>
      </c>
      <c r="B3469" s="2" t="inlineStr"/>
      <c r="C3469" s="2" t="n">
        <v>8183</v>
      </c>
      <c r="D3469" s="3" t="inlineStr">
        <is>
          <t>Право решать</t>
        </is>
      </c>
      <c r="E3469" s="2" t="n">
        <v>1986</v>
      </c>
      <c r="F3469" s="2" t="inlineStr">
        <is>
          <t>телефильм</t>
        </is>
      </c>
      <c r="G3469" s="2" t="n"/>
      <c r="H3469" s="2" t="n">
        <v>350</v>
      </c>
      <c r="I3469" s="2" t="inlineStr"/>
      <c r="J3469" s="2" t="inlineStr"/>
      <c r="K3469" s="3" t="inlineStr">
        <is>
          <t>Директор одного из промышленных предприятий Туркмении, Чары Каландаров, начинает реконструкцию своего завода. Его действия находят поддержку одних и активное противодействие других. Главным противником Каландарова становится Джумаев, возглавляющий нефтехимическую отрасль в республике, более всего беспокоящийся лишь о своевременном выполнении плана.</t>
        </is>
      </c>
      <c r="L3469" s="2" t="inlineStr">
        <is>
          <t>Кино_СССР сводный каталог.xlsx: список телефильмов</t>
        </is>
      </c>
      <c r="M3469" s="2">
        <f>HYPERLINK("https://ru.wikipedia.org/w/index.php?search=%D0%9F%D1%80%D0%B0%D0%B2%D0%BE%20%D1%80%D0%B5%D1%88%D0%B0%D1%82%D1%8C%201986%20%D1%84%D0%B8%D0%BB%D1%8C%D0%BC","искать")</f>
        <v/>
      </c>
      <c r="N3469" s="3" t="n"/>
      <c r="O3469" s="2" t="n"/>
    </row>
    <row r="3470">
      <c r="A3470" s="2" t="n">
        <v>3469</v>
      </c>
      <c r="B3470" s="2" t="inlineStr"/>
      <c r="C3470" s="2" t="n">
        <v>8238</v>
      </c>
      <c r="D3470" s="3" t="inlineStr">
        <is>
          <t>Противостояние</t>
        </is>
      </c>
      <c r="E3470" s="2" t="n">
        <v>1985</v>
      </c>
      <c r="F3470" s="2" t="inlineStr">
        <is>
          <t>телефильм</t>
        </is>
      </c>
      <c r="G3470" s="2" t="n"/>
      <c r="H3470" s="2" t="n">
        <v>350</v>
      </c>
      <c r="I3470" s="2" t="inlineStr"/>
      <c r="J3470" s="2" t="inlineStr"/>
      <c r="K3470" s="3" t="inlineStr">
        <is>
          <t>Телесериал по одноименной повести Юлиана Семенова. В страшных преступлениях, совершенных в разные годы, чувствуется "почерк" одного и того же человека. Полковник, ведущий следствие, понимает - чтобы найти убийцу, надо "заглянуть" в далекое прошлое, в годы войны… Последняя роль в кино актера, мастера каратэ - Талгата Нигматулина, убитого в Вильнюсе.</t>
        </is>
      </c>
      <c r="L3470" s="2" t="inlineStr">
        <is>
          <t>Кино_СССР сводный каталог.xlsx: список телефильмов</t>
        </is>
      </c>
      <c r="M3470" s="2">
        <f>HYPERLINK("https://ru.wikipedia.org/w/index.php?search=%D0%9F%D1%80%D0%BE%D1%82%D0%B8%D0%B2%D0%BE%D1%81%D1%82%D0%BE%D1%8F%D0%BD%D0%B8%D0%B5%201985%20%D1%84%D0%B8%D0%BB%D1%8C%D0%BC","искать")</f>
        <v/>
      </c>
      <c r="N3470" s="3" t="n"/>
      <c r="O3470" s="2" t="n"/>
    </row>
    <row r="3471">
      <c r="A3471" s="2" t="n">
        <v>3470</v>
      </c>
      <c r="B3471" s="2" t="inlineStr"/>
      <c r="C3471" s="2" t="n">
        <v>9174</v>
      </c>
      <c r="D3471" s="3" t="inlineStr">
        <is>
          <t>Шестое чувство</t>
        </is>
      </c>
      <c r="E3471" s="2" t="n">
        <v>1935</v>
      </c>
      <c r="F3471" s="2" t="inlineStr">
        <is>
          <t>кинофильм</t>
        </is>
      </c>
      <c r="G3471" s="2" t="n"/>
      <c r="H3471" s="2" t="n">
        <v>350</v>
      </c>
      <c r="I3471" s="2" t="inlineStr"/>
      <c r="J3471" s="2" t="inlineStr"/>
      <c r="K3471" s="3" t="inlineStr">
        <is>
          <t>О борьбе молодого инженера за новые, научно выверенные методы работы на буровых приисках. Его главный оппонент — буровой мастер, предпочитающий руководствоваться в работе «шестым чувством». Инженер Гедар в финале одерживает двойную победу: доказывает преимущество новых методов бурения перед традиционными и завоевывает сердце дочери старого мастера.</t>
        </is>
      </c>
      <c r="L3471" s="2" t="inlineStr">
        <is>
          <t>Кино_СССР сводный каталог.xlsx: список фильмов (доп.)</t>
        </is>
      </c>
      <c r="M3471" s="2">
        <f>HYPERLINK("https://ru.wikipedia.org/w/index.php?search=%D0%A8%D0%B5%D1%81%D1%82%D0%BE%D0%B5%20%D1%87%D1%83%D0%B2%D1%81%D1%82%D0%B2%D0%BE%201935%20%D1%84%D0%B8%D0%BB%D1%8C%D0%BC","искать")</f>
        <v/>
      </c>
      <c r="N3471" s="3" t="n"/>
      <c r="O3471" s="2" t="n"/>
    </row>
    <row r="3472">
      <c r="A3472" s="2" t="n">
        <v>3471</v>
      </c>
      <c r="B3472" s="2" t="inlineStr"/>
      <c r="C3472" s="2" t="n">
        <v>9579</v>
      </c>
      <c r="D3472" s="3" t="inlineStr">
        <is>
          <t>Предлагаю руку и сердце</t>
        </is>
      </c>
      <c r="E3472" s="2" t="n">
        <v>1988</v>
      </c>
      <c r="F3472" s="2" t="inlineStr">
        <is>
          <t>кинофильм</t>
        </is>
      </c>
      <c r="G3472" s="2" t="n"/>
      <c r="H3472" s="2" t="n">
        <v>350</v>
      </c>
      <c r="I3472" s="2" t="inlineStr"/>
      <c r="J3472" s="2" t="inlineStr"/>
      <c r="K3472" s="3" t="inlineStr">
        <is>
          <t>Овдовев и выйдя на пенсию, бывший преподаватель Николай Чмутин переехал жить в семью к дочери, которая с мужем решили его женить. В поисках подходящей кандидатуры и он, и его дочь с зятем не раз попадут в комические ситуации, пока невеста наконец не будет найдена. Очередной кандидатурой случайно становится несостоявшаяся актриса Роза Александровна.</t>
        </is>
      </c>
      <c r="L3472" s="2" t="inlineStr">
        <is>
          <t>Кино_СССР сводный каталог.xlsx: список фильмов (доп.)</t>
        </is>
      </c>
      <c r="M3472" s="2">
        <f>HYPERLINK("https://ru.wikipedia.org/w/index.php?search=%D0%9F%D1%80%D0%B5%D0%B4%D0%BB%D0%B0%D0%B3%D0%B0%D1%8E%20%D1%80%D1%83%D0%BA%D1%83%20%D0%B8%20%D1%81%D0%B5%D1%80%D0%B4%D1%86%D0%B5%201988%20%D1%84%D0%B8%D0%BB%D1%8C%D0%BC","искать")</f>
        <v/>
      </c>
      <c r="N3472" s="3" t="n"/>
      <c r="O3472" s="2" t="n"/>
    </row>
    <row r="3473">
      <c r="A3473" s="2" t="n">
        <v>3472</v>
      </c>
      <c r="B3473" s="2" t="inlineStr"/>
      <c r="C3473" s="2" t="n">
        <v>9913</v>
      </c>
      <c r="D3473" s="3" t="inlineStr">
        <is>
          <t>Любимая</t>
        </is>
      </c>
      <c r="E3473" s="2" t="n">
        <v>1975</v>
      </c>
      <c r="F3473" s="2" t="inlineStr">
        <is>
          <t>телефильм</t>
        </is>
      </c>
      <c r="G3473" s="2" t="inlineStr">
        <is>
          <t>Казахфильм  по заказу Гостелерадио СССР</t>
        </is>
      </c>
      <c r="H3473" s="2" t="n">
        <v>350</v>
      </c>
      <c r="I3473" s="2" t="inlineStr"/>
      <c r="J3473" s="2" t="inlineStr"/>
      <c r="K3473" s="3" t="inlineStr">
        <is>
          <t>Телефильм по мотивам рассказов Саина Муратбекова "Моя сестренка" и "Летняя ночь".
История молодого человека Ертайя, вернувшегося после долгих лет учебы в столичном вузе в родной аул. За это время его младшая сестренка Алима подросла и влюбилась в тракториста. А теперь ей приходится доказывать Ертаю, что она - уже взрослый и самостоятельный человек.</t>
        </is>
      </c>
      <c r="L3473" s="2" t="inlineStr">
        <is>
          <t>https://www.kino-teatr.ru/short/movie/sov/14849/annot/</t>
        </is>
      </c>
      <c r="M3473" s="2">
        <f>HYPERLINK("https://ru.wikipedia.org/w/index.php?search=%D0%9B%D1%8E%D0%B1%D0%B8%D0%BC%D0%B0%D1%8F%201975%20%D1%84%D0%B8%D0%BB%D1%8C%D0%BC","искать")</f>
        <v/>
      </c>
      <c r="N3473" s="3" t="n"/>
      <c r="O3473" s="2" t="n"/>
    </row>
    <row r="3474">
      <c r="A3474" s="2" t="n">
        <v>3473</v>
      </c>
      <c r="B3474" s="2" t="inlineStr"/>
      <c r="C3474" s="2" t="n">
        <v>10841</v>
      </c>
      <c r="D3474" s="3" t="inlineStr">
        <is>
          <t>День рождения Терезы</t>
        </is>
      </c>
      <c r="E3474" s="2" t="n">
        <v>1980</v>
      </c>
      <c r="F3474" s="2" t="inlineStr">
        <is>
          <t>фильм-спектакль</t>
        </is>
      </c>
      <c r="G3474" s="2" t="inlineStr">
        <is>
          <t>Главная редакция литературно-драматических программ ЦТ</t>
        </is>
      </c>
      <c r="H3474" s="2" t="n">
        <v>350</v>
      </c>
      <c r="I3474" s="2" t="inlineStr"/>
      <c r="J3474" s="2" t="inlineStr"/>
      <c r="K3474" s="3" t="inlineStr">
        <is>
          <t>По одноименной пьесе Г.Мдивани в исполнении артистов Государственного академического Малого театра и студентов Театрального училища имени М.С.Щепкина.
О героизме кубинского народа, отстоявшего свободу своей родины. Действие происходит в 1961 году во время организованного США вооруженного нападения кубинских контрреволюционеров в районе Плайя-Хирон.</t>
        </is>
      </c>
      <c r="L3474" s="2" t="inlineStr">
        <is>
          <t>https://www.kino-teatr.ru/teatr/movie/81204/annot/</t>
        </is>
      </c>
      <c r="M3474" s="2">
        <f>HYPERLINK("https://ru.wikipedia.org/w/index.php?search=%D0%94%D0%B5%D0%BD%D1%8C%20%D1%80%D0%BE%D0%B6%D0%B4%D0%B5%D0%BD%D0%B8%D1%8F%20%D0%A2%D0%B5%D1%80%D0%B5%D0%B7%D1%8B%201980%20%D1%84%D0%B8%D0%BB%D1%8C%D0%BC","искать")</f>
        <v/>
      </c>
      <c r="N3474" s="3" t="n"/>
      <c r="O3474" s="2" t="n"/>
    </row>
    <row r="3475">
      <c r="A3475" s="2" t="n">
        <v>3474</v>
      </c>
      <c r="B3475" s="2" t="inlineStr"/>
      <c r="C3475" s="2" t="n">
        <v>11067</v>
      </c>
      <c r="D3475" s="3" t="inlineStr">
        <is>
          <t>Незрелая малина</t>
        </is>
      </c>
      <c r="E3475" s="2" t="n">
        <v>1985</v>
      </c>
      <c r="F3475" s="2" t="inlineStr">
        <is>
          <t>фильм-спектакль</t>
        </is>
      </c>
      <c r="G3475" s="2" t="inlineStr">
        <is>
          <t>ТО “Экран”</t>
        </is>
      </c>
      <c r="H3475" s="2" t="n">
        <v>350</v>
      </c>
      <c r="I3475" s="2" t="inlineStr"/>
      <c r="J3475" s="2" t="inlineStr"/>
      <c r="K3475" s="3" t="inlineStr">
        <is>
          <t>По одноименной пьесе И.Губача в постановке Государственного академического Малого театра Союза ССР.
Пенсионер Бедьяр через пятьдесят лет после окончания школы организует встречу бывших одноклассников. Многих уже нет в живых. Но те, кто пришел на встречу, трогательно вспоминают о далеком детстве и юношестве, радостях и огорчениях давно минувших лет.</t>
        </is>
      </c>
      <c r="L3475" s="2" t="inlineStr">
        <is>
          <t>https://www.kino-teatr.ru/teatr/movie/82086/annot/</t>
        </is>
      </c>
      <c r="M3475" s="2">
        <f>HYPERLINK("https://ru.wikipedia.org/w/index.php?search=%D0%9D%D0%B5%D0%B7%D1%80%D0%B5%D0%BB%D0%B0%D1%8F%20%D0%BC%D0%B0%D0%BB%D0%B8%D0%BD%D0%B0%201985%20%D1%84%D0%B8%D0%BB%D1%8C%D0%BC","искать")</f>
        <v/>
      </c>
      <c r="N3475" s="3" t="n"/>
      <c r="O3475" s="2" t="n"/>
    </row>
    <row r="3476">
      <c r="A3476" s="2" t="n">
        <v>3475</v>
      </c>
      <c r="B3476" s="2" t="inlineStr"/>
      <c r="C3476" s="2" t="n">
        <v>7235</v>
      </c>
      <c r="D3476" s="3" t="inlineStr">
        <is>
          <t>Баллада о комиссаре</t>
        </is>
      </c>
      <c r="E3476" s="2" t="n">
        <v>1967</v>
      </c>
      <c r="F3476" s="2" t="inlineStr">
        <is>
          <t>телефильм</t>
        </is>
      </c>
      <c r="G3476" s="2" t="inlineStr">
        <is>
          <t>Киностудия «Мосфильм», Творческое объединение «Телефильм»</t>
        </is>
      </c>
      <c r="H3476" s="2" t="n">
        <v>351</v>
      </c>
      <c r="I3476" s="2" t="inlineStr"/>
      <c r="J3476" s="2" t="inlineStr"/>
      <c r="K3476" s="3" t="inlineStr">
        <is>
          <t>Телефильм. События разворачиваются в годы гражданской войны. Комиссар Фадейцев однажды пощадил белого офицера Чугуреева. И теперь, в дни контрреволюционного мятежа, Чугуреев, направленный своим командованием на отдаленный остров, встречает Фадейцева, скрывающегося в доме егеря Максима. Егеря приговаривают к виселице и приводят приговор к исполнению.</t>
        </is>
      </c>
      <c r="L3476" s="2" t="inlineStr">
        <is>
          <t>Кино_СССР сводный каталог.xlsx: список телефильмов</t>
        </is>
      </c>
      <c r="M3476" s="2">
        <f>HYPERLINK("https://ru.wikipedia.org/w/index.php?search=%D0%91%D0%B0%D0%BB%D0%BB%D0%B0%D0%B4%D0%B0%20%D0%BE%20%D0%BA%D0%BE%D0%BC%D0%B8%D1%81%D1%81%D0%B0%D1%80%D0%B5%201967%20%D1%84%D0%B8%D0%BB%D1%8C%D0%BC","искать")</f>
        <v/>
      </c>
      <c r="N3476" s="3" t="n"/>
      <c r="O3476" s="2" t="n"/>
    </row>
    <row r="3477">
      <c r="A3477" s="2" t="n">
        <v>3476</v>
      </c>
      <c r="B3477" s="2" t="inlineStr"/>
      <c r="C3477" s="2" t="n">
        <v>7792</v>
      </c>
      <c r="D3477" s="3" t="inlineStr">
        <is>
          <t>Легко быть добрым</t>
        </is>
      </c>
      <c r="E3477" s="2" t="n">
        <v>1976</v>
      </c>
      <c r="F3477" s="2" t="inlineStr">
        <is>
          <t>телефильм</t>
        </is>
      </c>
      <c r="G3477" s="2" t="n"/>
      <c r="H3477" s="2" t="n">
        <v>351</v>
      </c>
      <c r="I3477" s="2" t="inlineStr"/>
      <c r="J3477" s="2" t="inlineStr"/>
      <c r="K3477" s="3" t="inlineStr">
        <is>
          <t>По мотивам одноименного романа М.Барышева. Молодой энергичный инженер Георгий Грудинин, исполняя обязанности начальника цеха, стремится любыми способами, в том числе и недозволенными, вывести цех в передовые. Он убежден, что в конечном счете применяемые им методы оправдают себя. Но руководство завода и товарищи по работе осуждают действия Грудинина.</t>
        </is>
      </c>
      <c r="L3477" s="2" t="inlineStr">
        <is>
          <t>Кино_СССР сводный каталог.xlsx: список телефильмов</t>
        </is>
      </c>
      <c r="M3477" s="2">
        <f>HYPERLINK("https://ru.wikipedia.org/w/index.php?search=%D0%9B%D0%B5%D0%B3%D0%BA%D0%BE%20%D0%B1%D1%8B%D1%82%D1%8C%20%D0%B4%D0%BE%D0%B1%D1%80%D1%8B%D0%BC%201976%20%D1%84%D0%B8%D0%BB%D1%8C%D0%BC","искать")</f>
        <v/>
      </c>
      <c r="N3477" s="3" t="n"/>
      <c r="O3477" s="2" t="n"/>
    </row>
    <row r="3478">
      <c r="A3478" s="2" t="n">
        <v>3477</v>
      </c>
      <c r="B3478" s="2" t="inlineStr"/>
      <c r="C3478" s="2" t="n">
        <v>8443</v>
      </c>
      <c r="D3478" s="3" t="inlineStr">
        <is>
          <t>Тартак</t>
        </is>
      </c>
      <c r="E3478" s="2" t="n">
        <v>1973</v>
      </c>
      <c r="F3478" s="2" t="inlineStr">
        <is>
          <t>телефильм</t>
        </is>
      </c>
      <c r="G3478" s="2" t="n"/>
      <c r="H3478" s="2" t="n">
        <v>351</v>
      </c>
      <c r="I3478" s="2" t="inlineStr"/>
      <c r="J3478" s="2" t="inlineStr"/>
      <c r="K3478" s="3" t="inlineStr">
        <is>
          <t>Великая Отечественная война. Семеро крестьян из деревни Дальва везут на обозах собранное зерно в деревню Тартак. По дороге их останавливают каратели. Чтобы уберечься от пуль народных мстителей, они заставляют селян ехать впереди своей колонны. Неожиданно на немцев нападают партизаны. В завязавшейся перестрелке один за другим гибнут шестеро крестьян.</t>
        </is>
      </c>
      <c r="L3478" s="2" t="inlineStr">
        <is>
          <t>Кино_СССР сводный каталог.xlsx: список телефильмов</t>
        </is>
      </c>
      <c r="M3478" s="2">
        <f>HYPERLINK("https://ru.wikipedia.org/w/index.php?search=%D0%A2%D0%B0%D1%80%D1%82%D0%B0%D0%BA%201973%20%D1%84%D0%B8%D0%BB%D1%8C%D0%BC","искать")</f>
        <v/>
      </c>
      <c r="N3478" s="3" t="n"/>
      <c r="O3478" s="2" t="n"/>
    </row>
    <row r="3479">
      <c r="A3479" s="2" t="n">
        <v>3478</v>
      </c>
      <c r="B3479" s="2" t="inlineStr"/>
      <c r="C3479" s="2" t="n">
        <v>8484</v>
      </c>
      <c r="D3479" s="3" t="inlineStr">
        <is>
          <t>Тройка</t>
        </is>
      </c>
      <c r="E3479" s="2" t="n">
        <v>1985</v>
      </c>
      <c r="F3479" s="2" t="inlineStr">
        <is>
          <t>телефильм</t>
        </is>
      </c>
      <c r="G3479" s="2" t="n"/>
      <c r="H3479" s="2" t="n">
        <v>351</v>
      </c>
      <c r="I3479" s="2" t="inlineStr"/>
      <c r="J3479" s="2" t="inlineStr"/>
      <c r="K3479" s="3" t="inlineStr">
        <is>
          <t>Четырнадцатилетний подросток Саша Гудков мечтает стать хоккеистом. Капитан хоккейной команды "Юность" Дима Штуковский убеждает тренера взять новичка в команду. Но не так просто стать настоящим игроком, действительным членом команды. Для начала Саше необходимо исправить "тройки", так как тренер не допускает к игре ребят, которые плохо учатся в школе.</t>
        </is>
      </c>
      <c r="L3479" s="2" t="inlineStr">
        <is>
          <t>Кино_СССР сводный каталог.xlsx: список телефильмов</t>
        </is>
      </c>
      <c r="M3479" s="2">
        <f>HYPERLINK("https://ru.wikipedia.org/w/index.php?search=%D0%A2%D1%80%D0%BE%D0%B9%D0%BA%D0%B0%201985%20%D1%84%D0%B8%D0%BB%D1%8C%D0%BC","искать")</f>
        <v/>
      </c>
      <c r="N3479" s="3" t="n"/>
      <c r="O3479" s="2" t="n"/>
    </row>
    <row r="3480">
      <c r="A3480" s="2" t="n">
        <v>3479</v>
      </c>
      <c r="B3480" s="2" t="inlineStr"/>
      <c r="C3480" s="2" t="n">
        <v>8668</v>
      </c>
      <c r="D3480" s="3" t="inlineStr">
        <is>
          <t>Враг респектабельного общества</t>
        </is>
      </c>
      <c r="E3480" s="2" t="n">
        <v>1988</v>
      </c>
      <c r="F3480" s="2" t="inlineStr">
        <is>
          <t>кинофильм</t>
        </is>
      </c>
      <c r="G3480" s="2" t="n"/>
      <c r="H3480" s="2" t="n">
        <v>351</v>
      </c>
      <c r="I3480" s="2" t="inlineStr"/>
      <c r="J3480" s="2" t="inlineStr"/>
      <c r="K3480" s="3" t="inlineStr">
        <is>
          <t>По мотивам драмы норвежского писателя Г.Ибсена "Враг народа". Действие происходит накануне первой мировой войны в провинциальном приморском городке. Главный герой - доктор Стокман, способный врач - вместо ядовитой, хотя и сладкой лжи, предлагает согражданам горькую правду. В результате он становится объектом всеобщего порицания и теряет свою работу.</t>
        </is>
      </c>
      <c r="L3480" s="2" t="inlineStr">
        <is>
          <t>Кино_СССР сводный каталог.xlsx: список фильмов (доп.)</t>
        </is>
      </c>
      <c r="M3480" s="2">
        <f>HYPERLINK("https://ru.wikipedia.org/w/index.php?search=%D0%92%D1%80%D0%B0%D0%B3%20%D1%80%D0%B5%D1%81%D0%BF%D0%B5%D0%BA%D1%82%D0%B0%D0%B1%D0%B5%D0%BB%D1%8C%D0%BD%D0%BE%D0%B3%D0%BE%20%D0%BE%D0%B1%D1%89%D0%B5%D1%81%D1%82%D0%B2%D0%B0%201988%20%D1%84%D0%B8%D0%BB%D1%8C%D0%BC","искать")</f>
        <v/>
      </c>
      <c r="N3480" s="3" t="n"/>
      <c r="O3480" s="2" t="n"/>
    </row>
    <row r="3481">
      <c r="A3481" s="2" t="n">
        <v>3480</v>
      </c>
      <c r="B3481" s="2" t="inlineStr"/>
      <c r="C3481" s="2" t="n">
        <v>9535</v>
      </c>
      <c r="D3481" s="3" t="inlineStr">
        <is>
          <t>Отче наш</t>
        </is>
      </c>
      <c r="E3481" s="2" t="n">
        <v>1989</v>
      </c>
      <c r="F3481" s="2" t="inlineStr">
        <is>
          <t>кинофильм</t>
        </is>
      </c>
      <c r="G3481" s="2" t="n"/>
      <c r="H3481" s="2" t="n">
        <v>351</v>
      </c>
      <c r="I3481" s="2" t="inlineStr"/>
      <c r="J3481" s="2" t="inlineStr"/>
      <c r="K3481" s="3" t="inlineStr">
        <is>
          <t>Молодая еврейка, получив приказ оккупационных властей явиться на место сбора, идет с сыном в город. Они подходят к гетто, но поняв, что их ожидает, уходят. Они блуждают по городу, не смея зайти к знакомым. Наступает ночь. Прижавшись друг к другу, мать и сын засыпают на скамейке. А утром их замерзшие тела солдаты равнодушно бросают в кузов грузовика.</t>
        </is>
      </c>
      <c r="L3481" s="2" t="inlineStr">
        <is>
          <t>Кино_СССР сводный каталог.xlsx: список фильмов (доп.)</t>
        </is>
      </c>
      <c r="M3481" s="2">
        <f>HYPERLINK("https://ru.wikipedia.org/w/index.php?search=%D0%9E%D1%82%D1%87%D0%B5%20%D0%BD%D0%B0%D1%88%201989%20%D1%84%D0%B8%D0%BB%D1%8C%D0%BC","искать")</f>
        <v/>
      </c>
      <c r="N3481" s="3" t="n"/>
      <c r="O3481" s="2" t="n"/>
    </row>
    <row r="3482">
      <c r="A3482" s="2" t="n">
        <v>3481</v>
      </c>
      <c r="B3482" s="2" t="inlineStr"/>
      <c r="C3482" s="2" t="n">
        <v>11221</v>
      </c>
      <c r="D3482" s="3" t="inlineStr">
        <is>
          <t>Порог</t>
        </is>
      </c>
      <c r="E3482" s="2" t="n">
        <v>1988</v>
      </c>
      <c r="F3482" s="2" t="inlineStr">
        <is>
          <t>фильм-спектакль</t>
        </is>
      </c>
      <c r="G3482" s="2" t="inlineStr">
        <is>
          <t>ЦТ</t>
        </is>
      </c>
      <c r="H3482" s="2" t="n">
        <v>351</v>
      </c>
      <c r="I3482" s="2" t="inlineStr"/>
      <c r="J3482" s="2" t="inlineStr"/>
      <c r="K3482" s="3" t="inlineStr">
        <is>
          <t>По одноименной пьесе А.Дударева в постановке Московского драматического театра имени К.С.Станиславского.
Андрей Буслай, пьющий, морально опустившийся человек, случайно попадает в квартиру писателя Покутовича, где знакомится с Алиной и Драгуном. Под влиянием этих людей с нелегкой судьбой, но добрых и честных, началось нравственное пробуждение Андрея.</t>
        </is>
      </c>
      <c r="L3482" s="2" t="inlineStr">
        <is>
          <t>https://www.kino-teatr.ru/teatr/movie/81504/annot/</t>
        </is>
      </c>
      <c r="M3482" s="2">
        <f>HYPERLINK("https://ru.wikipedia.org/w/index.php?search=%D0%9F%D0%BE%D1%80%D0%BE%D0%B3%201988%20%D1%84%D0%B8%D0%BB%D1%8C%D0%BC","искать")</f>
        <v/>
      </c>
      <c r="N3482" s="3" t="n"/>
      <c r="O3482" s="2" t="n"/>
    </row>
    <row r="3483">
      <c r="A3483" s="2" t="n">
        <v>3482</v>
      </c>
      <c r="B3483" s="2" t="inlineStr"/>
      <c r="C3483" s="2" t="n">
        <v>7926</v>
      </c>
      <c r="D3483" s="3" t="inlineStr">
        <is>
          <t>На всю оставшуюся жизнь</t>
        </is>
      </c>
      <c r="E3483" s="2" t="n">
        <v>1975</v>
      </c>
      <c r="F3483" s="2" t="inlineStr">
        <is>
          <t>телефильм</t>
        </is>
      </c>
      <c r="G3483" s="2" t="n"/>
      <c r="H3483" s="2" t="n">
        <v>352</v>
      </c>
      <c r="I3483" s="2" t="inlineStr"/>
      <c r="J3483" s="2" t="inlineStr"/>
      <c r="K3483" s="3" t="inlineStr">
        <is>
          <t>Вторая экранизация повести Веры Пановой «Спутники». В фильме рассказывается о санитарном поезде, его врачах, медсестрах, раненных бойцах и командирах. Предыстория каждого из главных героев раздвигает время повести. Сюжет фильма - это страдания, боль, переплетение судеб, каждодневный подвиг сугубо гражданских людей, жизнь которых круто изменила война.</t>
        </is>
      </c>
      <c r="L3483" s="2" t="inlineStr">
        <is>
          <t>Кино_СССР сводный каталог.xlsx: список телефильмов</t>
        </is>
      </c>
      <c r="M3483" s="2">
        <f>HYPERLINK("https://ru.wikipedia.org/w/index.php?search=%D0%9D%D0%B0%20%D0%B2%D1%81%D1%8E%20%D0%BE%D1%81%D1%82%D0%B0%D0%B2%D1%88%D1%83%D1%8E%D1%81%D1%8F%20%D0%B6%D0%B8%D0%B7%D0%BD%D1%8C%201975%20%D1%84%D0%B8%D0%BB%D1%8C%D0%BC","искать")</f>
        <v/>
      </c>
      <c r="N3483" s="3" t="n"/>
      <c r="O3483" s="2" t="n"/>
    </row>
    <row r="3484">
      <c r="A3484" s="2" t="n">
        <v>3483</v>
      </c>
      <c r="B3484" s="2" t="inlineStr"/>
      <c r="C3484" s="2" t="n">
        <v>7948</v>
      </c>
      <c r="D3484" s="3" t="inlineStr">
        <is>
          <t>Наперекор судьбе</t>
        </is>
      </c>
      <c r="E3484" s="2" t="n">
        <v>1975</v>
      </c>
      <c r="F3484" s="2" t="inlineStr">
        <is>
          <t>телефильм</t>
        </is>
      </c>
      <c r="G3484" s="2" t="inlineStr">
        <is>
          <t>Рижская к/с</t>
        </is>
      </c>
      <c r="H3484" s="2" t="n">
        <v>352</v>
      </c>
      <c r="I3484" s="2" t="inlineStr"/>
      <c r="J3484" s="2" t="inlineStr"/>
      <c r="K3484" s="3" t="inlineStr">
        <is>
          <t>Экранизация полуавтобиографического романа "Водонос" (1971) латышской писательницы Илзе Индране. События фильма происходят в Латвии в период 30-х - 50-х годов XX века. Клинта, молодая, бедная и наивная сельчанка, учится музыке в соседнем провинциальном латышском городке. Встреча с владельцем богатого хутора Олавом становится для девушки судьбоносной.</t>
        </is>
      </c>
      <c r="L3484" s="2" t="inlineStr">
        <is>
          <t>Кино_СССР сводный каталог.xlsx: список телефильмов</t>
        </is>
      </c>
      <c r="M3484" s="2">
        <f>HYPERLINK("https://ru.wikipedia.org/w/index.php?search=%D0%9D%D0%B0%D0%BF%D0%B5%D1%80%D0%B5%D0%BA%D0%BE%D1%80%20%D1%81%D1%83%D0%B4%D1%8C%D0%B1%D0%B5%201975%20%D1%84%D0%B8%D0%BB%D1%8C%D0%BC","искать")</f>
        <v/>
      </c>
      <c r="N3484" s="3" t="n"/>
      <c r="O3484" s="2" t="n"/>
    </row>
    <row r="3485">
      <c r="A3485" s="2" t="n">
        <v>3484</v>
      </c>
      <c r="B3485" s="2" t="inlineStr"/>
      <c r="C3485" s="2" t="n">
        <v>8041</v>
      </c>
      <c r="D3485" s="3" t="inlineStr">
        <is>
          <t>Олег и Айна</t>
        </is>
      </c>
      <c r="E3485" s="2" t="n">
        <v>1973</v>
      </c>
      <c r="F3485" s="2" t="inlineStr">
        <is>
          <t>телефильм</t>
        </is>
      </c>
      <c r="G3485" s="2" t="n"/>
      <c r="H3485" s="2" t="n">
        <v>352</v>
      </c>
      <c r="I3485" s="2" t="inlineStr"/>
      <c r="J3485" s="2" t="inlineStr"/>
      <c r="K3485" s="3" t="inlineStr">
        <is>
          <t>Отличный фрезеровщик Олег Щербаков (Анатолий Грачёв) после окончания института переходит работать в конструкторское бюро. Там работает Áйна (Лилита Озолиня), которая ему очень нравится. Олег просит её помочь ему в разработке важного узла нового экспериментального участка. Áйна находит не только оригинальное конструкторское решение, но и любовь Олега.</t>
        </is>
      </c>
      <c r="L3485" s="2" t="inlineStr">
        <is>
          <t>Кино_СССР сводный каталог.xlsx: список телефильмов</t>
        </is>
      </c>
      <c r="M3485" s="2">
        <f>HYPERLINK("https://ru.wikipedia.org/w/index.php?search=%D0%9E%D0%BB%D0%B5%D0%B3%20%D0%B8%20%D0%90%D0%B9%D0%BD%D0%B0%201973%20%D1%84%D0%B8%D0%BB%D1%8C%D0%BC","искать")</f>
        <v/>
      </c>
      <c r="N3485" s="3" t="n"/>
      <c r="O3485" s="2" t="n"/>
    </row>
    <row r="3486">
      <c r="A3486" s="2" t="n">
        <v>3485</v>
      </c>
      <c r="B3486" s="2" t="inlineStr"/>
      <c r="C3486" s="2" t="n">
        <v>8169</v>
      </c>
      <c r="D3486" s="3" t="inlineStr">
        <is>
          <t>Последний рейс "Альбатроса"</t>
        </is>
      </c>
      <c r="E3486" s="2" t="n">
        <v>1971</v>
      </c>
      <c r="F3486" s="2" t="inlineStr">
        <is>
          <t>телефильм</t>
        </is>
      </c>
      <c r="G3486" s="2" t="n"/>
      <c r="H3486" s="2" t="n">
        <v>352</v>
      </c>
      <c r="I3486" s="2" t="inlineStr"/>
      <c r="J3486" s="2" t="inlineStr"/>
      <c r="K3486" s="3" t="inlineStr">
        <is>
          <t>Снят по мотивам повести Е.Федоровского "Штурмфогель без свастики (Посылка от Марта)". Один из первых советских телесериалов. Киноповесть о советском разведчике, летчике легиона "Кондор" связанном с испытанием реактивной "ласточки" Вилли Мессершмитта - Ме-262 (в фильме - "Альбатрос") и срыва перспективного проекта во время Великой Отечественной войны.</t>
        </is>
      </c>
      <c r="L3486" s="2" t="inlineStr">
        <is>
          <t>Кино_СССР сводный каталог.xlsx: список телефильмов</t>
        </is>
      </c>
      <c r="M3486" s="2">
        <f>HYPERLINK("https://ru.wikipedia.org/w/index.php?search=%D0%9F%D0%BE%D1%81%D0%BB%D0%B5%D0%B4%D0%BD%D0%B8%D0%B9%20%D1%80%D0%B5%D0%B9%D1%81%20%22%D0%90%D0%BB%D1%8C%D0%B1%D0%B0%D1%82%D1%80%D0%BE%D1%81%D0%B0%22%201971%20%D1%84%D0%B8%D0%BB%D1%8C%D0%BC","искать")</f>
        <v/>
      </c>
      <c r="N3486" s="3" t="n"/>
      <c r="O3486" s="2" t="n"/>
    </row>
    <row r="3487">
      <c r="A3487" s="2" t="n">
        <v>3486</v>
      </c>
      <c r="B3487" s="2" t="inlineStr"/>
      <c r="C3487" s="2" t="n">
        <v>8301</v>
      </c>
      <c r="D3487" s="3" t="inlineStr">
        <is>
          <t>Сбереги башню</t>
        </is>
      </c>
      <c r="E3487" s="2" t="n">
        <v>1979</v>
      </c>
      <c r="F3487" s="2" t="inlineStr">
        <is>
          <t>телефильм</t>
        </is>
      </c>
      <c r="G3487" s="2" t="n"/>
      <c r="H3487" s="2" t="n">
        <v>352</v>
      </c>
      <c r="I3487" s="2" t="inlineStr"/>
      <c r="J3487" s="2" t="inlineStr"/>
      <c r="K3487" s="3" t="inlineStr">
        <is>
          <t>В высокогорном осетинском селе, где проводились археологические раскопки, подрабатывал местный школьник Мурат. Заур, двоюродный брат Мурата, гостивший у них на летние каникулы, случайно находит на раскопках старинный кувшин с золотыми монетами и утаивает его от всех. Осенью Мурат переехал в город, где поступил в училище осваивать профессию каменщика.</t>
        </is>
      </c>
      <c r="L3487" s="2" t="inlineStr">
        <is>
          <t>Кино_СССР сводный каталог.xlsx: список телефильмов</t>
        </is>
      </c>
      <c r="M3487" s="2">
        <f>HYPERLINK("https://ru.wikipedia.org/w/index.php?search=%D0%A1%D0%B1%D0%B5%D1%80%D0%B5%D0%B3%D0%B8%20%D0%B1%D0%B0%D1%88%D0%BD%D1%8E%201979%20%D1%84%D0%B8%D0%BB%D1%8C%D0%BC","искать")</f>
        <v/>
      </c>
      <c r="N3487" s="3" t="n"/>
      <c r="O3487" s="2" t="n"/>
    </row>
    <row r="3488">
      <c r="A3488" s="2" t="n">
        <v>3487</v>
      </c>
      <c r="B3488" s="2" t="inlineStr"/>
      <c r="C3488" s="2" t="n">
        <v>8319</v>
      </c>
      <c r="D3488" s="3" t="inlineStr">
        <is>
          <t>Северный вариант</t>
        </is>
      </c>
      <c r="E3488" s="2" t="n">
        <v>1974</v>
      </c>
      <c r="F3488" s="2" t="inlineStr">
        <is>
          <t>телефильм</t>
        </is>
      </c>
      <c r="G3488" s="2" t="n"/>
      <c r="H3488" s="2" t="n">
        <v>352</v>
      </c>
      <c r="I3488" s="2" t="inlineStr"/>
      <c r="J3488" s="2" t="inlineStr"/>
      <c r="K3488" s="3" t="inlineStr">
        <is>
          <t>Телефильм. В местечке с названием Гиблая Протока бригада нефтяников второй год ведет разведывательные работы. Бригадир Юрий Кожеватов ходит мрачнее тучи: прогноз геофизиков не подтверждается - нефти на северном направлении нет. Жизнь осложняют любовные раздоры: из-за красавицы Алевтины бурильщики подрались, и Кожеватов отправляет ее на большую землю.</t>
        </is>
      </c>
      <c r="L3488" s="2" t="inlineStr">
        <is>
          <t>Кино_СССР сводный каталог.xlsx: список телефильмов</t>
        </is>
      </c>
      <c r="M3488" s="2">
        <f>HYPERLINK("https://ru.wikipedia.org/w/index.php?search=%D0%A1%D0%B5%D0%B2%D0%B5%D1%80%D0%BD%D1%8B%D0%B9%20%D0%B2%D0%B0%D1%80%D0%B8%D0%B0%D0%BD%D1%82%201974%20%D1%84%D0%B8%D0%BB%D1%8C%D0%BC","искать")</f>
        <v/>
      </c>
      <c r="N3488" s="3" t="n"/>
      <c r="O3488" s="2" t="n"/>
    </row>
    <row r="3489">
      <c r="A3489" s="2" t="n">
        <v>3488</v>
      </c>
      <c r="B3489" s="2" t="inlineStr"/>
      <c r="C3489" s="2" t="n">
        <v>8663</v>
      </c>
      <c r="D3489" s="3" t="inlineStr">
        <is>
          <t>Волшебная подкова</t>
        </is>
      </c>
      <c r="E3489" s="2" t="n">
        <v>1971</v>
      </c>
      <c r="F3489" s="2" t="inlineStr">
        <is>
          <t>кинофильм</t>
        </is>
      </c>
      <c r="G3489" s="2" t="n"/>
      <c r="H3489" s="2" t="n">
        <v>352</v>
      </c>
      <c r="I3489" s="2" t="inlineStr"/>
      <c r="J3489" s="2" t="inlineStr"/>
      <c r="K3489" s="3" t="inlineStr">
        <is>
          <t>Красавица Айсулу спешит на свидание к своему возлюбленному - Азамату, ведь сегодня они идут на концерт. Но, как часто это бывает, девушка безнадёжно опоздала. Азамат с досады бросает билеты под ноги, и к своему удивлению находит старую подкову... Выбросив подкову, молодые люди увидели вдруг появившегося "дедушку", который оказался добрым волшебником.</t>
        </is>
      </c>
      <c r="L3489" s="2" t="inlineStr">
        <is>
          <t>Кино_СССР сводный каталог.xlsx: список фильмов (доп.)</t>
        </is>
      </c>
      <c r="M3489" s="2">
        <f>HYPERLINK("https://ru.wikipedia.org/w/index.php?search=%D0%92%D0%BE%D0%BB%D1%88%D0%B5%D0%B1%D0%BD%D0%B0%D1%8F%20%D0%BF%D0%BE%D0%B4%D0%BA%D0%BE%D0%B2%D0%B0%201971%20%D1%84%D0%B8%D0%BB%D1%8C%D0%BC","искать")</f>
        <v/>
      </c>
      <c r="N3489" s="3" t="n"/>
      <c r="O3489" s="2" t="n"/>
    </row>
    <row r="3490">
      <c r="A3490" s="2" t="n">
        <v>3489</v>
      </c>
      <c r="B3490" s="2" t="inlineStr"/>
      <c r="C3490" s="2" t="n">
        <v>9620</v>
      </c>
      <c r="D3490" s="3" t="inlineStr">
        <is>
          <t>Родня</t>
        </is>
      </c>
      <c r="E3490" s="2" t="n">
        <v>1981</v>
      </c>
      <c r="F3490" s="2" t="inlineStr">
        <is>
          <t>кинофильм</t>
        </is>
      </c>
      <c r="G3490" s="2" t="n"/>
      <c r="H3490" s="2" t="n">
        <v>352</v>
      </c>
      <c r="I3490" s="2" t="inlineStr"/>
      <c r="J3490" s="2" t="inlineStr"/>
      <c r="K3490" s="3" t="inlineStr">
        <is>
          <t>Мария Коновалова, простая, но чрезвычайно душевная женщина из деревни, едет в город навестить дочь и любимую внучку. В поезде она знакомится с главным инженером рыбзавода, тоже немолодым, но очень добрым и милым человеком. В городе простодушная женщина никак не предполагала, в каком мире живут ее самые дорогие и, пожалуй, единственно близкие ей люди.</t>
        </is>
      </c>
      <c r="L3490" s="2" t="inlineStr">
        <is>
          <t>Кино_СССР сводный каталог.xlsx: список фильмов (доп.)</t>
        </is>
      </c>
      <c r="M3490" s="2">
        <f>HYPERLINK("https://ru.wikipedia.org/w/index.php?search=%D0%A0%D0%BE%D0%B4%D0%BD%D1%8F%201981%20%D1%84%D0%B8%D0%BB%D1%8C%D0%BC","искать")</f>
        <v/>
      </c>
      <c r="N3490" s="3" t="n"/>
      <c r="O3490" s="2" t="n"/>
    </row>
    <row r="3491">
      <c r="A3491" s="2" t="n">
        <v>3490</v>
      </c>
      <c r="B3491" s="2" t="inlineStr"/>
      <c r="C3491" s="2" t="n">
        <v>11181</v>
      </c>
      <c r="D3491" s="3" t="inlineStr">
        <is>
          <t>Планета Новогодних ёлок</t>
        </is>
      </c>
      <c r="E3491" s="2" t="n">
        <v>1987</v>
      </c>
      <c r="F3491" s="2" t="inlineStr">
        <is>
          <t>фильм-спектакль</t>
        </is>
      </c>
      <c r="G3491" s="2" t="inlineStr">
        <is>
          <t>Ленинградское ТВ</t>
        </is>
      </c>
      <c r="H3491" s="2" t="n">
        <v>352</v>
      </c>
      <c r="I3491" s="2" t="inlineStr"/>
      <c r="J3491" s="2" t="inlineStr"/>
      <c r="K3491" s="3" t="inlineStr">
        <is>
          <t>По сказке Джанни Родари.
Четыре веселых уличных музыканта расскажут вам, ребята, необычную историю, которая произошла с мальчиком из Рима Марко Мелани. Он побывал на планете "Новогодних елок" и там встретил... Впрочем, что с ним произошло и кого он встретил на планете, вы узнаете, посмотрев новый спектакль Главной редакции художественного вещания ЛТ.</t>
        </is>
      </c>
      <c r="L3491" s="2" t="inlineStr">
        <is>
          <t>https://www.kino-teatr.ru/teatr/movie/79331/annot/</t>
        </is>
      </c>
      <c r="M3491" s="2">
        <f>HYPERLINK("https://ru.wikipedia.org/w/index.php?search=%D0%9F%D0%BB%D0%B0%D0%BD%D0%B5%D1%82%D0%B0%20%D0%9D%D0%BE%D0%B2%D0%BE%D0%B3%D0%BE%D0%B4%D0%BD%D0%B8%D1%85%20%D1%91%D0%BB%D0%BE%D0%BA%201987%20%D1%84%D0%B8%D0%BB%D1%8C%D0%BC","искать")</f>
        <v/>
      </c>
      <c r="N3491" s="3" t="n"/>
      <c r="O3491" s="2" t="n"/>
    </row>
    <row r="3492">
      <c r="A3492" s="2" t="n">
        <v>3491</v>
      </c>
      <c r="B3492" s="2" t="inlineStr"/>
      <c r="C3492" s="2" t="n">
        <v>7420</v>
      </c>
      <c r="D3492" s="3" t="inlineStr">
        <is>
          <t>Вызов</t>
        </is>
      </c>
      <c r="E3492" s="2" t="n">
        <v>1986</v>
      </c>
      <c r="F3492" s="2" t="inlineStr">
        <is>
          <t>телефильм</t>
        </is>
      </c>
      <c r="G3492" s="2" t="inlineStr">
        <is>
          <t>Беларусьфильм</t>
        </is>
      </c>
      <c r="H3492" s="2" t="n">
        <v>353</v>
      </c>
      <c r="I3492" s="2" t="inlineStr"/>
      <c r="J3492" s="2" t="inlineStr"/>
      <c r="K3492" s="3" t="inlineStr">
        <is>
          <t>Спортсменка Нина Богуш в труднейшей борьбе выигрывает титул чемпионки мира по фехтованию. Муж Нины - тоже спортсмен, капитан сборной по верховой езде. Постоянные разъезды мешают супругам завести детей и создать полноценную семью. Алексей хочет, чтобы жена оставила большой спорт и родила ребенка, но Нина еще не готова расстаться со спортивной карьерой.</t>
        </is>
      </c>
      <c r="L3492" s="2" t="inlineStr">
        <is>
          <t>Кино_СССР сводный каталог.xlsx: список телефильмов</t>
        </is>
      </c>
      <c r="M3492" s="2">
        <f>HYPERLINK("https://ru.wikipedia.org/w/index.php?search=%D0%92%D1%8B%D0%B7%D0%BE%D0%B2%201986%20%D1%84%D0%B8%D0%BB%D1%8C%D0%BC","искать")</f>
        <v/>
      </c>
      <c r="N3492" s="3" t="n"/>
      <c r="O3492" s="2" t="n"/>
    </row>
    <row r="3493">
      <c r="A3493" s="2" t="n">
        <v>3492</v>
      </c>
      <c r="B3493" s="2" t="inlineStr"/>
      <c r="C3493" s="2" t="n">
        <v>8570</v>
      </c>
      <c r="D3493" s="3" t="inlineStr">
        <is>
          <t>Чужой</t>
        </is>
      </c>
      <c r="E3493" s="2" t="n">
        <v>1988</v>
      </c>
      <c r="F3493" s="2" t="inlineStr">
        <is>
          <t>телефильм</t>
        </is>
      </c>
      <c r="G3493" s="2" t="n"/>
      <c r="H3493" s="2" t="n">
        <v>353</v>
      </c>
      <c r="I3493" s="2" t="inlineStr"/>
      <c r="J3493" s="2" t="inlineStr"/>
      <c r="K3493" s="3" t="inlineStr">
        <is>
          <t>Зигис с отцом живут вдвоем, без матери. Для мальчика нет человека лучше, чем отец, но только когда он трезв, а это случается все реже и реже. В отчаянии он обращается за помощью к знахарке, но по дороге домой случайно разбивает банку с чудодейственным снадобьем, которое должно было помочь отцу. Вместе с банкой разбивается и последняя надежда мальчика.</t>
        </is>
      </c>
      <c r="L3493" s="2" t="inlineStr">
        <is>
          <t>Кино_СССР сводный каталог.xlsx: список телефильмов</t>
        </is>
      </c>
      <c r="M3493" s="2">
        <f>HYPERLINK("https://ru.wikipedia.org/w/index.php?search=%D0%A7%D1%83%D0%B6%D0%BE%D0%B9%201988%20%D1%84%D0%B8%D0%BB%D1%8C%D0%BC","искать")</f>
        <v/>
      </c>
      <c r="N3493" s="3" t="n"/>
      <c r="O3493" s="2" t="n"/>
    </row>
    <row r="3494">
      <c r="A3494" s="2" t="n">
        <v>3493</v>
      </c>
      <c r="B3494" s="2" t="inlineStr"/>
      <c r="C3494" s="2" t="n">
        <v>8573</v>
      </c>
      <c r="D3494" s="3" t="inlineStr">
        <is>
          <t>Чужой случай</t>
        </is>
      </c>
      <c r="E3494" s="2" t="n">
        <v>1985</v>
      </c>
      <c r="F3494" s="2" t="inlineStr">
        <is>
          <t>телефильм</t>
        </is>
      </c>
      <c r="G3494" s="2" t="n"/>
      <c r="H3494" s="2" t="n">
        <v>353</v>
      </c>
      <c r="I3494" s="2" t="inlineStr"/>
      <c r="J3494" s="2" t="inlineStr"/>
      <c r="K3494" s="3" t="inlineStr">
        <is>
          <t>Школьница Стася во время зимних каникул приезжает в Ригу, чтобы найти своего отца, который оставил их с мамой два года назад. По стечению обстоятельств, накануне Нового года она попадает в дом к адвокату Эрику. Молодой человек решает помочь девочке, он находит ее отца и понимает, что это совсем не такой замечательный человек, как представлялось Стасе.</t>
        </is>
      </c>
      <c r="L3494" s="2" t="inlineStr">
        <is>
          <t>Кино_СССР сводный каталог.xlsx: список телефильмов</t>
        </is>
      </c>
      <c r="M3494" s="2">
        <f>HYPERLINK("https://ru.wikipedia.org/w/index.php?search=%D0%A7%D1%83%D0%B6%D0%BE%D0%B9%20%D1%81%D0%BB%D1%83%D1%87%D0%B0%D0%B9%201985%20%D1%84%D0%B8%D0%BB%D1%8C%D0%BC","искать")</f>
        <v/>
      </c>
      <c r="N3494" s="3" t="n"/>
      <c r="O3494" s="2" t="n"/>
    </row>
    <row r="3495">
      <c r="A3495" s="2" t="n">
        <v>3494</v>
      </c>
      <c r="B3495" s="2" t="inlineStr"/>
      <c r="C3495" s="2" t="n">
        <v>8097</v>
      </c>
      <c r="D3495" s="3" t="inlineStr">
        <is>
          <t>Перед экзаменом</t>
        </is>
      </c>
      <c r="E3495" s="2" t="n">
        <v>1977</v>
      </c>
      <c r="F3495" s="2" t="inlineStr">
        <is>
          <t>телефильм</t>
        </is>
      </c>
      <c r="G3495" s="2" t="n"/>
      <c r="H3495" s="2" t="n">
        <v>354</v>
      </c>
      <c r="I3495" s="2" t="inlineStr"/>
      <c r="J3495" s="2" t="inlineStr"/>
      <c r="K3495" s="3" t="inlineStr">
        <is>
          <t>Телефильм по рассказу Виктории Токаревой "Инструктор по плаванию" . Поругавшись с мамой и подругой героиня бредет по улице и незнакомка отдает ей даром билет в театр. На спектакле рядом с героиней сидит тот (Иван), с кем не пошла на спектакль незнакомка. Юная Таня Гусакова на распутье: родители настаивают, чтобы она поступала в педагогический институт.</t>
        </is>
      </c>
      <c r="L3495" s="2" t="inlineStr">
        <is>
          <t>Кино_СССР сводный каталог.xlsx: список телефильмов</t>
        </is>
      </c>
      <c r="M3495" s="2">
        <f>HYPERLINK("https://ru.wikipedia.org/w/index.php?search=%D0%9F%D0%B5%D1%80%D0%B5%D0%B4%20%D1%8D%D0%BA%D0%B7%D0%B0%D0%BC%D0%B5%D0%BD%D0%BE%D0%BC%201977%20%D1%84%D0%B8%D0%BB%D1%8C%D0%BC","искать")</f>
        <v/>
      </c>
      <c r="N3495" s="3" t="n"/>
      <c r="O3495" s="2" t="n"/>
    </row>
    <row r="3496">
      <c r="A3496" s="2" t="n">
        <v>3495</v>
      </c>
      <c r="B3496" s="2" t="inlineStr"/>
      <c r="C3496" s="2" t="n">
        <v>9063</v>
      </c>
      <c r="D3496" s="3" t="inlineStr">
        <is>
          <t>Спеши строить дом</t>
        </is>
      </c>
      <c r="E3496" s="2" t="n">
        <v>1970</v>
      </c>
      <c r="F3496" s="2" t="inlineStr">
        <is>
          <t>кинофильм</t>
        </is>
      </c>
      <c r="G3496" s="2" t="n"/>
      <c r="H3496" s="2" t="n">
        <v>354</v>
      </c>
      <c r="I3496" s="2" t="inlineStr"/>
      <c r="J3496" s="2" t="inlineStr"/>
      <c r="K3496" s="3" t="inlineStr">
        <is>
          <t>Молоденькая девушка Маша и учитель Николай Егорович из деревни Новоселки любят друг друга. У Маши хороший голос, и она едет в город поступать в институт. На экзамене она производит прекрасное впечатление на комиссию. Назавтра ее фотографию помещает один из популярных журналов, и на домашний адрес девушки начинают приходить письма со всех концов страны.</t>
        </is>
      </c>
      <c r="L3496" s="2" t="inlineStr">
        <is>
          <t>Кино_СССР сводный каталог.xlsx: список фильмов (доп.)</t>
        </is>
      </c>
      <c r="M3496" s="2">
        <f>HYPERLINK("https://ru.wikipedia.org/w/index.php?search=%D0%A1%D0%BF%D0%B5%D1%88%D0%B8%20%D1%81%D1%82%D1%80%D0%BE%D0%B8%D1%82%D1%8C%20%D0%B4%D0%BE%D0%BC%201970%20%D1%84%D0%B8%D0%BB%D1%8C%D0%BC","искать")</f>
        <v/>
      </c>
      <c r="N3496" s="3" t="n"/>
      <c r="O3496" s="2" t="n"/>
    </row>
    <row r="3497">
      <c r="A3497" s="2" t="n">
        <v>3496</v>
      </c>
      <c r="B3497" s="2" t="inlineStr"/>
      <c r="C3497" s="2" t="n">
        <v>7255</v>
      </c>
      <c r="D3497" s="3" t="inlineStr">
        <is>
          <t>Благочестивая Марта</t>
        </is>
      </c>
      <c r="E3497" s="2" t="n">
        <v>1980</v>
      </c>
      <c r="F3497" s="2" t="inlineStr">
        <is>
          <t>телефильм</t>
        </is>
      </c>
      <c r="G3497" s="2" t="inlineStr">
        <is>
          <t>Ленфильм</t>
        </is>
      </c>
      <c r="H3497" s="2" t="n">
        <v>355</v>
      </c>
      <c r="I3497" s="2" t="inlineStr"/>
      <c r="J3497" s="2" t="inlineStr"/>
      <c r="K3497" s="3" t="inlineStr">
        <is>
          <t>Телефильм. Музыкальная комедия по мотивам пьесы Тирсо де Молина с участием замечательных советских артистов рассказывает о любви. Испания, Мадрид, XVII век. Вполне традиционный средневековый сюжет: тиран - отец пытается выдать красавицу - дочь замуж за богатого старика. Девушка вынуждена объявить, что уходит в монастырь, только бы отложить день свадьбы.</t>
        </is>
      </c>
      <c r="L3497" s="2" t="inlineStr">
        <is>
          <t>Кино_СССР сводный каталог.xlsx: список телефильмов</t>
        </is>
      </c>
      <c r="M3497" s="2">
        <f>HYPERLINK("https://ru.wikipedia.org/w/index.php?search=%D0%91%D0%BB%D0%B0%D0%B3%D0%BE%D1%87%D0%B5%D1%81%D1%82%D0%B8%D0%B2%D0%B0%D1%8F%20%D0%9C%D0%B0%D1%80%D1%82%D0%B0%201980%20%D1%84%D0%B8%D0%BB%D1%8C%D0%BC","искать")</f>
        <v/>
      </c>
      <c r="N3497" s="3" t="n"/>
      <c r="O3497" s="2" t="n"/>
    </row>
    <row r="3498">
      <c r="A3498" s="2" t="n">
        <v>3497</v>
      </c>
      <c r="B3498" s="2" t="inlineStr"/>
      <c r="C3498" s="2" t="n">
        <v>7414</v>
      </c>
      <c r="D3498" s="3" t="inlineStr">
        <is>
          <t>Второе дыхание</t>
        </is>
      </c>
      <c r="E3498" s="2" t="n">
        <v>1971</v>
      </c>
      <c r="F3498" s="2" t="inlineStr">
        <is>
          <t>телефильм</t>
        </is>
      </c>
      <c r="G3498" s="2" t="n"/>
      <c r="H3498" s="2" t="n">
        <v>355</v>
      </c>
      <c r="I3498" s="2" t="inlineStr"/>
      <c r="J3498" s="2" t="inlineStr"/>
      <c r="K3498" s="3" t="inlineStr">
        <is>
          <t>Телефильм по мотивам романа Ю.Шовкопляса "Человек живет дважды". В клинику научно-исследовательского института доставляют тяжелобольного. Молодой врач Фалько, ординатор института, настаивает на срочной операции, но его руководитель Друзь считает, что в данном случае терапевтическое лечение будет более эффективным и, к тому же, не будет связано с риском.</t>
        </is>
      </c>
      <c r="L3498" s="2" t="inlineStr">
        <is>
          <t>Кино_СССР сводный каталог.xlsx: список телефильмов</t>
        </is>
      </c>
      <c r="M3498" s="2">
        <f>HYPERLINK("https://ru.wikipedia.org/w/index.php?search=%D0%92%D1%82%D0%BE%D1%80%D0%BE%D0%B5%20%D0%B4%D1%8B%D1%85%D0%B0%D0%BD%D0%B8%D0%B5%201971%20%D1%84%D0%B8%D0%BB%D1%8C%D0%BC","искать")</f>
        <v/>
      </c>
      <c r="N3498" s="3" t="n"/>
      <c r="O3498" s="2" t="n"/>
    </row>
    <row r="3499">
      <c r="A3499" s="2" t="n">
        <v>3498</v>
      </c>
      <c r="B3499" s="2" t="inlineStr"/>
      <c r="C3499" s="2" t="n">
        <v>8374</v>
      </c>
      <c r="D3499" s="3" t="inlineStr">
        <is>
          <t>Совесть</t>
        </is>
      </c>
      <c r="E3499" s="2" t="n">
        <v>1974</v>
      </c>
      <c r="F3499" s="2" t="inlineStr">
        <is>
          <t>телефильм</t>
        </is>
      </c>
      <c r="G3499" s="2" t="inlineStr">
        <is>
          <t>ТО «Экран»</t>
        </is>
      </c>
      <c r="H3499" s="2" t="n">
        <v>355</v>
      </c>
      <c r="I3499" s="2" t="inlineStr"/>
      <c r="J3499" s="2" t="inlineStr"/>
      <c r="K3499" s="3" t="inlineStr">
        <is>
          <t>Телесериал. Из фашистского концлагеря в конце войны бегут трое советских военнопленных. Им помогает и бежит вместе с ними один из охранников. Спустя много лет этот бывший немецкий прихвостень встречает одного из бежавших и приходит к мысли об уничтожении всех беглецов, с кем он когда-то совершил побег из концлагеря, они его бросили раненного при побеге.</t>
        </is>
      </c>
      <c r="L3499" s="2" t="inlineStr">
        <is>
          <t>Кино_СССР сводный каталог.xlsx: список телефильмов</t>
        </is>
      </c>
      <c r="M3499" s="2">
        <f>HYPERLINK("https://ru.wikipedia.org/w/index.php?search=%D0%A1%D0%BE%D0%B2%D0%B5%D1%81%D1%82%D1%8C%201974%20%D1%84%D0%B8%D0%BB%D1%8C%D0%BC","искать")</f>
        <v/>
      </c>
      <c r="N3499" s="3" t="n"/>
      <c r="O3499" s="2" t="n"/>
    </row>
    <row r="3500">
      <c r="A3500" s="2" t="n">
        <v>3499</v>
      </c>
      <c r="B3500" s="2" t="inlineStr"/>
      <c r="C3500" s="2" t="n">
        <v>8616</v>
      </c>
      <c r="D3500" s="3" t="inlineStr">
        <is>
          <t>Явление</t>
        </is>
      </c>
      <c r="E3500" s="2" t="n">
        <v>1988</v>
      </c>
      <c r="F3500" s="2" t="inlineStr">
        <is>
          <t>телефильм</t>
        </is>
      </c>
      <c r="G3500" s="2" t="n"/>
      <c r="H3500" s="2" t="n">
        <v>355</v>
      </c>
      <c r="I3500" s="2" t="inlineStr"/>
      <c r="J3500" s="2" t="inlineStr"/>
      <c r="K3500" s="3" t="inlineStr">
        <is>
          <t>После того, как директор консервного завода Мириан Табидзе чуть не погиб, он задумался о том, кому же выгодна его смерть. За свою долгую жизнь он причинил много вреда разным людям. И все они - начальник отдела кадров, рэкетир-неудачник, дочь, зять, любовница - желают ему смерти. Но Мириан даже не может предположить, кто же больше всех жаждет его гибели.</t>
        </is>
      </c>
      <c r="L3500" s="2" t="inlineStr">
        <is>
          <t>Кино_СССР сводный каталог.xlsx: список телефильмов</t>
        </is>
      </c>
      <c r="M3500" s="2">
        <f>HYPERLINK("https://ru.wikipedia.org/w/index.php?search=%D0%AF%D0%B2%D0%BB%D0%B5%D0%BD%D0%B8%D0%B5%201988%20%D1%84%D0%B8%D0%BB%D1%8C%D0%BC","искать")</f>
        <v/>
      </c>
      <c r="N3500" s="3" t="n"/>
      <c r="O3500" s="2" t="n"/>
    </row>
    <row r="3501">
      <c r="A3501" s="2" t="n">
        <v>3500</v>
      </c>
      <c r="B3501" s="2" t="inlineStr"/>
      <c r="C3501" s="2" t="n">
        <v>11245</v>
      </c>
      <c r="D3501" s="3" t="inlineStr">
        <is>
          <t>А это случилось в Виши</t>
        </is>
      </c>
      <c r="E3501" s="2" t="n">
        <v>1989</v>
      </c>
      <c r="F3501" s="2" t="inlineStr">
        <is>
          <t>фильм-спектакль</t>
        </is>
      </c>
      <c r="G3501" s="2" t="inlineStr">
        <is>
          <t>Главная редакция литературно-драматических программ ЦТ</t>
        </is>
      </c>
      <c r="H3501" s="2" t="n">
        <v>355</v>
      </c>
      <c r="I3501" s="2" t="inlineStr"/>
      <c r="J3501" s="2" t="inlineStr"/>
      <c r="K3501" s="3" t="inlineStr">
        <is>
          <t>По одноименной пьесе Артура Миллера.
Действие происходит во Франции в 1942 году.
В камеру предварительного заключения гитлеровцы согнали людей разных социальных слоев и национальностей, которые оказались перед лицом неминуемой гибели. Один из них, князь фон Берг, получает право на свободу. Он отказывается от этого права во имя спасения другого человека.</t>
        </is>
      </c>
      <c r="L3501" s="2" t="inlineStr">
        <is>
          <t>https://www.kino-teatr.ru/teatr/movie/95/annot/</t>
        </is>
      </c>
      <c r="M3501" s="2">
        <f>HYPERLINK("https://ru.wikipedia.org/w/index.php?search=%D0%90%20%D1%8D%D1%82%D0%BE%20%D1%81%D0%BB%D1%83%D1%87%D0%B8%D0%BB%D0%BE%D1%81%D1%8C%20%D0%B2%20%D0%92%D0%B8%D1%88%D0%B8%201989%20%D1%84%D0%B8%D0%BB%D1%8C%D0%BC","искать")</f>
        <v/>
      </c>
      <c r="N3501" s="3" t="n"/>
      <c r="O3501" s="2" t="n"/>
    </row>
    <row r="3502">
      <c r="A3502" s="2" t="n">
        <v>3501</v>
      </c>
      <c r="B3502" s="2" t="inlineStr"/>
      <c r="C3502" s="2" t="n">
        <v>7352</v>
      </c>
      <c r="D3502" s="3" t="inlineStr">
        <is>
          <t>Водитель автобуса</t>
        </is>
      </c>
      <c r="E3502" s="2" t="n">
        <v>1983</v>
      </c>
      <c r="F3502" s="2" t="inlineStr">
        <is>
          <t>телефильм</t>
        </is>
      </c>
      <c r="G3502" s="2" t="n"/>
      <c r="H3502" s="2" t="n">
        <v>356</v>
      </c>
      <c r="I3502" s="2" t="inlineStr"/>
      <c r="J3502" s="2" t="inlineStr"/>
      <c r="K3502" s="3" t="inlineStr">
        <is>
          <t>Телефильм снят по мотивам повести Валентина Черных "Незаконченное воспоминание о детстве шофера междугородного автобуса". Отправляясь в очередной рейс, водитель междугороднего автобуса Семен не мог даже предположить, какое испытание его ждет впереди. Вместе с ехавшим в салоне лейтенантом Советской армии ему удалось задержать и обезвредить шайку бандитов.</t>
        </is>
      </c>
      <c r="L3502" s="2" t="inlineStr">
        <is>
          <t>Кино_СССР сводный каталог.xlsx: список телефильмов</t>
        </is>
      </c>
      <c r="M3502" s="2">
        <f>HYPERLINK("https://ru.wikipedia.org/w/index.php?search=%D0%92%D0%BE%D0%B4%D0%B8%D1%82%D0%B5%D0%BB%D1%8C%20%D0%B0%D0%B2%D1%82%D0%BE%D0%B1%D1%83%D1%81%D0%B0%201983%20%D1%84%D0%B8%D0%BB%D1%8C%D0%BC","искать")</f>
        <v/>
      </c>
      <c r="N3502" s="3" t="n"/>
      <c r="O3502" s="2" t="n"/>
    </row>
    <row r="3503">
      <c r="A3503" s="2" t="n">
        <v>3502</v>
      </c>
      <c r="B3503" s="2" t="inlineStr"/>
      <c r="C3503" s="2" t="n">
        <v>7733</v>
      </c>
      <c r="D3503" s="3" t="inlineStr">
        <is>
          <t>Когда мне будет 54 года</t>
        </is>
      </c>
      <c r="E3503" s="2" t="n">
        <v>1989</v>
      </c>
      <c r="F3503" s="2" t="inlineStr">
        <is>
          <t>телефильм</t>
        </is>
      </c>
      <c r="G3503" s="2" t="n"/>
      <c r="H3503" s="2" t="n">
        <v>356</v>
      </c>
      <c r="I3503" s="2" t="inlineStr"/>
      <c r="J3503" s="2" t="inlineStr"/>
      <c r="K3503" s="3" t="inlineStr">
        <is>
          <t>Лида, добрый и отзывчивый человек, вырастила своего младшего брата, одна воспитывает дочь, хотя у неё дружеские отношения с отцом дочери. Имея высшее образование, Лида работает машинисткой. С приходом нового начальника жизнь её меняется. Оценив способности и человеческие качества Лиды, он назначает её главным инженером и вскоре Лида становится его женой.</t>
        </is>
      </c>
      <c r="L3503" s="2" t="inlineStr">
        <is>
          <t>Кино_СССР сводный каталог.xlsx: список телефильмов</t>
        </is>
      </c>
      <c r="M3503" s="2">
        <f>HYPERLINK("https://ru.wikipedia.org/w/index.php?search=%D0%9A%D0%BE%D0%B3%D0%B4%D0%B0%20%D0%BC%D0%BD%D0%B5%20%D0%B1%D1%83%D0%B4%D0%B5%D1%82%2054%20%D0%B3%D0%BE%D0%B4%D0%B0%201989%20%D1%84%D0%B8%D0%BB%D1%8C%D0%BC","искать")</f>
        <v/>
      </c>
      <c r="N3503" s="3" t="n"/>
      <c r="O3503" s="2" t="n"/>
    </row>
    <row r="3504">
      <c r="A3504" s="2" t="n">
        <v>3503</v>
      </c>
      <c r="B3504" s="2" t="inlineStr"/>
      <c r="C3504" s="2" t="n">
        <v>7753</v>
      </c>
      <c r="D3504" s="3" t="inlineStr">
        <is>
          <t>Копилка</t>
        </is>
      </c>
      <c r="E3504" s="2" t="n">
        <v>1980</v>
      </c>
      <c r="F3504" s="2" t="inlineStr">
        <is>
          <t>телефильм</t>
        </is>
      </c>
      <c r="G3504" s="2" t="n"/>
      <c r="H3504" s="2" t="n">
        <v>356</v>
      </c>
      <c r="I3504" s="2" t="inlineStr"/>
      <c r="J3504" s="2" t="inlineStr"/>
      <c r="K3504" s="3" t="inlineStr">
        <is>
          <t>Телефильм по одноименному водевилю французского драматурга Эжена Лабиша. Провинциальный рантье Шамбурси со своей семьей и друзьями приезжает в город с целью весело прокутить карточные выигрыши, откладывавшиеся в течение года в копилку. На долю героев фильма выпадает немало веселых приключений, счастливо завершившихся в доме "короля брачных дел" Кокореля.</t>
        </is>
      </c>
      <c r="L3504" s="2" t="inlineStr">
        <is>
          <t>Кино_СССР сводный каталог.xlsx: список телефильмов</t>
        </is>
      </c>
      <c r="M3504" s="2">
        <f>HYPERLINK("https://ru.wikipedia.org/w/index.php?search=%D0%9A%D0%BE%D0%BF%D0%B8%D0%BB%D0%BA%D0%B0%201980%20%D1%84%D0%B8%D0%BB%D1%8C%D0%BC","искать")</f>
        <v/>
      </c>
      <c r="N3504" s="3" t="n"/>
      <c r="O3504" s="2" t="n"/>
    </row>
    <row r="3505">
      <c r="A3505" s="2" t="n">
        <v>3504</v>
      </c>
      <c r="B3505" s="2" t="inlineStr"/>
      <c r="C3505" s="2" t="n">
        <v>8112</v>
      </c>
      <c r="D3505" s="3" t="inlineStr">
        <is>
          <t>Пиковая дама</t>
        </is>
      </c>
      <c r="E3505" s="2" t="n">
        <v>1982</v>
      </c>
      <c r="F3505" s="2" t="inlineStr">
        <is>
          <t>телефильм</t>
        </is>
      </c>
      <c r="G3505" s="2" t="n"/>
      <c r="H3505" s="2" t="n">
        <v>356</v>
      </c>
      <c r="I3505" s="2" t="inlineStr"/>
      <c r="J3505" s="2" t="inlineStr"/>
      <c r="K3505" s="3" t="inlineStr">
        <is>
          <t>По одноименной повести Александра Сергеевича Пушкина. Текст читает Алла Демидова. Старая, выжившая из ума графиня, владеет тайной трех карт, приносящих счастье. Подвластный магической силе тайны Германн благодаря Лизе глубокой ночью проникает в дом графини, а там... И гораздо позже, в темноте ночи Германна будет преследовать белый призрак старой графини.</t>
        </is>
      </c>
      <c r="L3505" s="2" t="inlineStr">
        <is>
          <t>Кино_СССР сводный каталог.xlsx: список телефильмов</t>
        </is>
      </c>
      <c r="M3505" s="2">
        <f>HYPERLINK("https://ru.wikipedia.org/w/index.php?search=%D0%9F%D0%B8%D0%BA%D0%BE%D0%B2%D0%B0%D1%8F%20%D0%B4%D0%B0%D0%BC%D0%B0%201982%20%D1%84%D0%B8%D0%BB%D1%8C%D0%BC","искать")</f>
        <v/>
      </c>
      <c r="N3505" s="3" t="n"/>
      <c r="O3505" s="2" t="n"/>
    </row>
    <row r="3506">
      <c r="A3506" s="2" t="n">
        <v>3505</v>
      </c>
      <c r="B3506" s="2" t="inlineStr"/>
      <c r="C3506" s="2" t="n">
        <v>8221</v>
      </c>
      <c r="D3506" s="3" t="inlineStr">
        <is>
          <t>Про Красную Шапочку</t>
        </is>
      </c>
      <c r="E3506" s="2" t="n">
        <v>1977</v>
      </c>
      <c r="F3506" s="2" t="inlineStr">
        <is>
          <t>телефильм</t>
        </is>
      </c>
      <c r="G3506" s="2" t="inlineStr">
        <is>
          <t>Беларусьфильм</t>
        </is>
      </c>
      <c r="H3506" s="2" t="n">
        <v>356</v>
      </c>
      <c r="I3506" s="2" t="inlineStr"/>
      <c r="J3506" s="2" t="inlineStr"/>
      <c r="K3506" s="3" t="inlineStr">
        <is>
          <t>Телефильм. Продолжение известной старой сказки режиссер Леонид Нечаев сделал очаровательной музыкальной комедией. Старая Волчица решает отомстить наглой Красной Шапке за смерть сына, убитого лесорубами, и поручает волку - профессионалу поймать девчонку. А заодно - научить чему - то полезному второго сына, толстого и доброго, мечтающего только о конфетах.</t>
        </is>
      </c>
      <c r="L3506" s="2" t="inlineStr">
        <is>
          <t>Кино_СССР сводный каталог.xlsx: список телефильмов</t>
        </is>
      </c>
      <c r="M3506" s="2">
        <f>HYPERLINK("https://ru.wikipedia.org/w/index.php?search=%D0%9F%D1%80%D0%BE%20%D0%9A%D1%80%D0%B0%D1%81%D0%BD%D1%83%D1%8E%20%D0%A8%D0%B0%D0%BF%D0%BE%D1%87%D0%BA%D1%83%201977%20%D1%84%D0%B8%D0%BB%D1%8C%D0%BC","искать")</f>
        <v/>
      </c>
      <c r="N3506" s="3" t="n"/>
      <c r="O3506" s="2" t="n"/>
    </row>
    <row r="3507">
      <c r="A3507" s="2" t="n">
        <v>3506</v>
      </c>
      <c r="B3507" s="2" t="inlineStr"/>
      <c r="C3507" s="2" t="n">
        <v>8251</v>
      </c>
      <c r="D3507" s="3" t="inlineStr">
        <is>
          <t>Пятрас Курмялис</t>
        </is>
      </c>
      <c r="E3507" s="2" t="n">
        <v>1986</v>
      </c>
      <c r="F3507" s="2" t="inlineStr">
        <is>
          <t>телефильм</t>
        </is>
      </c>
      <c r="G3507" s="2" t="n"/>
      <c r="H3507" s="2" t="n">
        <v>356</v>
      </c>
      <c r="I3507" s="2" t="inlineStr"/>
      <c r="J3507" s="2" t="inlineStr"/>
      <c r="K3507" s="3" t="inlineStr">
        <is>
          <t>Фильм поставлен по одноименной повести Ю.Жемайте. Пятрас Курмялис - трудолюбивый, но прижимистый крестьянин, женится по расчёту, хочет, чтобы невеста принесла в дом хорошее приданое. Но брак не приносит ему счастья. Свою боль он топит в алкоголе и с горечью обращается к своей умершей матери: "Матушка, моя матушка, почему не посоветовала мне любви искать.</t>
        </is>
      </c>
      <c r="L3507" s="2" t="inlineStr">
        <is>
          <t>Кино_СССР сводный каталог.xlsx: список телефильмов</t>
        </is>
      </c>
      <c r="M3507" s="2">
        <f>HYPERLINK("https://ru.wikipedia.org/w/index.php?search=%D0%9F%D1%8F%D1%82%D1%80%D0%B0%D1%81%20%D0%9A%D1%83%D1%80%D0%BC%D1%8F%D0%BB%D0%B8%D1%81%201986%20%D1%84%D0%B8%D0%BB%D1%8C%D0%BC","искать")</f>
        <v/>
      </c>
      <c r="N3507" s="3" t="n"/>
      <c r="O3507" s="2" t="n"/>
    </row>
    <row r="3508">
      <c r="A3508" s="2" t="n">
        <v>3507</v>
      </c>
      <c r="B3508" s="2" t="inlineStr"/>
      <c r="C3508" s="2" t="n">
        <v>8260</v>
      </c>
      <c r="D3508" s="3" t="inlineStr">
        <is>
          <t>Расписание на завтра</t>
        </is>
      </c>
      <c r="E3508" s="2" t="n">
        <v>1976</v>
      </c>
      <c r="F3508" s="2" t="inlineStr">
        <is>
          <t>телефильм</t>
        </is>
      </c>
      <c r="G3508" s="2" t="n"/>
      <c r="H3508" s="2" t="n">
        <v>356</v>
      </c>
      <c r="I3508" s="2" t="inlineStr"/>
      <c r="J3508" s="2" t="inlineStr"/>
      <c r="K3508" s="3" t="inlineStr">
        <is>
          <t>Фильм с главными героями состоит из 3-х историй: 1-я - о любви учеников к учительнице английского языка (актриса Нина Зоткина), 2-я - о помощи девочке, которая хотела научиться кататься на коньках, 3-я - о том, как школьники в макете города у директора (актер Олег Жаков) в кабинете нашли стихи, написанные перед войной и посвященные девочке под буквой "Н.</t>
        </is>
      </c>
      <c r="L3508" s="2" t="inlineStr">
        <is>
          <t>Кино_СССР сводный каталог.xlsx: список телефильмов</t>
        </is>
      </c>
      <c r="M3508" s="2">
        <f>HYPERLINK("https://ru.wikipedia.org/w/index.php?search=%D0%A0%D0%B0%D1%81%D0%BF%D0%B8%D1%81%D0%B0%D0%BD%D0%B8%D0%B5%20%D0%BD%D0%B0%20%D0%B7%D0%B0%D0%B2%D1%82%D1%80%D0%B0%201976%20%D1%84%D0%B8%D0%BB%D1%8C%D0%BC","искать")</f>
        <v/>
      </c>
      <c r="N3508" s="3" t="n"/>
      <c r="O3508" s="2" t="n"/>
    </row>
    <row r="3509">
      <c r="A3509" s="2" t="n">
        <v>3508</v>
      </c>
      <c r="B3509" s="2" t="inlineStr"/>
      <c r="C3509" s="2" t="n">
        <v>8884</v>
      </c>
      <c r="D3509" s="3" t="inlineStr">
        <is>
          <t>О любви говорить не будем</t>
        </is>
      </c>
      <c r="E3509" s="2" t="n">
        <v>1988</v>
      </c>
      <c r="F3509" s="2" t="inlineStr">
        <is>
          <t>кинофильм</t>
        </is>
      </c>
      <c r="G3509" s="2" t="n"/>
      <c r="H3509" s="2" t="n">
        <v>356</v>
      </c>
      <c r="I3509" s="2" t="inlineStr"/>
      <c r="J3509" s="2" t="inlineStr"/>
      <c r="K3509" s="3" t="inlineStr">
        <is>
          <t>По мотивам романа Андриса Колберга «Под утро в автомобиле». Скитания по чужим квартирам, незапланированное рождение ребенка и постоянная нехватка денег вынуждает молодую пару войти в «дело» с бывшим приятелем, который легко нажил капитал на денежных махинациях. В результате Бригита попадает в колонию, а Индулис вскоре женится на дочери влиятельных людей.</t>
        </is>
      </c>
      <c r="L3509" s="2" t="inlineStr">
        <is>
          <t>Кино_СССР сводный каталог.xlsx: список фильмов (доп.)</t>
        </is>
      </c>
      <c r="M3509" s="2">
        <f>HYPERLINK("https://ru.wikipedia.org/w/index.php?search=%D0%9E%20%D0%BB%D1%8E%D0%B1%D0%B2%D0%B8%20%D0%B3%D0%BE%D0%B2%D0%BE%D1%80%D0%B8%D1%82%D1%8C%20%D0%BD%D0%B5%20%D0%B1%D1%83%D0%B4%D0%B5%D0%BC%201988%20%D1%84%D0%B8%D0%BB%D1%8C%D0%BC","искать")</f>
        <v/>
      </c>
      <c r="N3509" s="3" t="n"/>
      <c r="O3509" s="2" t="n"/>
    </row>
    <row r="3510">
      <c r="A3510" s="2" t="n">
        <v>3509</v>
      </c>
      <c r="B3510" s="2" t="inlineStr"/>
      <c r="C3510" s="2" t="n">
        <v>8967</v>
      </c>
      <c r="D3510" s="3" t="inlineStr">
        <is>
          <t>Похищение чародея</t>
        </is>
      </c>
      <c r="E3510" s="2" t="n">
        <v>1989</v>
      </c>
      <c r="F3510" s="2" t="inlineStr">
        <is>
          <t>кинофильм</t>
        </is>
      </c>
      <c r="G3510" s="2" t="n"/>
      <c r="H3510" s="2" t="n">
        <v>356</v>
      </c>
      <c r="I3510" s="2" t="inlineStr"/>
      <c r="J3510" s="2" t="inlineStr"/>
      <c r="K3510" s="3" t="inlineStr">
        <is>
          <t>Фантастика по одноименной повести Кира Булычева. Аспирантка Анна решает уехать из города и поработать над диссертацией в деревне. В заброшенном доме тети ее посещают странные гости, чем-то смахивающие на жуликов. Однако вскоре подтверждается их причастность к XXVIII веку и намерения посетить век XIII, чтобы извлечь оттуда алхимика-колдуна боярина Романа.</t>
        </is>
      </c>
      <c r="L3510" s="2" t="inlineStr">
        <is>
          <t>Кино_СССР сводный каталог.xlsx: список фильмов (доп.)</t>
        </is>
      </c>
      <c r="M3510" s="2">
        <f>HYPERLINK("https://ru.wikipedia.org/w/index.php?search=%D0%9F%D0%BE%D1%85%D0%B8%D1%89%D0%B5%D0%BD%D0%B8%D0%B5%20%D1%87%D0%B0%D1%80%D0%BE%D0%B4%D0%B5%D1%8F%201989%20%D1%84%D0%B8%D0%BB%D1%8C%D0%BC","искать")</f>
        <v/>
      </c>
      <c r="N3510" s="3" t="n"/>
      <c r="O3510" s="2" t="n"/>
    </row>
    <row r="3511">
      <c r="A3511" s="2" t="n">
        <v>3510</v>
      </c>
      <c r="B3511" s="2" t="inlineStr"/>
      <c r="C3511" s="2" t="n">
        <v>9179</v>
      </c>
      <c r="D3511" s="3" t="inlineStr">
        <is>
          <t>Экзамен</t>
        </is>
      </c>
      <c r="E3511" s="2" t="n">
        <v>1987</v>
      </c>
      <c r="F3511" s="2" t="inlineStr">
        <is>
          <t>кинофильм</t>
        </is>
      </c>
      <c r="G3511" s="2" t="n"/>
      <c r="H3511" s="2" t="n">
        <v>356</v>
      </c>
      <c r="I3511" s="2" t="inlineStr"/>
      <c r="J3511" s="2" t="inlineStr"/>
      <c r="K3511" s="3" t="inlineStr">
        <is>
          <t>История скромного преподавателя ВУЗа Гияса, который, попав в сложную жизненную ситуацию, сохранил себя как личность. По вине его сына, Намика, в автомобильной катастрофе погибла девушка. От юридической квалификации содеянного во многом зависела мера наказания. Следователь, ведущий дело, обратился к Гиясу с просьбой принять в институт его нерадивого сына.</t>
        </is>
      </c>
      <c r="L3511" s="2" t="inlineStr">
        <is>
          <t>Кино_СССР сводный каталог.xlsx: список фильмов (доп.)</t>
        </is>
      </c>
      <c r="M3511" s="2">
        <f>HYPERLINK("https://ru.wikipedia.org/w/index.php?search=%D0%AD%D0%BA%D0%B7%D0%B0%D0%BC%D0%B5%D0%BD%201987%20%D1%84%D0%B8%D0%BB%D1%8C%D0%BC","искать")</f>
        <v/>
      </c>
      <c r="N3511" s="3" t="n"/>
      <c r="O3511" s="2" t="n"/>
    </row>
    <row r="3512">
      <c r="A3512" s="2" t="n">
        <v>3511</v>
      </c>
      <c r="B3512" s="2" t="inlineStr"/>
      <c r="C3512" s="2" t="n">
        <v>9397</v>
      </c>
      <c r="D3512" s="3" t="inlineStr">
        <is>
          <t>Искушение Б.</t>
        </is>
      </c>
      <c r="E3512" s="2" t="n">
        <v>1990</v>
      </c>
      <c r="F3512" s="2" t="inlineStr">
        <is>
          <t>кинофильм</t>
        </is>
      </c>
      <c r="G3512" s="2" t="n"/>
      <c r="H3512" s="2" t="n">
        <v>356</v>
      </c>
      <c r="I3512" s="2" t="inlineStr"/>
      <c r="J3512" s="2" t="inlineStr"/>
      <c r="K3512" s="3" t="inlineStr">
        <is>
          <t>Фильм по произведению А. и Б. Стругацких «Пять ложек эликсира». Писатель Феликс Снегирев становится обладателем страшной тайны секты бессмертных и потенциальным компаньоном владельцев "живой воды", поле действия которой распространяется только на пятерых. Он же - шестой. И ему приходится искать выход из морального тупика - умереть или стать бессмертным?.</t>
        </is>
      </c>
      <c r="L3512" s="2" t="inlineStr">
        <is>
          <t>Кино_СССР сводный каталог.xlsx: список фильмов (доп.)</t>
        </is>
      </c>
      <c r="M3512" s="2">
        <f>HYPERLINK("https://ru.wikipedia.org/w/index.php?search=%D0%98%D1%81%D0%BA%D1%83%D1%88%D0%B5%D0%BD%D0%B8%D0%B5%20%D0%91.%201990%20%D1%84%D0%B8%D0%BB%D1%8C%D0%BC","искать")</f>
        <v/>
      </c>
      <c r="N3512" s="3" t="n"/>
      <c r="O3512" s="2" t="n"/>
    </row>
    <row r="3513">
      <c r="A3513" s="2" t="n">
        <v>3512</v>
      </c>
      <c r="B3513" s="2" t="inlineStr"/>
      <c r="C3513" s="2" t="n">
        <v>9668</v>
      </c>
      <c r="D3513" s="3" t="inlineStr">
        <is>
          <t>Спутник планеты Уран</t>
        </is>
      </c>
      <c r="E3513" s="2" t="n">
        <v>1990</v>
      </c>
      <c r="F3513" s="2" t="inlineStr">
        <is>
          <t>кинофильм</t>
        </is>
      </c>
      <c r="G3513" s="2" t="n"/>
      <c r="H3513" s="2" t="n">
        <v>356</v>
      </c>
      <c r="I3513" s="2" t="inlineStr"/>
      <c r="J3513" s="2" t="inlineStr"/>
      <c r="K3513" s="3" t="inlineStr">
        <is>
          <t>По мотивам повести А. Беляева «Ариэль». Юный Ариэль, ученик тайной школы на севере Индии, успешно овладев левитацией, покидает обитель. Его учителя, мечтающие о мировом господстве, устремляются по следам беглеца. Герой переживает ряд невероятных приключений. Оказав помощь советским и американским космонавтам, Ариэль покидает Землю и устремляется к Урану.</t>
        </is>
      </c>
      <c r="L3513" s="2" t="inlineStr">
        <is>
          <t>Кино_СССР сводный каталог.xlsx: список фильмов (доп.)</t>
        </is>
      </c>
      <c r="M3513" s="2">
        <f>HYPERLINK("https://ru.wikipedia.org/w/index.php?search=%D0%A1%D0%BF%D1%83%D1%82%D0%BD%D0%B8%D0%BA%20%D0%BF%D0%BB%D0%B0%D0%BD%D0%B5%D1%82%D1%8B%20%D0%A3%D1%80%D0%B0%D0%BD%201990%20%D1%84%D0%B8%D0%BB%D1%8C%D0%BC","искать")</f>
        <v/>
      </c>
      <c r="N3513" s="3" t="n"/>
      <c r="O3513" s="2" t="n"/>
    </row>
    <row r="3514">
      <c r="A3514" s="2" t="n">
        <v>3513</v>
      </c>
      <c r="B3514" s="2" t="inlineStr"/>
      <c r="C3514" s="2" t="n">
        <v>10428</v>
      </c>
      <c r="D3514" s="3" t="inlineStr">
        <is>
          <t>31-й отдел</t>
        </is>
      </c>
      <c r="E3514" s="2" t="n">
        <v>1972</v>
      </c>
      <c r="F3514" s="2" t="inlineStr">
        <is>
          <t>фильм-спектакль</t>
        </is>
      </c>
      <c r="G3514" s="2" t="inlineStr">
        <is>
          <t>Центральное телевидение,  Ленинградская Студия телевидения</t>
        </is>
      </c>
      <c r="H3514" s="2" t="n">
        <v>356</v>
      </c>
      <c r="I3514" s="2" t="inlineStr"/>
      <c r="J3514" s="2" t="inlineStr"/>
      <c r="K3514" s="3" t="inlineStr">
        <is>
          <t>По мотивам романа шведского писателя Пера Валё "Убийство на 31 этаже" в рус.переводе "Гибель 31-го отдела")
. Комиссару полиции поручено провести расследование по делу об угрозе террористического акта в здании пресс-концерна. В ходе следствия он узнаёт о существовании 31-го отдела, созданного руководством концерна с целью ликвидации оппозиционной печати.</t>
        </is>
      </c>
      <c r="L3514" s="2" t="inlineStr">
        <is>
          <t>https://www.kino-teatr.ru/teatr/movie/17109/annot/</t>
        </is>
      </c>
      <c r="M3514" s="2">
        <f>HYPERLINK("https://ru.wikipedia.org/w/index.php?search=31-%D0%B9%20%D0%BE%D1%82%D0%B4%D0%B5%D0%BB%201972%20%D1%84%D0%B8%D0%BB%D1%8C%D0%BC","искать")</f>
        <v/>
      </c>
      <c r="N3514" s="3" t="n"/>
      <c r="O3514" s="2" t="n"/>
    </row>
    <row r="3515">
      <c r="A3515" s="2" t="n">
        <v>3514</v>
      </c>
      <c r="B3515" s="2" t="inlineStr"/>
      <c r="C3515" s="2" t="n">
        <v>7466</v>
      </c>
      <c r="D3515" s="3" t="inlineStr">
        <is>
          <t>Группа риска</t>
        </is>
      </c>
      <c r="E3515" s="2" t="n">
        <v>1991</v>
      </c>
      <c r="F3515" s="2" t="inlineStr">
        <is>
          <t>телефильм</t>
        </is>
      </c>
      <c r="G3515" s="2" t="n"/>
      <c r="H3515" s="2" t="n">
        <v>357</v>
      </c>
      <c r="I3515" s="2" t="inlineStr"/>
      <c r="J3515" s="2" t="inlineStr"/>
      <c r="K3515" s="3" t="inlineStr">
        <is>
          <t>Телефильм по одноименному роману Евгения Богданова. 1988 год. Сварщик Сладков возвращается с женой Тамарой на Родину после пятилетней командировки в Африку. У них нет детей, а где-то в сиротском приюте живет сын Тамариной сестры. Группа риска – это дети с сенсорным голоданием. Сложная задача – найти себе сына, а ситуация складывается еще более неожиданно.</t>
        </is>
      </c>
      <c r="L3515" s="2" t="inlineStr">
        <is>
          <t>Кино_СССР сводный каталог.xlsx: список телефильмов</t>
        </is>
      </c>
      <c r="M3515" s="2">
        <f>HYPERLINK("https://ru.wikipedia.org/w/index.php?search=%D0%93%D1%80%D1%83%D0%BF%D0%BF%D0%B0%20%D1%80%D0%B8%D1%81%D0%BA%D0%B0%201991%20%D1%84%D0%B8%D0%BB%D1%8C%D0%BC","искать")</f>
        <v/>
      </c>
      <c r="N3515" s="3" t="n"/>
      <c r="O3515" s="2" t="n"/>
    </row>
    <row r="3516">
      <c r="A3516" s="2" t="n">
        <v>3515</v>
      </c>
      <c r="B3516" s="2" t="inlineStr"/>
      <c r="C3516" s="2" t="n">
        <v>7793</v>
      </c>
      <c r="D3516" s="3" t="inlineStr">
        <is>
          <t>Лейтенант С.</t>
        </is>
      </c>
      <c r="E3516" s="2" t="n">
        <v>1987</v>
      </c>
      <c r="F3516" s="2" t="inlineStr">
        <is>
          <t>телефильм</t>
        </is>
      </c>
      <c r="G3516" s="2" t="n"/>
      <c r="H3516" s="2" t="n">
        <v>357</v>
      </c>
      <c r="I3516" s="2" t="inlineStr"/>
      <c r="J3516" s="2" t="inlineStr"/>
      <c r="K3516" s="3" t="inlineStr">
        <is>
          <t>Группа молодых людей сбила на дороге лейтенанта Тимура Смагулова. Испугавшись последствий, они оставили раненого на дороге. Через некоторое время среди студентов, прибывших на армейские сборы, лейтенант узнаёт своих обидчиков. Однако он не спешит уличать их в преступлении, решив дождаться, когда совесть заставит Алмаса и Жаныбека самих во всем признаться.</t>
        </is>
      </c>
      <c r="L3516" s="2" t="inlineStr">
        <is>
          <t>Кино_СССР сводный каталог.xlsx: список телефильмов</t>
        </is>
      </c>
      <c r="M3516" s="2">
        <f>HYPERLINK("https://ru.wikipedia.org/w/index.php?search=%D0%9B%D0%B5%D0%B9%D1%82%D0%B5%D0%BD%D0%B0%D0%BD%D1%82%20%D0%A1.%201987%20%D1%84%D0%B8%D0%BB%D1%8C%D0%BC","искать")</f>
        <v/>
      </c>
      <c r="N3516" s="3" t="n"/>
      <c r="O3516" s="2" t="n"/>
    </row>
    <row r="3517">
      <c r="A3517" s="2" t="n">
        <v>3516</v>
      </c>
      <c r="B3517" s="2" t="inlineStr"/>
      <c r="C3517" s="2" t="n">
        <v>7857</v>
      </c>
      <c r="D3517" s="3" t="inlineStr">
        <is>
          <t>Матч состоится в любую погоду</t>
        </is>
      </c>
      <c r="E3517" s="2" t="n">
        <v>1985</v>
      </c>
      <c r="F3517" s="2" t="inlineStr">
        <is>
          <t>телефильм</t>
        </is>
      </c>
      <c r="G3517" s="2" t="n"/>
      <c r="H3517" s="2" t="n">
        <v>357</v>
      </c>
      <c r="I3517" s="2" t="inlineStr"/>
      <c r="J3517" s="2" t="inlineStr"/>
      <c r="K3517" s="3" t="inlineStr">
        <is>
          <t>По повести Вацлава Фолпрехта "Смерть в штрафной площадке". Спецслужбы получают информацию, что один из участников футбольной команды замешан в промышленном шпионаже. У него находится микрофильм с секретной информацией. Вскоре его находят мертвым. Пленка микрофильма исчезла. У следователей есть всего несколько дней, чтобы поймать и обезвредить преступника.</t>
        </is>
      </c>
      <c r="L3517" s="2" t="inlineStr">
        <is>
          <t>Кино_СССР сводный каталог.xlsx: список телефильмов</t>
        </is>
      </c>
      <c r="M3517" s="2">
        <f>HYPERLINK("https://ru.wikipedia.org/w/index.php?search=%D0%9C%D0%B0%D1%82%D1%87%20%D1%81%D0%BE%D1%81%D1%82%D0%BE%D0%B8%D1%82%D1%81%D1%8F%20%D0%B2%20%D0%BB%D1%8E%D0%B1%D1%83%D1%8E%20%D0%BF%D0%BE%D0%B3%D0%BE%D0%B4%D1%83%201985%20%D1%84%D0%B8%D0%BB%D1%8C%D0%BC","искать")</f>
        <v/>
      </c>
      <c r="N3517" s="3" t="n"/>
      <c r="O3517" s="2" t="n"/>
    </row>
    <row r="3518">
      <c r="A3518" s="2" t="n">
        <v>3517</v>
      </c>
      <c r="B3518" s="2" t="inlineStr"/>
      <c r="C3518" s="2" t="n">
        <v>7873</v>
      </c>
      <c r="D3518" s="3" t="inlineStr">
        <is>
          <t>Миг удачи</t>
        </is>
      </c>
      <c r="E3518" s="2" t="n">
        <v>1977</v>
      </c>
      <c r="F3518" s="2" t="inlineStr">
        <is>
          <t>телефильм</t>
        </is>
      </c>
      <c r="G3518" s="2" t="n"/>
      <c r="H3518" s="2" t="n">
        <v>357</v>
      </c>
      <c r="I3518" s="2" t="inlineStr"/>
      <c r="J3518" s="2" t="inlineStr"/>
      <c r="K3518" s="3" t="inlineStr">
        <is>
          <t>По мотивам одноименного рассказа Н.Кузьмина. Молодой журналист Федоров приезжает на горнолыжный курорт, где тренируются спортсмены. Он пытается разобраться в психологии спортсменов-горнолыжников. Особенно его интересует судьба чемпиона Сергея Максимова. Бывший чемпион страны по горнолыжному спорту Сергей Максимов получил серьезную травму на соревнованиях.</t>
        </is>
      </c>
      <c r="L3518" s="2" t="inlineStr">
        <is>
          <t>Кино_СССР сводный каталог.xlsx: список телефильмов</t>
        </is>
      </c>
      <c r="M3518" s="2">
        <f>HYPERLINK("https://ru.wikipedia.org/w/index.php?search=%D0%9C%D0%B8%D0%B3%20%D1%83%D0%B4%D0%B0%D1%87%D0%B8%201977%20%D1%84%D0%B8%D0%BB%D1%8C%D0%BC","искать")</f>
        <v/>
      </c>
      <c r="N3518" s="3" t="n"/>
      <c r="O3518" s="2" t="n"/>
    </row>
    <row r="3519">
      <c r="A3519" s="2" t="n">
        <v>3518</v>
      </c>
      <c r="B3519" s="2" t="inlineStr"/>
      <c r="C3519" s="2" t="n">
        <v>8053</v>
      </c>
      <c r="D3519" s="3" t="inlineStr">
        <is>
          <t>Осенняя история</t>
        </is>
      </c>
      <c r="E3519" s="2" t="n">
        <v>1979</v>
      </c>
      <c r="F3519" s="2" t="inlineStr">
        <is>
          <t>телефильм</t>
        </is>
      </c>
      <c r="G3519" s="2" t="n"/>
      <c r="H3519" s="2" t="n">
        <v>357</v>
      </c>
      <c r="I3519" s="2" t="inlineStr"/>
      <c r="J3519" s="2" t="inlineStr"/>
      <c r="K3519" s="3" t="inlineStr">
        <is>
          <t>По повести Марии Прилежаевой "Осень". Начинающий журналист Артём по поручению областной газеты едет в свой родной город для выяснения обстоятельств довольно странной ситуации. В письме, ставшем причиной командировки, была рассказана история Ольги Денисовны. Будучи опытным педагогом и уважаемым в городе человеком, она, тем не менее, решает выйти на пенсию.</t>
        </is>
      </c>
      <c r="L3519" s="2" t="inlineStr">
        <is>
          <t>Кино_СССР сводный каталог.xlsx: список телефильмов</t>
        </is>
      </c>
      <c r="M3519" s="2">
        <f>HYPERLINK("https://ru.wikipedia.org/w/index.php?search=%D0%9E%D1%81%D0%B5%D0%BD%D0%BD%D1%8F%D1%8F%20%D0%B8%D1%81%D1%82%D0%BE%D1%80%D0%B8%D1%8F%201979%20%D1%84%D0%B8%D0%BB%D1%8C%D0%BC","искать")</f>
        <v/>
      </c>
      <c r="N3519" s="3" t="n"/>
      <c r="O3519" s="2" t="n"/>
    </row>
    <row r="3520">
      <c r="A3520" s="2" t="n">
        <v>3519</v>
      </c>
      <c r="B3520" s="2" t="inlineStr"/>
      <c r="C3520" s="2" t="n">
        <v>8248</v>
      </c>
      <c r="D3520" s="3" t="inlineStr">
        <is>
          <t>Путешествие достойных</t>
        </is>
      </c>
      <c r="E3520" s="2" t="n">
        <v>1979</v>
      </c>
      <c r="F3520" s="2" t="inlineStr">
        <is>
          <t>телефильм</t>
        </is>
      </c>
      <c r="G3520" s="2" t="n"/>
      <c r="H3520" s="2" t="n">
        <v>357</v>
      </c>
      <c r="I3520" s="2" t="inlineStr"/>
      <c r="J3520" s="2" t="inlineStr"/>
      <c r="K3520" s="3" t="inlineStr">
        <is>
          <t>Приключенский телефильм о юных кладоискателях. Из Ташкента в Бухару едут на экскурсию в каникулы пионеры, выбранные из самых лучших, но для двух пионеров Шахира и Витьки эта поездка прежде всего возможность отыскать сокровища последнего эмира Бухары, который их спрятал, когда войска Красной Армии подошли к городу, и эмир понял, что Бухару ему не удержать.</t>
        </is>
      </c>
      <c r="L3520" s="2" t="inlineStr">
        <is>
          <t>Кино_СССР сводный каталог.xlsx: список телефильмов</t>
        </is>
      </c>
      <c r="M3520" s="2">
        <f>HYPERLINK("https://ru.wikipedia.org/w/index.php?search=%D0%9F%D1%83%D1%82%D0%B5%D1%88%D0%B5%D1%81%D1%82%D0%B2%D0%B8%D0%B5%20%D0%B4%D0%BE%D1%81%D1%82%D0%BE%D0%B9%D0%BD%D1%8B%D1%85%201979%20%D1%84%D0%B8%D0%BB%D1%8C%D0%BC","искать")</f>
        <v/>
      </c>
      <c r="N3520" s="3" t="n"/>
      <c r="O3520" s="2" t="n"/>
    </row>
    <row r="3521">
      <c r="A3521" s="2" t="n">
        <v>3520</v>
      </c>
      <c r="B3521" s="2" t="inlineStr"/>
      <c r="C3521" s="2" t="n">
        <v>8806</v>
      </c>
      <c r="D3521" s="3" t="inlineStr">
        <is>
          <t>Любовь. Смертельная игра...</t>
        </is>
      </c>
      <c r="E3521" s="2" t="n">
        <v>1991</v>
      </c>
      <c r="F3521" s="2" t="inlineStr">
        <is>
          <t>кинофильм</t>
        </is>
      </c>
      <c r="G3521" s="2" t="n"/>
      <c r="H3521" s="2" t="n">
        <v>357</v>
      </c>
      <c r="I3521" s="2" t="inlineStr"/>
      <c r="J3521" s="2" t="inlineStr"/>
      <c r="K3521" s="3" t="inlineStr">
        <is>
          <t>Герой фильма Игорь - известный фотограф, его работы печатаются в лучших изданиях, выставляются на международных выставках. Ему кажется, что он умеет видеть людей. Однажды Игорь знакомится с красивой и загадочной девушкой Лерой, которая очень скоро становится частью его жизни. Случайно увидев на улице фоторобот опасной преступницы, Игорь узнает в ней Леру.</t>
        </is>
      </c>
      <c r="L3521" s="2" t="inlineStr">
        <is>
          <t>Кино_СССР сводный каталог.xlsx: список фильмов (доп.)</t>
        </is>
      </c>
      <c r="M3521" s="2">
        <f>HYPERLINK("https://ru.wikipedia.org/w/index.php?search=%D0%9B%D1%8E%D0%B1%D0%BE%D0%B2%D1%8C.%20%D0%A1%D0%BC%D0%B5%D1%80%D1%82%D0%B5%D0%BB%D1%8C%D0%BD%D0%B0%D1%8F%20%D0%B8%D0%B3%D1%80%D0%B0...%201991%20%D1%84%D0%B8%D0%BB%D1%8C%D0%BC","искать")</f>
        <v/>
      </c>
      <c r="N3521" s="3" t="n"/>
      <c r="O3521" s="2" t="n"/>
    </row>
    <row r="3522">
      <c r="A3522" s="2" t="n">
        <v>3521</v>
      </c>
      <c r="B3522" s="2" t="inlineStr"/>
      <c r="C3522" s="2" t="n">
        <v>9278</v>
      </c>
      <c r="D3522" s="3" t="inlineStr">
        <is>
          <t>Волкодав</t>
        </is>
      </c>
      <c r="E3522" s="2" t="n">
        <v>1991</v>
      </c>
      <c r="F3522" s="2" t="inlineStr">
        <is>
          <t>кинофильм</t>
        </is>
      </c>
      <c r="G3522" s="2" t="n"/>
      <c r="H3522" s="2" t="n">
        <v>357</v>
      </c>
      <c r="I3522" s="2" t="inlineStr"/>
      <c r="J3522" s="2" t="inlineStr"/>
      <c r="K3522" s="3" t="inlineStr">
        <is>
          <t>Виктория Журавлева, незаменимый агент уголовного розыска, - одна из лучших в группе захвата. Она ловко втирается в доверие к преступным элементам, перевоплощаясь то в дурочку, то в путану, то в примерную мать семейства, а потом безжалостно сдает доверившихся ей бандитов. Но однажды встречает она на своем пути Шурика Волкова, прежнего своего возлюбленного.</t>
        </is>
      </c>
      <c r="L3522" s="2" t="inlineStr">
        <is>
          <t>Кино_СССР сводный каталог.xlsx: список фильмов (доп.)</t>
        </is>
      </c>
      <c r="M3522" s="2">
        <f>HYPERLINK("https://ru.wikipedia.org/w/index.php?search=%D0%92%D0%BE%D0%BB%D0%BA%D0%BE%D0%B4%D0%B0%D0%B2%201991%20%D1%84%D0%B8%D0%BB%D1%8C%D0%BC","искать")</f>
        <v/>
      </c>
      <c r="N3522" s="3" t="n"/>
      <c r="O3522" s="2" t="n"/>
    </row>
    <row r="3523">
      <c r="A3523" s="2" t="n">
        <v>3522</v>
      </c>
      <c r="B3523" s="2" t="inlineStr"/>
      <c r="C3523" s="2" t="n">
        <v>11177</v>
      </c>
      <c r="D3523" s="3" t="inlineStr">
        <is>
          <t>Отец</t>
        </is>
      </c>
      <c r="E3523" s="2" t="n">
        <v>1987</v>
      </c>
      <c r="F3523" s="2" t="inlineStr">
        <is>
          <t>фильм-спектакль</t>
        </is>
      </c>
      <c r="G3523" s="2" t="inlineStr">
        <is>
          <t>Литовское телевидение</t>
        </is>
      </c>
      <c r="H3523" s="2" t="n">
        <v>357</v>
      </c>
      <c r="I3523" s="2" t="inlineStr"/>
      <c r="J3523" s="2" t="inlineStr"/>
      <c r="K3523" s="3" t="inlineStr">
        <is>
          <t>Спектакль снят по пьесе украинского писателя А.Коломийца.
Это рассказ о жизни одной большой семьи, об отношении её членов к нормам морали. Дети не соглашаются с деспотичной философией отца, возникает конфликт поколений. Позже окажется, что отец прав, он любил свою семью и старался, чтобы его дети жили честно, чтобы не позорили имя отца и доброе имя семьи.</t>
        </is>
      </c>
      <c r="L3523" s="2" t="inlineStr">
        <is>
          <t>https://www.kino-teatr.ru/teatr/movie/105850/annot/</t>
        </is>
      </c>
      <c r="M3523" s="2">
        <f>HYPERLINK("https://ru.wikipedia.org/w/index.php?search=%D0%9E%D1%82%D0%B5%D1%86%201987%20%D1%84%D0%B8%D0%BB%D1%8C%D0%BC","искать")</f>
        <v/>
      </c>
      <c r="N3523" s="3" t="n"/>
      <c r="O3523" s="2" t="n"/>
    </row>
    <row r="3524">
      <c r="A3524" s="2" t="n">
        <v>3523</v>
      </c>
      <c r="B3524" s="2" t="inlineStr"/>
      <c r="C3524" s="2" t="n">
        <v>7219</v>
      </c>
      <c r="D3524" s="3" t="inlineStr">
        <is>
          <t>Аревик</t>
        </is>
      </c>
      <c r="E3524" s="2" t="n">
        <v>1978</v>
      </c>
      <c r="F3524" s="2" t="inlineStr">
        <is>
          <t>телефильм</t>
        </is>
      </c>
      <c r="G3524" s="2" t="n"/>
      <c r="H3524" s="2" t="n">
        <v>358</v>
      </c>
      <c r="I3524" s="2" t="inlineStr"/>
      <c r="J3524" s="2" t="inlineStr"/>
      <c r="K3524" s="3" t="inlineStr">
        <is>
          <t>Молодая женщина Аревик оказалась свидетельницей дорожного происшествия. Шофер Андроник наехал на пешехода и скрылся с места происшествия. Оказывается, что у него недавно умерла жена, и в случае,если Андраника признают виновным, о его детях некому будет позаботиться. Зная об этом, Аревик подтверждает свои показания на суде, а опеку над детьми берет на себя.</t>
        </is>
      </c>
      <c r="L3524" s="2" t="inlineStr">
        <is>
          <t>Кино_СССР сводный каталог.xlsx: список телефильмов</t>
        </is>
      </c>
      <c r="M3524" s="2">
        <f>HYPERLINK("https://ru.wikipedia.org/w/index.php?search=%D0%90%D1%80%D0%B5%D0%B2%D0%B8%D0%BA%201978%20%D1%84%D0%B8%D0%BB%D1%8C%D0%BC","искать")</f>
        <v/>
      </c>
      <c r="N3524" s="3" t="n"/>
      <c r="O3524" s="2" t="n"/>
    </row>
    <row r="3525">
      <c r="A3525" s="2" t="n">
        <v>3524</v>
      </c>
      <c r="B3525" s="2" t="inlineStr"/>
      <c r="C3525" s="2" t="n">
        <v>7600</v>
      </c>
      <c r="D3525" s="3" t="inlineStr">
        <is>
          <t>Жизнь и смерть дворянина Чертопханова</t>
        </is>
      </c>
      <c r="E3525" s="2" t="n">
        <v>1971</v>
      </c>
      <c r="F3525" s="2" t="inlineStr">
        <is>
          <t>телефильм</t>
        </is>
      </c>
      <c r="G3525" s="2" t="n"/>
      <c r="H3525" s="2" t="n">
        <v>358</v>
      </c>
      <c r="I3525" s="2" t="inlineStr"/>
      <c r="J3525" s="2" t="inlineStr"/>
      <c r="K3525" s="3" t="inlineStr">
        <is>
          <t>Телефильм по мотивам рассказов И. С. Тургенева из цикла "Записки охотника". По завещанию богатого барина его приживалу Тихону Ивановичу Недопюскину достается в вечное и потомственное владение деревенька Бесселендеевка с 22 душами. Присутствующие на оглашении завещания родственники и соседи покойного начинают издеваться над растерявшимся Тихоном Ивановичем.</t>
        </is>
      </c>
      <c r="L3525" s="2" t="inlineStr">
        <is>
          <t>Кино_СССР сводный каталог.xlsx: список телефильмов</t>
        </is>
      </c>
      <c r="M3525" s="2">
        <f>HYPERLINK("https://ru.wikipedia.org/w/index.php?search=%D0%96%D0%B8%D0%B7%D0%BD%D1%8C%20%D0%B8%20%D1%81%D0%BC%D0%B5%D1%80%D1%82%D1%8C%20%D0%B4%D0%B2%D0%BE%D1%80%D1%8F%D0%BD%D0%B8%D0%BD%D0%B0%20%D0%A7%D0%B5%D1%80%D1%82%D0%BE%D0%BF%D1%85%D0%B0%D0%BD%D0%BE%D0%B2%D0%B0%201971%20%D1%84%D0%B8%D0%BB%D1%8C%D0%BC","искать")</f>
        <v/>
      </c>
      <c r="N3525" s="3" t="n"/>
      <c r="O3525" s="2" t="n"/>
    </row>
    <row r="3526">
      <c r="A3526" s="2" t="n">
        <v>3525</v>
      </c>
      <c r="B3526" s="2" t="inlineStr"/>
      <c r="C3526" s="2" t="n">
        <v>7723</v>
      </c>
      <c r="D3526" s="3" t="inlineStr">
        <is>
          <t>Кафедра</t>
        </is>
      </c>
      <c r="E3526" s="2" t="n">
        <v>1982</v>
      </c>
      <c r="F3526" s="2" t="inlineStr">
        <is>
          <t>телефильм</t>
        </is>
      </c>
      <c r="G3526" s="2" t="n"/>
      <c r="H3526" s="2" t="n">
        <v>358</v>
      </c>
      <c r="I3526" s="2" t="inlineStr"/>
      <c r="J3526" s="2" t="inlineStr"/>
      <c r="K3526" s="3" t="inlineStr">
        <is>
          <t>По мотивам одноименной повести И.Грековой. Профессор Завалишин, известный ученый, заведующий кафедрой института, однажды начинает понимать, что в преклонном возрасте уже ничего нового привнести в науку не может. Он все более отходит от научной работы. Личные переживания, связанные с кончиной любимой жены, заставляют его оставить и преподавательскую работу.</t>
        </is>
      </c>
      <c r="L3526" s="2" t="inlineStr">
        <is>
          <t>Кино_СССР сводный каталог.xlsx: список телефильмов</t>
        </is>
      </c>
      <c r="M3526" s="2">
        <f>HYPERLINK("https://ru.wikipedia.org/w/index.php?search=%D0%9A%D0%B0%D1%84%D0%B5%D0%B4%D1%80%D0%B0%201982%20%D1%84%D0%B8%D0%BB%D1%8C%D0%BC","искать")</f>
        <v/>
      </c>
      <c r="N3526" s="3" t="n"/>
      <c r="O3526" s="2" t="n"/>
    </row>
    <row r="3527">
      <c r="A3527" s="2" t="n">
        <v>3526</v>
      </c>
      <c r="B3527" s="2" t="inlineStr"/>
      <c r="C3527" s="2" t="n">
        <v>7863</v>
      </c>
      <c r="D3527" s="3" t="inlineStr">
        <is>
          <t>Мелодия на два голоса</t>
        </is>
      </c>
      <c r="E3527" s="2" t="n">
        <v>1980</v>
      </c>
      <c r="F3527" s="2" t="inlineStr">
        <is>
          <t>телефильм</t>
        </is>
      </c>
      <c r="G3527" s="2" t="inlineStr">
        <is>
          <t>Творческое объединение «Экран»</t>
        </is>
      </c>
      <c r="H3527" s="2" t="n">
        <v>358</v>
      </c>
      <c r="I3527" s="2" t="inlineStr"/>
      <c r="J3527" s="2" t="inlineStr"/>
      <c r="K3527" s="3" t="inlineStr">
        <is>
          <t>Киноповесть по одноименной повести А.Афанасьева. Просто и без особых проблем складывается жизнь Кирилла Воробьева: окончив школу и отслужив армию, он работает на заводе слесарем. Но однажды он встречает Алену, студентку одного из московских вузов. И впервые Кирилл начинает чувствовать себя скованно и неуютно в обществе понравившейся интеллигентной девушки.</t>
        </is>
      </c>
      <c r="L3527" s="2" t="inlineStr">
        <is>
          <t>Кино_СССР сводный каталог.xlsx: список телефильмов</t>
        </is>
      </c>
      <c r="M3527" s="2">
        <f>HYPERLINK("https://ru.wikipedia.org/w/index.php?search=%D0%9C%D0%B5%D0%BB%D0%BE%D0%B4%D0%B8%D1%8F%20%D0%BD%D0%B0%20%D0%B4%D0%B2%D0%B0%20%D0%B3%D0%BE%D0%BB%D0%BE%D1%81%D0%B0%201980%20%D1%84%D0%B8%D0%BB%D1%8C%D0%BC","искать")</f>
        <v/>
      </c>
      <c r="N3527" s="3" t="n"/>
      <c r="O3527" s="2" t="n"/>
    </row>
    <row r="3528">
      <c r="A3528" s="2" t="n">
        <v>3527</v>
      </c>
      <c r="B3528" s="2" t="inlineStr"/>
      <c r="C3528" s="2" t="n">
        <v>7882</v>
      </c>
      <c r="D3528" s="3" t="inlineStr">
        <is>
          <t>Мишка-артист</t>
        </is>
      </c>
      <c r="E3528" s="2" t="n">
        <v>1976</v>
      </c>
      <c r="F3528" s="2" t="inlineStr">
        <is>
          <t>телефильм</t>
        </is>
      </c>
      <c r="G3528" s="2" t="n"/>
      <c r="H3528" s="2" t="n">
        <v>358</v>
      </c>
      <c r="I3528" s="2" t="inlineStr"/>
      <c r="J3528" s="2" t="inlineStr"/>
      <c r="K3528" s="3" t="inlineStr">
        <is>
          <t>Телефильм. Зафар и его сестра Юлдус живут без матери, и воспитываются бабушкой, так как их отец - летчик и постоянно в командировках. Из одной командировки отец привозит Зафару в подарок медвежонка. Зафар начинает дрессировать медвежонка, мечтая сделать из него циркового артиста, и запускает учебу, поэтому отец заставляет мальчика отдать медвежонка в цирк.</t>
        </is>
      </c>
      <c r="L3528" s="2" t="inlineStr">
        <is>
          <t>Кино_СССР сводный каталог.xlsx: список телефильмов</t>
        </is>
      </c>
      <c r="M3528" s="2">
        <f>HYPERLINK("https://ru.wikipedia.org/w/index.php?search=%D0%9C%D0%B8%D1%88%D0%BA%D0%B0-%D0%B0%D1%80%D1%82%D0%B8%D1%81%D1%82%201976%20%D1%84%D0%B8%D0%BB%D1%8C%D0%BC","искать")</f>
        <v/>
      </c>
      <c r="N3528" s="3" t="n"/>
      <c r="O3528" s="2" t="n"/>
    </row>
    <row r="3529">
      <c r="A3529" s="2" t="n">
        <v>3528</v>
      </c>
      <c r="B3529" s="2" t="inlineStr"/>
      <c r="C3529" s="2" t="n">
        <v>8999</v>
      </c>
      <c r="D3529" s="3" t="inlineStr">
        <is>
          <t>Пуща</t>
        </is>
      </c>
      <c r="E3529" s="2" t="n">
        <v>1987</v>
      </c>
      <c r="F3529" s="2" t="inlineStr">
        <is>
          <t>кинофильм</t>
        </is>
      </c>
      <c r="G3529" s="2" t="n"/>
      <c r="H3529" s="2" t="n">
        <v>358</v>
      </c>
      <c r="I3529" s="2" t="inlineStr"/>
      <c r="J3529" s="2" t="inlineStr"/>
      <c r="K3529" s="3" t="inlineStr">
        <is>
          <t>По мотивам романа Виктора Карамазова. Еще до революции служил в пуще лесничий Никодим Зимовец. Пан ради выгоды решил продать уникальную дубраву купцу Крупенину. Чтобы спасти дубраву, Никодим дал согласие на предложение купца служить у него и лишился своей свободы и самостоятельности. Много лет спустя его внук Василь Зимовец стал лесничим в тех самых лесах.</t>
        </is>
      </c>
      <c r="L3529" s="2" t="inlineStr">
        <is>
          <t>Кино_СССР сводный каталог.xlsx: список фильмов (доп.)</t>
        </is>
      </c>
      <c r="M3529" s="2">
        <f>HYPERLINK("https://ru.wikipedia.org/w/index.php?search=%D0%9F%D1%83%D1%89%D0%B0%201987%20%D1%84%D0%B8%D0%BB%D1%8C%D0%BC","искать")</f>
        <v/>
      </c>
      <c r="N3529" s="3" t="n"/>
      <c r="O3529" s="2" t="n"/>
    </row>
    <row r="3530">
      <c r="A3530" s="2" t="n">
        <v>3529</v>
      </c>
      <c r="B3530" s="2" t="inlineStr"/>
      <c r="C3530" s="2" t="n">
        <v>9361</v>
      </c>
      <c r="D3530" s="3" t="inlineStr">
        <is>
          <t>Жизнь по лимиту</t>
        </is>
      </c>
      <c r="E3530" s="2" t="n">
        <v>1989</v>
      </c>
      <c r="F3530" s="2" t="inlineStr">
        <is>
          <t>кинофильм</t>
        </is>
      </c>
      <c r="G3530" s="2" t="n"/>
      <c r="H3530" s="2" t="n">
        <v>358</v>
      </c>
      <c r="I3530" s="2" t="inlineStr"/>
      <c r="J3530" s="2" t="inlineStr"/>
      <c r="K3530" s="3" t="inlineStr">
        <is>
          <t>В доме, который идет на слом, поселилась странная компания. В центре - милая провинциалка Маша, провалившаяся на вступительных экзаменах в институт и не решающаяся вернуться домой к маме и папе. В заброшенном доме Маша числится дворником, это дает ей законные основания на жизнь в Москве. Однажды осенью в заброшенный дом попадает безымянный молодой человек.</t>
        </is>
      </c>
      <c r="L3530" s="2" t="inlineStr">
        <is>
          <t>Кино_СССР сводный каталог.xlsx: список фильмов (доп.)</t>
        </is>
      </c>
      <c r="M3530" s="2">
        <f>HYPERLINK("https://ru.wikipedia.org/w/index.php?search=%D0%96%D0%B8%D0%B7%D0%BD%D1%8C%20%D0%BF%D0%BE%20%D0%BB%D0%B8%D0%BC%D0%B8%D1%82%D1%83%201989%20%D1%84%D0%B8%D0%BB%D1%8C%D0%BC","искать")</f>
        <v/>
      </c>
      <c r="N3530" s="3" t="n"/>
      <c r="O3530" s="2" t="n"/>
    </row>
    <row r="3531">
      <c r="A3531" s="2" t="n">
        <v>3530</v>
      </c>
      <c r="B3531" s="2" t="inlineStr"/>
      <c r="C3531" s="2" t="n">
        <v>7569</v>
      </c>
      <c r="D3531" s="3" t="inlineStr">
        <is>
          <t>Дыня</t>
        </is>
      </c>
      <c r="E3531" s="2" t="n">
        <v>1982</v>
      </c>
      <c r="F3531" s="2" t="inlineStr">
        <is>
          <t>телефильм</t>
        </is>
      </c>
      <c r="G3531" s="2" t="inlineStr">
        <is>
          <t>Казахфильм</t>
        </is>
      </c>
      <c r="H3531" s="2" t="n">
        <v>359</v>
      </c>
      <c r="I3531" s="2" t="inlineStr"/>
      <c r="J3531" s="2" t="inlineStr"/>
      <c r="K3531" s="3" t="inlineStr">
        <is>
          <t>Лирическая кинокомедия по мотивам одноименного рассказа Габита Мусрепова. Главный герой фильма, Болат, благодаря своей доброте и честности вызывает симпатию у окружающих. Он всегда готов придти на помощь, и поэтому часто попадает в самые разнообразные ситуации. Однажды, покупая на пристанционном базаре дыню для очаровательной попутчицы, он отстал от поезда.</t>
        </is>
      </c>
      <c r="L3531" s="2" t="inlineStr">
        <is>
          <t>Кино_СССР сводный каталог.xlsx: список телефильмов</t>
        </is>
      </c>
      <c r="M3531" s="2">
        <f>HYPERLINK("https://ru.wikipedia.org/w/index.php?search=%D0%94%D1%8B%D0%BD%D1%8F%201982%20%D1%84%D0%B8%D0%BB%D1%8C%D0%BC","искать")</f>
        <v/>
      </c>
      <c r="N3531" s="3" t="n"/>
      <c r="O3531" s="2" t="n"/>
    </row>
    <row r="3532">
      <c r="A3532" s="2" t="n">
        <v>3531</v>
      </c>
      <c r="B3532" s="2" t="inlineStr"/>
      <c r="C3532" s="2" t="n">
        <v>7956</v>
      </c>
      <c r="D3532" s="3" t="inlineStr">
        <is>
          <t>Наше призвание</t>
        </is>
      </c>
      <c r="E3532" s="2" t="n">
        <v>1981</v>
      </c>
      <c r="F3532" s="2" t="inlineStr">
        <is>
          <t>телефильм</t>
        </is>
      </c>
      <c r="G3532" s="2" t="n"/>
      <c r="H3532" s="2" t="n">
        <v>359</v>
      </c>
      <c r="I3532" s="2" t="inlineStr"/>
      <c r="J3532" s="2" t="inlineStr"/>
      <c r="K3532" s="3" t="inlineStr">
        <is>
          <t>Сериал по произведениям Николая Огнева. Начинающая журналистка пишет статью о заслуженном учителе Николае Ивановиче Гудкове. В течение трех вечеров он рассказывает девушке о школе 20-х годов, друзьях, любимом учителе , сыгравшем большую роль в его жизни. Фильм поставлен по произведениям, биографии, письмам и воспоминаниям писателя и педагога Николая Огнева.</t>
        </is>
      </c>
      <c r="L3532" s="2" t="inlineStr">
        <is>
          <t>Кино_СССР сводный каталог.xlsx: список телефильмов</t>
        </is>
      </c>
      <c r="M3532" s="2">
        <f>HYPERLINK("https://ru.wikipedia.org/w/index.php?search=%D0%9D%D0%B0%D1%88%D0%B5%20%D0%BF%D1%80%D0%B8%D0%B7%D0%B2%D0%B0%D0%BD%D0%B8%D0%B5%201981%20%D1%84%D0%B8%D0%BB%D1%8C%D0%BC","искать")</f>
        <v/>
      </c>
      <c r="N3532" s="3" t="n"/>
      <c r="O3532" s="2" t="n"/>
    </row>
    <row r="3533">
      <c r="A3533" s="2" t="n">
        <v>3532</v>
      </c>
      <c r="B3533" s="2" t="inlineStr"/>
      <c r="C3533" s="2" t="n">
        <v>8192</v>
      </c>
      <c r="D3533" s="3" t="inlineStr">
        <is>
          <t>Преступление лорда Артура</t>
        </is>
      </c>
      <c r="E3533" s="2" t="n">
        <v>1991</v>
      </c>
      <c r="F3533" s="2" t="inlineStr">
        <is>
          <t>телефильм</t>
        </is>
      </c>
      <c r="G3533" s="2" t="n"/>
      <c r="H3533" s="2" t="n">
        <v>359</v>
      </c>
      <c r="I3533" s="2" t="inlineStr"/>
      <c r="J3533" s="2" t="inlineStr"/>
      <c r="K3533" s="3" t="inlineStr">
        <is>
          <t>Телефильм по новелле Оскара Уайльда "Преступление лорда Артура Сэвила". У лорда Артура невеста, на которой он должен вот-вот жениться. Но хиромант предсказывает, что в ближайшее время лорд Артур совершит убийство. Лорд не может допустить, чтобы любимая оказалась женой убийцы, и он торопится выяснить, кого же из своих близких и знакомых может убить и почему.</t>
        </is>
      </c>
      <c r="L3533" s="2" t="inlineStr">
        <is>
          <t>Кино_СССР сводный каталог.xlsx: список телефильмов</t>
        </is>
      </c>
      <c r="M3533" s="2">
        <f>HYPERLINK("https://ru.wikipedia.org/w/index.php?search=%D0%9F%D1%80%D0%B5%D1%81%D1%82%D1%83%D0%BF%D0%BB%D0%B5%D0%BD%D0%B8%D0%B5%20%D0%BB%D0%BE%D1%80%D0%B4%D0%B0%20%D0%90%D1%80%D1%82%D1%83%D1%80%D0%B0%201991%20%D1%84%D0%B8%D0%BB%D1%8C%D0%BC","искать")</f>
        <v/>
      </c>
      <c r="N3533" s="3" t="n"/>
      <c r="O3533" s="2" t="n"/>
    </row>
    <row r="3534">
      <c r="A3534" s="2" t="n">
        <v>3533</v>
      </c>
      <c r="B3534" s="2" t="inlineStr"/>
      <c r="C3534" s="2" t="n">
        <v>8424</v>
      </c>
      <c r="D3534" s="3" t="inlineStr">
        <is>
          <t>Та сторона, где ветер</t>
        </is>
      </c>
      <c r="E3534" s="2" t="n">
        <v>1979</v>
      </c>
      <c r="F3534" s="2" t="inlineStr">
        <is>
          <t>телефильм</t>
        </is>
      </c>
      <c r="G3534" s="2" t="n"/>
      <c r="H3534" s="2" t="n">
        <v>359</v>
      </c>
      <c r="I3534" s="2" t="inlineStr"/>
      <c r="J3534" s="2" t="inlineStr"/>
      <c r="K3534" s="3" t="inlineStr">
        <is>
          <t>По одноименной повести В. Крапивина. Генка Звягин знакомится со слепым мальчиком Владиком. Эта встреча становится во многом поворотной в судьбах обоих. Также перед глазами зрителей проходят истории жизни и других ребят, часто поучительные и трагические… Съемки этой картины проходили в Подмосковье, в окрестностях озера Сенеж, рядом с городом Солнечногорском.</t>
        </is>
      </c>
      <c r="L3534" s="2" t="inlineStr">
        <is>
          <t>Кино_СССР сводный каталог.xlsx: список телефильмов</t>
        </is>
      </c>
      <c r="M3534" s="2">
        <f>HYPERLINK("https://ru.wikipedia.org/w/index.php?search=%D0%A2%D0%B0%20%D1%81%D1%82%D0%BE%D1%80%D0%BE%D0%BD%D0%B0%2C%20%D0%B3%D0%B4%D0%B5%20%D0%B2%D0%B5%D1%82%D0%B5%D1%80%201979%20%D1%84%D0%B8%D0%BB%D1%8C%D0%BC","искать")</f>
        <v/>
      </c>
      <c r="N3534" s="3" t="n"/>
      <c r="O3534" s="2" t="n"/>
    </row>
    <row r="3535">
      <c r="A3535" s="2" t="n">
        <v>3534</v>
      </c>
      <c r="B3535" s="2" t="inlineStr"/>
      <c r="C3535" s="2" t="n">
        <v>8429</v>
      </c>
      <c r="D3535" s="3" t="inlineStr">
        <is>
          <t>Тайна Снежной Королевы</t>
        </is>
      </c>
      <c r="E3535" s="2" t="n">
        <v>1986</v>
      </c>
      <c r="F3535" s="2" t="inlineStr">
        <is>
          <t>телефильм</t>
        </is>
      </c>
      <c r="G3535" s="2" t="inlineStr">
        <is>
          <t>Творческое объединение «Экран»</t>
        </is>
      </c>
      <c r="H3535" s="2" t="n">
        <v>359</v>
      </c>
      <c r="I3535" s="2" t="inlineStr"/>
      <c r="J3535" s="2" t="inlineStr"/>
      <c r="K3535" s="3" t="inlineStr">
        <is>
          <t>Фильм - сказка, повествующая о необыкновенном путешествии скромной маленькой девочки Герды. Она разыскивает своего друга Кая, которого похитила и унесла в свое царство Снежная королева - могущественная злая волшебница. По дороге к Снежной Королеве Герда попадает в замок к хитрому, коварному и в то же время смешному королю, знакомится с лесными разбойниками.</t>
        </is>
      </c>
      <c r="L3535" s="2" t="inlineStr">
        <is>
          <t>Кино_СССР сводный каталог.xlsx: список телефильмов</t>
        </is>
      </c>
      <c r="M3535" s="2">
        <f>HYPERLINK("https://ru.wikipedia.org/w/index.php?search=%D0%A2%D0%B0%D0%B9%D0%BD%D0%B0%20%D0%A1%D0%BD%D0%B5%D0%B6%D0%BD%D0%BE%D0%B9%20%D0%9A%D0%BE%D1%80%D0%BE%D0%BB%D0%B5%D0%B2%D1%8B%201986%20%D1%84%D0%B8%D0%BB%D1%8C%D0%BC","искать")</f>
        <v/>
      </c>
      <c r="N3535" s="3" t="n"/>
      <c r="O3535" s="2" t="n"/>
    </row>
    <row r="3536">
      <c r="A3536" s="2" t="n">
        <v>3535</v>
      </c>
      <c r="B3536" s="2" t="inlineStr"/>
      <c r="C3536" s="2" t="n">
        <v>8948</v>
      </c>
      <c r="D3536" s="3" t="inlineStr">
        <is>
          <t>Пойти и не вернуться</t>
        </is>
      </c>
      <c r="E3536" s="2" t="n">
        <v>1987</v>
      </c>
      <c r="F3536" s="2" t="inlineStr">
        <is>
          <t>кинофильм</t>
        </is>
      </c>
      <c r="G3536" s="2" t="n"/>
      <c r="H3536" s="2" t="n">
        <v>359</v>
      </c>
      <c r="I3536" s="2" t="inlineStr"/>
      <c r="J3536" s="2" t="inlineStr"/>
      <c r="K3536" s="3" t="inlineStr">
        <is>
          <t>По повести Василя Быкова. Герои фильма – обычные люди, в трудных условиях фронта или партизанского подполья, обретают силу воли, готовность отстаивать свое человеческое достоинство до конца. Зося и Антон – простые мирные люди, волею судьбы втянутые в войну. Они вместе идут на явку в город из партизанского отряда, никто не знает, кто из них вернется обратно.</t>
        </is>
      </c>
      <c r="L3536" s="2" t="inlineStr">
        <is>
          <t>Кино_СССР сводный каталог.xlsx: список фильмов (доп.)</t>
        </is>
      </c>
      <c r="M3536" s="2">
        <f>HYPERLINK("https://ru.wikipedia.org/w/index.php?search=%D0%9F%D0%BE%D0%B9%D1%82%D0%B8%20%D0%B8%20%D0%BD%D0%B5%20%D0%B2%D0%B5%D1%80%D0%BD%D1%83%D1%82%D1%8C%D1%81%D1%8F%201987%20%D1%84%D0%B8%D0%BB%D1%8C%D0%BC","искать")</f>
        <v/>
      </c>
      <c r="N3536" s="3" t="n"/>
      <c r="O3536" s="2" t="n"/>
    </row>
    <row r="3537">
      <c r="A3537" s="2" t="n">
        <v>3536</v>
      </c>
      <c r="B3537" s="2" t="inlineStr"/>
      <c r="C3537" s="2" t="n">
        <v>9198</v>
      </c>
      <c r="D3537" s="3" t="inlineStr">
        <is>
          <t>Авария - дочь мента</t>
        </is>
      </c>
      <c r="E3537" s="2" t="n">
        <v>1989</v>
      </c>
      <c r="F3537" s="2" t="inlineStr">
        <is>
          <t>кинофильм</t>
        </is>
      </c>
      <c r="G3537" s="2" t="n"/>
      <c r="H3537" s="2" t="n">
        <v>359</v>
      </c>
      <c r="I3537" s="2" t="inlineStr"/>
      <c r="J3537" s="2" t="inlineStr"/>
      <c r="K3537" s="3" t="inlineStr">
        <is>
          <t>Шестнадцатилетняя школьница Валерия с гордостью носит кличку Авария. И ее жизнь, к сожалению, вполне это имя оправдывает. Девиз её жизни: "Мне нравится всё, что не нравится вам". Она протестует против всего. Но под её "металлической" оболочкой - одинокая и страдающая душа. Не успев удержать дочь на краю пропасти, отец Аварии решает хотя бы отомстить за нее.</t>
        </is>
      </c>
      <c r="L3537" s="2" t="inlineStr">
        <is>
          <t>Кино_СССР сводный каталог.xlsx: список фильмов (доп.)</t>
        </is>
      </c>
      <c r="M3537" s="2">
        <f>HYPERLINK("https://ru.wikipedia.org/w/index.php?search=%D0%90%D0%B2%D0%B0%D1%80%D0%B8%D1%8F%20-%20%D0%B4%D0%BE%D1%87%D1%8C%20%D0%BC%D0%B5%D0%BD%D1%82%D0%B0%201989%20%D1%84%D0%B8%D0%BB%D1%8C%D0%BC","искать")</f>
        <v/>
      </c>
      <c r="N3537" s="3" t="n"/>
      <c r="O3537" s="2" t="n"/>
    </row>
    <row r="3538">
      <c r="A3538" s="2" t="n">
        <v>3537</v>
      </c>
      <c r="B3538" s="2" t="inlineStr"/>
      <c r="C3538" s="2" t="n">
        <v>9466</v>
      </c>
      <c r="D3538" s="3" t="inlineStr">
        <is>
          <t>Мать Иисуса</t>
        </is>
      </c>
      <c r="E3538" s="2" t="n">
        <v>1990</v>
      </c>
      <c r="F3538" s="2" t="inlineStr">
        <is>
          <t>кинофильм</t>
        </is>
      </c>
      <c r="G3538" s="2" t="n"/>
      <c r="H3538" s="2" t="n">
        <v>359</v>
      </c>
      <c r="I3538" s="2" t="inlineStr"/>
      <c r="J3538" s="2" t="inlineStr"/>
      <c r="K3538" s="3" t="inlineStr">
        <is>
          <t>По мотивам пьесы А.Володина. После казни Иисуса в доме у его матери собирается несколько человек — брат и сестра, римский патриций со слугой, один из апостолов... Все они понимают, что произошло нечто более значительное, чем просто казнь какого-то полусумасшедшего пророка. Каждый для себя пытается ответить на вопрос, в чем же загадка личности Иисуса Христа.</t>
        </is>
      </c>
      <c r="L3538" s="2" t="inlineStr">
        <is>
          <t>Кино_СССР сводный каталог.xlsx: список фильмов (доп.)</t>
        </is>
      </c>
      <c r="M3538" s="2">
        <f>HYPERLINK("https://ru.wikipedia.org/w/index.php?search=%D0%9C%D0%B0%D1%82%D1%8C%20%D0%98%D0%B8%D1%81%D1%83%D1%81%D0%B0%201990%20%D1%84%D0%B8%D0%BB%D1%8C%D0%BC","искать")</f>
        <v/>
      </c>
      <c r="N3538" s="3" t="n"/>
      <c r="O3538" s="2" t="n"/>
    </row>
    <row r="3539">
      <c r="A3539" s="2" t="n">
        <v>3538</v>
      </c>
      <c r="B3539" s="2" t="inlineStr"/>
      <c r="C3539" s="2" t="n">
        <v>10194</v>
      </c>
      <c r="D3539" s="3" t="inlineStr">
        <is>
          <t>Женька-наоборот</t>
        </is>
      </c>
      <c r="E3539" s="2" t="n">
        <v>1967</v>
      </c>
      <c r="F3539" s="2" t="inlineStr">
        <is>
          <t>фильм-спектакль</t>
        </is>
      </c>
      <c r="G3539" s="2" t="inlineStr">
        <is>
          <t>Центральное телевидение</t>
        </is>
      </c>
      <c r="H3539" s="2" t="n">
        <v>359</v>
      </c>
      <c r="I3539" s="2" t="inlineStr"/>
      <c r="J3539" s="2" t="inlineStr"/>
      <c r="K3539" s="3" t="inlineStr">
        <is>
          <t>Спектакль Центрального детского театра по повести Натальи Лойко.
Женька - не просто Женька, а Женька-Наоборот. Дома у Жени и вовсе не гладко. Стоит ему появиться в квартире Перчихиных, вещи словно бросаются врассыпную. Когда он ложится спать, тахта превращается в логово. Не в постель, а именно в логово, в берлогу дикого зверя. Одеяло дыбом. Вся жизнь дыбом!</t>
        </is>
      </c>
      <c r="L3539" s="2" t="inlineStr">
        <is>
          <t>https://www.kino-teatr.ru/teatr/movie/136680/annot/</t>
        </is>
      </c>
      <c r="M3539" s="2">
        <f>HYPERLINK("https://ru.wikipedia.org/w/index.php?search=%D0%96%D0%B5%D0%BD%D1%8C%D0%BA%D0%B0-%D0%BD%D0%B0%D0%BE%D0%B1%D0%BE%D1%80%D0%BE%D1%82%201967%20%D1%84%D0%B8%D0%BB%D1%8C%D0%BC","искать")</f>
        <v/>
      </c>
      <c r="N3539" s="3" t="n"/>
      <c r="O3539" s="2" t="n"/>
    </row>
    <row r="3540">
      <c r="A3540" s="2" t="n">
        <v>3539</v>
      </c>
      <c r="B3540" s="2" t="inlineStr"/>
      <c r="C3540" s="2" t="n">
        <v>11008</v>
      </c>
      <c r="D3540" s="3" t="inlineStr">
        <is>
          <t>Пять разговоров с сыном</t>
        </is>
      </c>
      <c r="E3540" s="2" t="n">
        <v>1983</v>
      </c>
      <c r="F3540" s="2" t="inlineStr">
        <is>
          <t>фильм-спектакль</t>
        </is>
      </c>
      <c r="G3540" s="2" t="inlineStr">
        <is>
          <t>Главная редакция литературно-драматических программ ЦТ</t>
        </is>
      </c>
      <c r="H3540" s="2" t="n">
        <v>359</v>
      </c>
      <c r="I3540" s="2" t="inlineStr"/>
      <c r="J3540" s="2" t="inlineStr"/>
      <c r="K3540" s="3" t="inlineStr">
        <is>
          <t>По одноименной пьесе Александра Мишарина.
Из жизни главного героя Анцупова и его сына Валерия драматургом выбрано пять их встреч, пять бесед. Эти беседы помогают Валерию в выборе жизненного пути. Заключительный разговор отца с сыном состоялся в день юбилея старшего Анцупова. Юбиляр уезжает с сыном и внуком на новый завод, где пригодится его богатейший опыт.</t>
        </is>
      </c>
      <c r="L3540" s="2" t="inlineStr">
        <is>
          <t>https://www.kino-teatr.ru/teatr/movie/81341/annot/</t>
        </is>
      </c>
      <c r="M3540" s="2">
        <f>HYPERLINK("https://ru.wikipedia.org/w/index.php?search=%D0%9F%D1%8F%D1%82%D1%8C%20%D1%80%D0%B0%D0%B7%D0%B3%D0%BE%D0%B2%D0%BE%D1%80%D0%BE%D0%B2%20%D1%81%20%D1%81%D1%8B%D0%BD%D0%BE%D0%BC%201983%20%D1%84%D0%B8%D0%BB%D1%8C%D0%BC","искать")</f>
        <v/>
      </c>
      <c r="N3540" s="3" t="n"/>
      <c r="O3540" s="2" t="n"/>
    </row>
    <row r="3541">
      <c r="A3541" s="2" t="n">
        <v>3540</v>
      </c>
      <c r="B3541" s="2" t="inlineStr"/>
      <c r="C3541" s="2" t="n">
        <v>7260</v>
      </c>
      <c r="D3541" s="3" t="inlineStr">
        <is>
          <t>Боковой ветер</t>
        </is>
      </c>
      <c r="E3541" s="2" t="n">
        <v>1983</v>
      </c>
      <c r="F3541" s="2" t="inlineStr">
        <is>
          <t>телефильм</t>
        </is>
      </c>
      <c r="G3541" s="2" t="n"/>
      <c r="H3541" s="2" t="n">
        <v>360</v>
      </c>
      <c r="I3541" s="2" t="inlineStr"/>
      <c r="J3541" s="2" t="inlineStr"/>
      <c r="K3541" s="3" t="inlineStr">
        <is>
          <t>Главные герои фильма - молодые велогонщики Райво и Мартин. Более талантливый Мартин, хотя и расстался со сборной, но, тем не менее полон планов и надежд достичь успеха. Райво также стремится стать высококлассным спортсменом, хотя его мать считает, что нужно бросить спорт и получить престижную профессию, да к тому же с подругой Кристиной всё весьма запутанно.</t>
        </is>
      </c>
      <c r="L3541" s="2" t="inlineStr">
        <is>
          <t>Кино_СССР сводный каталог.xlsx: список телефильмов</t>
        </is>
      </c>
      <c r="M3541" s="2">
        <f>HYPERLINK("https://ru.wikipedia.org/w/index.php?search=%D0%91%D0%BE%D0%BA%D0%BE%D0%B2%D0%BE%D0%B9%20%D0%B2%D0%B5%D1%82%D0%B5%D1%80%201983%20%D1%84%D0%B8%D0%BB%D1%8C%D0%BC","искать")</f>
        <v/>
      </c>
      <c r="N3541" s="3" t="n"/>
      <c r="O3541" s="2" t="n"/>
    </row>
    <row r="3542">
      <c r="A3542" s="2" t="n">
        <v>3541</v>
      </c>
      <c r="B3542" s="2" t="inlineStr"/>
      <c r="C3542" s="2" t="n">
        <v>7610</v>
      </c>
      <c r="D3542" s="3" t="inlineStr">
        <is>
          <t>За всё в ответе</t>
        </is>
      </c>
      <c r="E3542" s="2" t="n">
        <v>1978</v>
      </c>
      <c r="F3542" s="2" t="inlineStr">
        <is>
          <t>телефильм</t>
        </is>
      </c>
      <c r="G3542" s="2" t="n"/>
      <c r="H3542" s="2" t="n">
        <v>360</v>
      </c>
      <c r="I3542" s="2" t="inlineStr"/>
      <c r="J3542" s="2" t="inlineStr"/>
      <c r="K3542" s="3" t="inlineStr">
        <is>
          <t>Телефильм по мотивам одноименного романа Н.Омельченко. Фильм о нравственном становлении молодых рабочих, взаимоотношениях поколений. Главный герой фильма, Николай Алексеевич Куриленко, работает мастером-наставником на заводе вычислительных машин. Своим ученикам он помогает не только овладеть основами мастерства, но и выпутаться из сложных жизненных коллизий.</t>
        </is>
      </c>
      <c r="L3542" s="2" t="inlineStr">
        <is>
          <t>Кино_СССР сводный каталог.xlsx: список телефильмов</t>
        </is>
      </c>
      <c r="M3542" s="2">
        <f>HYPERLINK("https://ru.wikipedia.org/w/index.php?search=%D0%97%D0%B0%20%D0%B2%D1%81%D1%91%20%D0%B2%20%D0%BE%D1%82%D0%B2%D0%B5%D1%82%D0%B5%201978%20%D1%84%D0%B8%D0%BB%D1%8C%D0%BC","искать")</f>
        <v/>
      </c>
      <c r="N3542" s="3" t="n"/>
      <c r="O3542" s="2" t="n"/>
    </row>
    <row r="3543">
      <c r="A3543" s="2" t="n">
        <v>3542</v>
      </c>
      <c r="B3543" s="2" t="inlineStr"/>
      <c r="C3543" s="2" t="n">
        <v>7632</v>
      </c>
      <c r="D3543" s="3" t="inlineStr">
        <is>
          <t>Звёзды олимпийской регаты</t>
        </is>
      </c>
      <c r="E3543" s="2" t="n">
        <v>1980</v>
      </c>
      <c r="F3543" s="2" t="inlineStr">
        <is>
          <t>телефильм</t>
        </is>
      </c>
      <c r="G3543" s="2" t="n"/>
      <c r="H3543" s="2" t="n">
        <v>360</v>
      </c>
      <c r="I3543" s="2" t="inlineStr"/>
      <c r="J3543" s="2" t="inlineStr"/>
      <c r="K3543" s="3" t="inlineStr">
        <is>
          <t>Летом 1980 года Таллин принимал яхтсменов - участников соревнований 22-й летней Олимпиады. Соревнования прошли в новом Олимпийском центре парусного спорта в Пирита, специально построенном к столь знаменательному событию. В рамках культурной программы в олимпийский Таллин высадился большой десант артистов эстрады из союзных республик и социалистических стран.</t>
        </is>
      </c>
      <c r="L3543" s="2" t="inlineStr">
        <is>
          <t>Кино_СССР сводный каталог.xlsx: список телефильмов</t>
        </is>
      </c>
      <c r="M3543" s="2">
        <f>HYPERLINK("https://ru.wikipedia.org/w/index.php?search=%D0%97%D0%B2%D1%91%D0%B7%D0%B4%D1%8B%20%D0%BE%D0%BB%D0%B8%D0%BC%D0%BF%D0%B8%D0%B9%D1%81%D0%BA%D0%BE%D0%B9%20%D1%80%D0%B5%D0%B3%D0%B0%D1%82%D1%8B%201980%20%D1%84%D0%B8%D0%BB%D1%8C%D0%BC","искать")</f>
        <v/>
      </c>
      <c r="N3543" s="3" t="n"/>
      <c r="O3543" s="2" t="n"/>
    </row>
    <row r="3544">
      <c r="A3544" s="2" t="n">
        <v>3543</v>
      </c>
      <c r="B3544" s="2" t="inlineStr"/>
      <c r="C3544" s="2" t="n">
        <v>8281</v>
      </c>
      <c r="D3544" s="3" t="inlineStr">
        <is>
          <t>Родные степи</t>
        </is>
      </c>
      <c r="E3544" s="2" t="n">
        <v>1981</v>
      </c>
      <c r="F3544" s="2" t="inlineStr">
        <is>
          <t>телефильм</t>
        </is>
      </c>
      <c r="G3544" s="2" t="n"/>
      <c r="H3544" s="2" t="n">
        <v>360</v>
      </c>
      <c r="I3544" s="2" t="inlineStr"/>
      <c r="J3544" s="2" t="inlineStr"/>
      <c r="K3544" s="3" t="inlineStr">
        <is>
          <t>Действие фильма происходит в казахском селе. Аман и Айжан очень любят друг друга, но часто ссорятся. Одной из таких ссор решает воспользоваться их соседка Нагима, чтобы женить своего сына Оспана на Айжан. Это приводит к ряду нелепых ситуаций, в которые попадают герои. Но добро, как всегда, побеждает зло, и молодые люди мирятся - Айжан выходит замуж за Амана.</t>
        </is>
      </c>
      <c r="L3544" s="2" t="inlineStr">
        <is>
          <t>Кино_СССР сводный каталог.xlsx: список телефильмов</t>
        </is>
      </c>
      <c r="M3544" s="2">
        <f>HYPERLINK("https://ru.wikipedia.org/w/index.php?search=%D0%A0%D0%BE%D0%B4%D0%BD%D1%8B%D0%B5%20%D1%81%D1%82%D0%B5%D0%BF%D0%B8%201981%20%D1%84%D0%B8%D0%BB%D1%8C%D0%BC","искать")</f>
        <v/>
      </c>
      <c r="N3544" s="3" t="n"/>
      <c r="O3544" s="2" t="n"/>
    </row>
    <row r="3545">
      <c r="A3545" s="2" t="n">
        <v>3544</v>
      </c>
      <c r="B3545" s="2" t="inlineStr"/>
      <c r="C3545" s="2" t="n">
        <v>9059</v>
      </c>
      <c r="D3545" s="3" t="inlineStr">
        <is>
          <t>Солнечный маскарад</t>
        </is>
      </c>
      <c r="E3545" s="2" t="n">
        <v>1936</v>
      </c>
      <c r="F3545" s="2" t="inlineStr">
        <is>
          <t>кинофильм</t>
        </is>
      </c>
      <c r="G3545" s="2" t="n"/>
      <c r="H3545" s="2" t="n">
        <v>360</v>
      </c>
      <c r="I3545" s="2" t="inlineStr"/>
      <c r="J3545" s="2" t="inlineStr"/>
      <c r="K3545" s="3" t="inlineStr">
        <is>
          <t>"Во время пожара директор зверосовхоза Петр Петрович потерял зрение. Он ждет приезда племянника Юры, которого постоянно ставит в пример своей дочери Люзе. Но Юра оказывается маменькиным сынком. Попав в пионерский лагерь, он превращается в смелого мальчика, а тем временем дочь директора, чтоб не расстраивать отца, берет на себя роль воображаемого брата-героя.</t>
        </is>
      </c>
      <c r="L3545" s="2" t="inlineStr">
        <is>
          <t>Кино_СССР сводный каталог.xlsx: список фильмов (доп.)</t>
        </is>
      </c>
      <c r="M3545" s="2">
        <f>HYPERLINK("https://ru.wikipedia.org/w/index.php?search=%D0%A1%D0%BE%D0%BB%D0%BD%D0%B5%D1%87%D0%BD%D1%8B%D0%B9%20%D0%BC%D0%B0%D1%81%D0%BA%D0%B0%D1%80%D0%B0%D0%B4%201936%20%D1%84%D0%B8%D0%BB%D1%8C%D0%BC","искать")</f>
        <v/>
      </c>
      <c r="N3545" s="3" t="n"/>
      <c r="O3545" s="2" t="n"/>
    </row>
    <row r="3546">
      <c r="A3546" s="2" t="n">
        <v>3545</v>
      </c>
      <c r="B3546" s="2" t="inlineStr"/>
      <c r="C3546" s="2" t="n">
        <v>9100</v>
      </c>
      <c r="D3546" s="3" t="inlineStr">
        <is>
          <t>Тигр снегов</t>
        </is>
      </c>
      <c r="E3546" s="2" t="n">
        <v>1987</v>
      </c>
      <c r="F3546" s="2" t="inlineStr">
        <is>
          <t>кинофильм</t>
        </is>
      </c>
      <c r="G3546" s="2" t="n"/>
      <c r="H3546" s="2" t="n">
        <v>360</v>
      </c>
      <c r="I3546" s="2" t="inlineStr"/>
      <c r="J3546" s="2" t="inlineStr"/>
      <c r="K3546" s="3" t="inlineStr">
        <is>
          <t>История взаимоотношений отца и сына. Бывший известный боксер Ахан, не ужившись в большом спорте, уезжает из города. Судьба приводит его в горы, где он становится звероловом. Ахан не замечает, как равнодушно, а порой и жестко, он относится к животным. Только конфликт с сыном Али, произошедший после ловли "тигра снегов" - снежного барса - многому научил Ахана.</t>
        </is>
      </c>
      <c r="L3546" s="2" t="inlineStr">
        <is>
          <t>Кино_СССР сводный каталог.xlsx: список фильмов (доп.)</t>
        </is>
      </c>
      <c r="M3546" s="2">
        <f>HYPERLINK("https://ru.wikipedia.org/w/index.php?search=%D0%A2%D0%B8%D0%B3%D1%80%20%D1%81%D0%BD%D0%B5%D0%B3%D0%BE%D0%B2%201987%20%D1%84%D0%B8%D0%BB%D1%8C%D0%BC","искать")</f>
        <v/>
      </c>
      <c r="N3546" s="3" t="n"/>
      <c r="O3546" s="2" t="n"/>
    </row>
    <row r="3547">
      <c r="A3547" s="2" t="n">
        <v>3546</v>
      </c>
      <c r="B3547" s="2" t="inlineStr"/>
      <c r="C3547" s="2" t="n">
        <v>10040</v>
      </c>
      <c r="D3547" s="3" t="inlineStr">
        <is>
          <t>Одна ночь</t>
        </is>
      </c>
      <c r="E3547" s="2" t="n">
        <v>1989</v>
      </c>
      <c r="F3547" s="2" t="inlineStr">
        <is>
          <t>телефильм</t>
        </is>
      </c>
      <c r="G3547" s="2" t="n"/>
      <c r="H3547" s="2" t="n">
        <v>360</v>
      </c>
      <c r="I3547" s="2" t="inlineStr"/>
      <c r="J3547" s="2" t="inlineStr"/>
      <c r="K3547" s="3" t="inlineStr">
        <is>
          <t>По одноименному рассказу В. Быкова.
Великая Отечественная война. Автоматчик Иван Волока, спасаясь от немцев, оказывается в подвале под грудой обвалившихся стен. Волей случая вместе с ним под завалами оказывается и раненый немецкий солдат, которому нужна помощь. Как тут поступить Ивану? Выполнить гражданский долг и убить врага или же помочь раненому человеку?</t>
        </is>
      </c>
      <c r="L3547" s="2" t="inlineStr">
        <is>
          <t>https://www.kino-teatr.ru/short/movie/sov/14438/annot/</t>
        </is>
      </c>
      <c r="M3547" s="2">
        <f>HYPERLINK("https://ru.wikipedia.org/w/index.php?search=%D0%9E%D0%B4%D0%BD%D0%B0%20%D0%BD%D0%BE%D1%87%D1%8C%201989%20%D1%84%D0%B8%D0%BB%D1%8C%D0%BC","искать")</f>
        <v/>
      </c>
      <c r="N3547" s="3" t="n"/>
      <c r="O3547" s="2" t="n"/>
    </row>
    <row r="3548">
      <c r="A3548" s="2" t="n">
        <v>3547</v>
      </c>
      <c r="B3548" s="2" t="inlineStr"/>
      <c r="C3548" s="2" t="n">
        <v>11090</v>
      </c>
      <c r="D3548" s="3" t="inlineStr">
        <is>
          <t>Этот странный русский</t>
        </is>
      </c>
      <c r="E3548" s="2" t="n">
        <v>1985</v>
      </c>
      <c r="F3548" s="2" t="inlineStr">
        <is>
          <t>фильм-спектакль</t>
        </is>
      </c>
      <c r="G3548" s="2" t="inlineStr">
        <is>
          <t>Главная редакция литературно-драматических программ</t>
        </is>
      </c>
      <c r="H3548" s="2" t="n">
        <v>360</v>
      </c>
      <c r="I3548" s="2" t="inlineStr"/>
      <c r="J3548" s="2" t="inlineStr"/>
      <c r="K3548" s="3" t="inlineStr">
        <is>
          <t>По одноименной пьесе В.Чичкова в постановке Московского театра имени М.Н.Ермоловой.
Действие происходит в одной из латиноамериканских стран во время фашистского путча. В центре - трагическая судьба русского хирурга Николая Егорова, приехавшего в эту страну по просьбе Международного Красного Креста для оказания помощи населению, пострадавшему от землетрясения</t>
        </is>
      </c>
      <c r="L3548" s="2" t="inlineStr">
        <is>
          <t>https://www.kino-teatr.ru/teatr/movie/81372/annot/</t>
        </is>
      </c>
      <c r="M3548" s="2">
        <f>HYPERLINK("https://ru.wikipedia.org/w/index.php?search=%D0%AD%D1%82%D0%BE%D1%82%20%D1%81%D1%82%D1%80%D0%B0%D0%BD%D0%BD%D1%8B%D0%B9%20%D1%80%D1%83%D1%81%D1%81%D0%BA%D0%B8%D0%B9%201985%20%D1%84%D0%B8%D0%BB%D1%8C%D0%BC","искать")</f>
        <v/>
      </c>
      <c r="N3548" s="3" t="n"/>
      <c r="O3548" s="2" t="n"/>
    </row>
    <row r="3549">
      <c r="A3549" s="2" t="n">
        <v>3548</v>
      </c>
      <c r="B3549" s="2" t="inlineStr"/>
      <c r="C3549" s="2" t="n">
        <v>7587</v>
      </c>
      <c r="D3549" s="3" t="inlineStr">
        <is>
          <t>Жёлтая маска</t>
        </is>
      </c>
      <c r="E3549" s="2" t="n">
        <v>1979</v>
      </c>
      <c r="F3549" s="2" t="inlineStr">
        <is>
          <t>телефильм</t>
        </is>
      </c>
      <c r="G3549" s="2" t="n"/>
      <c r="H3549" s="2" t="n">
        <v>361</v>
      </c>
      <c r="I3549" s="2" t="inlineStr"/>
      <c r="J3549" s="2" t="inlineStr"/>
      <c r="K3549" s="3" t="inlineStr">
        <is>
          <t>Детский телевизионный детектив по мотивам одноименной повести болгарского писателя Николая Мизийски. В этой веселой истории о пионерах Саше Александрове, Круме Петрове и других — все признаки увлекательного приключенческого жанра: тайна, погоня, обман, расследование, столкновение с неизвестным… Как и положено в таких случаях, истина открывается в самом конце.</t>
        </is>
      </c>
      <c r="L3549" s="2" t="inlineStr">
        <is>
          <t>Кино_СССР сводный каталог.xlsx: список телефильмов</t>
        </is>
      </c>
      <c r="M3549" s="2">
        <f>HYPERLINK("https://ru.wikipedia.org/w/index.php?search=%D0%96%D1%91%D0%BB%D1%82%D0%B0%D1%8F%20%D0%BC%D0%B0%D1%81%D0%BA%D0%B0%201979%20%D1%84%D0%B8%D0%BB%D1%8C%D0%BC","искать")</f>
        <v/>
      </c>
      <c r="N3549" s="3" t="n"/>
      <c r="O3549" s="2" t="n"/>
    </row>
    <row r="3550">
      <c r="A3550" s="2" t="n">
        <v>3549</v>
      </c>
      <c r="B3550" s="2" t="inlineStr"/>
      <c r="C3550" s="2" t="n">
        <v>7924</v>
      </c>
      <c r="D3550" s="3" t="inlineStr">
        <is>
          <t>Мышеловка</t>
        </is>
      </c>
      <c r="E3550" s="2" t="n">
        <v>1986</v>
      </c>
      <c r="F3550" s="2" t="inlineStr">
        <is>
          <t>телефильм</t>
        </is>
      </c>
      <c r="G3550" s="2" t="n"/>
      <c r="H3550" s="2" t="n">
        <v>361</v>
      </c>
      <c r="I3550" s="2" t="inlineStr"/>
      <c r="J3550" s="2" t="inlineStr"/>
      <c r="K3550" s="3" t="inlineStr">
        <is>
          <t>Экранизация одноименной пьесы Агаты Кристи. В Лондоне совершено убийство женщины. У тела жертвы находят записную книжку. Полиция объявляет по радио, что разыскивается подозреваемый в убийстве: человек в сером пальто, светлом шарфе и фетровой шляпе. В пансионе «Монксуэлл-мэнор», который принадлежит молодой супружеской паре Рэлстонов, начинают собираться гости.</t>
        </is>
      </c>
      <c r="L3550" s="2" t="inlineStr">
        <is>
          <t>Кино_СССР сводный каталог.xlsx: список телефильмов</t>
        </is>
      </c>
      <c r="M3550" s="2">
        <f>HYPERLINK("https://ru.wikipedia.org/w/index.php?search=%D0%9C%D1%8B%D1%88%D0%B5%D0%BB%D0%BE%D0%B2%D0%BA%D0%B0%201986%20%D1%84%D0%B8%D0%BB%D1%8C%D0%BC","искать")</f>
        <v/>
      </c>
      <c r="N3550" s="3" t="n"/>
      <c r="O3550" s="2" t="n"/>
    </row>
    <row r="3551">
      <c r="A3551" s="2" t="n">
        <v>3550</v>
      </c>
      <c r="B3551" s="2" t="inlineStr"/>
      <c r="C3551" s="2" t="n">
        <v>8043</v>
      </c>
      <c r="D3551" s="3" t="inlineStr">
        <is>
          <t>Он, она и дети</t>
        </is>
      </c>
      <c r="E3551" s="2" t="n">
        <v>1986</v>
      </c>
      <c r="F3551" s="2" t="inlineStr">
        <is>
          <t>телефильм</t>
        </is>
      </c>
      <c r="G3551" s="2" t="n"/>
      <c r="H3551" s="2" t="n">
        <v>361</v>
      </c>
      <c r="I3551" s="2" t="inlineStr"/>
      <c r="J3551" s="2" t="inlineStr"/>
      <c r="K3551" s="3" t="inlineStr">
        <is>
          <t>Их судьбы во многом схожи. Слава - переводчик крупного издательства, вдовец, один воспитывает сына, Валерия - музыкальный работник клуба, давно разведена с мужем, воспитывает дочь, они живут в одном микрорайоне, посещают один универсам, пользуются одним и тем же транспортом... Однажды герои фильма встретились и оказалось, что они самые нужные друг другу люди.</t>
        </is>
      </c>
      <c r="L3551" s="2" t="inlineStr">
        <is>
          <t>Кино_СССР сводный каталог.xlsx: список телефильмов</t>
        </is>
      </c>
      <c r="M3551" s="2">
        <f>HYPERLINK("https://ru.wikipedia.org/w/index.php?search=%D0%9E%D0%BD%2C%20%D0%BE%D0%BD%D0%B0%20%D0%B8%20%D0%B4%D0%B5%D1%82%D0%B8%201986%20%D1%84%D0%B8%D0%BB%D1%8C%D0%BC","искать")</f>
        <v/>
      </c>
      <c r="N3551" s="3" t="n"/>
      <c r="O3551" s="2" t="n"/>
    </row>
    <row r="3552">
      <c r="A3552" s="2" t="n">
        <v>3551</v>
      </c>
      <c r="B3552" s="2" t="inlineStr"/>
      <c r="C3552" s="2" t="n">
        <v>8682</v>
      </c>
      <c r="D3552" s="3" t="inlineStr">
        <is>
          <t>Гончар и горшок</t>
        </is>
      </c>
      <c r="E3552" s="2" t="n">
        <v>1990</v>
      </c>
      <c r="F3552" s="2" t="inlineStr">
        <is>
          <t>кинофильм</t>
        </is>
      </c>
      <c r="G3552" s="2" t="n"/>
      <c r="H3552" s="2" t="n">
        <v>361</v>
      </c>
      <c r="I3552" s="2" t="inlineStr"/>
      <c r="J3552" s="2" t="inlineStr"/>
      <c r="K3552" s="3" t="inlineStr">
        <is>
          <t>Музыкальная притча по мотивам восточного фольклора. Герой фильма — гончар, решивший слепить себе из глины друга и помощника. Его творение обрело жизнь. Но получился мерзопакостный субъект, который полностью подчинил себе гончара и начал с его помощью творить вокруг зло и бесчестие. Жадным и коварным оказался этот «глинянный друг», принесший немало горя людям.</t>
        </is>
      </c>
      <c r="L3552" s="2" t="inlineStr">
        <is>
          <t>Кино_СССР сводный каталог.xlsx: список фильмов (доп.)</t>
        </is>
      </c>
      <c r="M3552" s="2">
        <f>HYPERLINK("https://ru.wikipedia.org/w/index.php?search=%D0%93%D0%BE%D0%BD%D1%87%D0%B0%D1%80%20%D0%B8%20%D0%B3%D0%BE%D1%80%D1%88%D0%BE%D0%BA%201990%20%D1%84%D0%B8%D0%BB%D1%8C%D0%BC","искать")</f>
        <v/>
      </c>
      <c r="N3552" s="3" t="n"/>
      <c r="O3552" s="2" t="n"/>
    </row>
    <row r="3553">
      <c r="A3553" s="2" t="n">
        <v>3552</v>
      </c>
      <c r="B3553" s="2" t="inlineStr"/>
      <c r="C3553" s="2" t="n">
        <v>9392</v>
      </c>
      <c r="D3553" s="3" t="inlineStr">
        <is>
          <t>Имитатор</t>
        </is>
      </c>
      <c r="E3553" s="2" t="n">
        <v>1991</v>
      </c>
      <c r="F3553" s="2" t="inlineStr">
        <is>
          <t>кинофильм</t>
        </is>
      </c>
      <c r="G3553" s="2" t="n"/>
      <c r="H3553" s="2" t="n">
        <v>361</v>
      </c>
      <c r="I3553" s="2" t="inlineStr"/>
      <c r="J3553" s="2" t="inlineStr"/>
      <c r="K3553" s="3" t="inlineStr">
        <is>
          <t>Используя телефонный аппарат и недюжинные способности общения с людьми (имитация голосов - это только необходимая частность), предприимчивый молодой человек посвящает себя бизнесу... Начав свою картину как забавную бытовую комедию, с каждым эпизодом постепенно форсируя элементы гротеска, авторы фильма довели его до апофеоза абсурдности нашей действительности.</t>
        </is>
      </c>
      <c r="L3553" s="2" t="inlineStr">
        <is>
          <t>Кино_СССР сводный каталог.xlsx: список фильмов (доп.)</t>
        </is>
      </c>
      <c r="M3553" s="2">
        <f>HYPERLINK("https://ru.wikipedia.org/w/index.php?search=%D0%98%D0%BC%D0%B8%D1%82%D0%B0%D1%82%D0%BE%D1%80%201991%20%D1%84%D0%B8%D0%BB%D1%8C%D0%BC","искать")</f>
        <v/>
      </c>
      <c r="N3553" s="3" t="n"/>
      <c r="O3553" s="2" t="n"/>
    </row>
    <row r="3554">
      <c r="A3554" s="2" t="n">
        <v>3553</v>
      </c>
      <c r="B3554" s="2" t="inlineStr"/>
      <c r="C3554" s="2" t="n">
        <v>10636</v>
      </c>
      <c r="D3554" s="3" t="inlineStr">
        <is>
          <t>Бернард Шоу</t>
        </is>
      </c>
      <c r="E3554" s="2" t="n">
        <v>1976</v>
      </c>
      <c r="F3554" s="2" t="inlineStr">
        <is>
          <t>фильм-спектакль</t>
        </is>
      </c>
      <c r="G3554" s="2" t="n"/>
      <c r="H3554" s="2" t="n">
        <v>361</v>
      </c>
      <c r="I3554" s="2" t="inlineStr"/>
      <c r="J3554" s="2" t="inlineStr"/>
      <c r="K3554" s="3" t="inlineStr">
        <is>
          <t>Интересно, что было бы, если бы наши актеры встретились со знаменитым писателем?
И вот они уже входят в кабинет Бернарда Шоу.
Вначале речь пойдет о его творчестве, драматургии, о создании его произведений, о первой постановке его пьесы.
А дальше актеры начинают играть героев Шоу, и он тоже принимает в этом участие.
Ведь Шоу заявил, что он превосходный артист!</t>
        </is>
      </c>
      <c r="L3554" s="2" t="inlineStr">
        <is>
          <t>https://www.kino-teatr.ru/teatr/movie/101846/annot/</t>
        </is>
      </c>
      <c r="M3554" s="2">
        <f>HYPERLINK("https://ru.wikipedia.org/w/index.php?search=%D0%91%D0%B5%D1%80%D0%BD%D0%B0%D1%80%D0%B4%20%D0%A8%D0%BE%D1%83%201976%20%D1%84%D0%B8%D0%BB%D1%8C%D0%BC","искать")</f>
        <v/>
      </c>
      <c r="N3554" s="3" t="n"/>
      <c r="O3554" s="2" t="n"/>
    </row>
    <row r="3555">
      <c r="A3555" s="2" t="n">
        <v>3554</v>
      </c>
      <c r="B3555" s="2" t="inlineStr"/>
      <c r="C3555" s="2" t="n">
        <v>11244</v>
      </c>
      <c r="D3555" s="3" t="inlineStr">
        <is>
          <t>14 красных избушек</t>
        </is>
      </c>
      <c r="E3555" s="2" t="n">
        <v>1989</v>
      </c>
      <c r="F3555" s="2" t="inlineStr">
        <is>
          <t>фильм-спектакль</t>
        </is>
      </c>
      <c r="G3555" s="2" t="inlineStr">
        <is>
          <t>Центральное телевидение</t>
        </is>
      </c>
      <c r="H3555" s="2" t="n">
        <v>361</v>
      </c>
      <c r="I3555" s="2" t="inlineStr"/>
      <c r="J3555" s="2" t="inlineStr"/>
      <c r="K3555" s="3" t="inlineStr">
        <is>
          <t>Телевариант спектакля Саратовского театра драмы им.Карла Маркса по пьесе А.Платонова "14 красных избушек или Герой нашего времени".
Свидетелем событий, связанных с коллективизацией становится Иоганн Хоз, член Стокгольмской академии наук, приехавший в Россию, чтобы познать жизнь. В течение нескольких дней он работает в колхозе "14 красных избушек" бухгалтером.</t>
        </is>
      </c>
      <c r="L3555" s="2" t="inlineStr">
        <is>
          <t>https://www.kino-teatr.ru/teatr/movie/17027/annot/</t>
        </is>
      </c>
      <c r="M3555" s="2">
        <f>HYPERLINK("https://ru.wikipedia.org/w/index.php?search=14%20%D0%BA%D1%80%D0%B0%D1%81%D0%BD%D1%8B%D1%85%20%D0%B8%D0%B7%D0%B1%D1%83%D1%88%D0%B5%D0%BA%201989%20%D1%84%D0%B8%D0%BB%D1%8C%D0%BC","искать")</f>
        <v/>
      </c>
      <c r="N3555" s="3" t="n"/>
      <c r="O3555" s="2" t="n"/>
    </row>
    <row r="3556">
      <c r="A3556" s="2" t="n">
        <v>3555</v>
      </c>
      <c r="B3556" s="2" t="inlineStr"/>
      <c r="C3556" s="2" t="n">
        <v>11295</v>
      </c>
      <c r="D3556" s="3" t="inlineStr">
        <is>
          <t>Взрослая дочь молодого человека</t>
        </is>
      </c>
      <c r="E3556" s="2" t="n">
        <v>1990</v>
      </c>
      <c r="F3556" s="2" t="inlineStr">
        <is>
          <t>фильм-спектакль</t>
        </is>
      </c>
      <c r="G3556" s="2" t="inlineStr">
        <is>
          <t>Театр “Школа драматического искусства”</t>
        </is>
      </c>
      <c r="H3556" s="2" t="n">
        <v>361</v>
      </c>
      <c r="I3556" s="2" t="inlineStr"/>
      <c r="J3556" s="2" t="inlineStr"/>
      <c r="K3556" s="3" t="inlineStr">
        <is>
          <t>По пьесе Виктора Славкина "Дочь стиляги".
Действие происходит в Москве, в 70-х годах. Герои не виделись много лет, а теперь встретились и вспоминают свою молодость, когда они учились в институте, увлекались джазом и слыли стилягами.
Снятый в 1981-1982 гг. спектакль Московского драматического театра имени К.С. Станиславского. Фильм впервые показан в 1990 году.</t>
        </is>
      </c>
      <c r="L3556" s="2" t="inlineStr">
        <is>
          <t>https://www.kino-teatr.ru/teatr/movie/936/annot/</t>
        </is>
      </c>
      <c r="M3556" s="2">
        <f>HYPERLINK("https://ru.wikipedia.org/w/index.php?search=%D0%92%D0%B7%D1%80%D0%BE%D1%81%D0%BB%D0%B0%D1%8F%20%D0%B4%D0%BE%D1%87%D1%8C%20%D0%BC%D0%BE%D0%BB%D0%BE%D0%B4%D0%BE%D0%B3%D0%BE%20%D1%87%D0%B5%D0%BB%D0%BE%D0%B2%D0%B5%D0%BA%D0%B0%201990%20%D1%84%D0%B8%D0%BB%D1%8C%D0%BC","искать")</f>
        <v/>
      </c>
      <c r="N3556" s="3" t="n"/>
      <c r="O3556" s="2" t="n"/>
    </row>
    <row r="3557">
      <c r="A3557" s="2" t="n">
        <v>3556</v>
      </c>
      <c r="B3557" s="2" t="inlineStr"/>
      <c r="C3557" s="2" t="n">
        <v>7394</v>
      </c>
      <c r="D3557" s="3" t="inlineStr">
        <is>
          <t>Время-не-ждёт</t>
        </is>
      </c>
      <c r="E3557" s="2" t="n">
        <v>1975</v>
      </c>
      <c r="F3557" s="2" t="inlineStr">
        <is>
          <t>телефильм</t>
        </is>
      </c>
      <c r="G3557" s="2" t="inlineStr">
        <is>
          <t>Беларусьфильм</t>
        </is>
      </c>
      <c r="H3557" s="2" t="n">
        <v>362</v>
      </c>
      <c r="I3557" s="2" t="inlineStr"/>
      <c r="J3557" s="2" t="inlineStr"/>
      <c r="K3557" s="3" t="inlineStr">
        <is>
          <t>Телефильм по мотивам одноименного романа Джека Лондона. Это история золотоискателя и авантюриста Элама Харниша по прозвищу Время-не-ждёт, он «по натуре был игрок, и жизнь представлялась ему увлекательнейшей игрой». В ходе этой игры за богатство и власть он становится циничным и бессердечным. Став преуспевающим дельцом, он живет и действует по законам джунглей.</t>
        </is>
      </c>
      <c r="L3557" s="2" t="inlineStr">
        <is>
          <t>Кино_СССР сводный каталог.xlsx: список телефильмов</t>
        </is>
      </c>
      <c r="M3557" s="2">
        <f>HYPERLINK("https://ru.wikipedia.org/w/index.php?search=%D0%92%D1%80%D0%B5%D0%BC%D1%8F-%D0%BD%D0%B5-%D0%B6%D0%B4%D1%91%D1%82%201975%20%D1%84%D0%B8%D0%BB%D1%8C%D0%BC","искать")</f>
        <v/>
      </c>
      <c r="N3557" s="3" t="n"/>
      <c r="O3557" s="2" t="n"/>
    </row>
    <row r="3558">
      <c r="A3558" s="2" t="n">
        <v>3557</v>
      </c>
      <c r="B3558" s="2" t="inlineStr"/>
      <c r="C3558" s="2" t="n">
        <v>7946</v>
      </c>
      <c r="D3558" s="3" t="inlineStr">
        <is>
          <t>Накануне</t>
        </is>
      </c>
      <c r="E3558" s="2" t="n">
        <v>1985</v>
      </c>
      <c r="F3558" s="2" t="inlineStr">
        <is>
          <t>телефильм</t>
        </is>
      </c>
      <c r="G3558" s="2" t="n"/>
      <c r="H3558" s="2" t="n">
        <v>362</v>
      </c>
      <c r="I3558" s="2" t="inlineStr"/>
      <c r="J3558" s="2" t="inlineStr"/>
      <c r="K3558" s="3" t="inlineStr">
        <is>
          <t>Телефильм по мотивам одноименного романа И.С.Тургенева. Картина состоит из двух фильмов: «Елена», «Инсаров». Елена Николаевна Стахова - девушка из дворянской семьи - полна возвышенных идеалов. Ищущая "деятельного добра" и подвига и не находящая в своей среде применения своим силам, она влюбляется в болгарского студента Инсарова, неимущего демократа-разночинца.</t>
        </is>
      </c>
      <c r="L3558" s="2" t="inlineStr">
        <is>
          <t>Кино_СССР сводный каталог.xlsx: список телефильмов</t>
        </is>
      </c>
      <c r="M3558" s="2">
        <f>HYPERLINK("https://ru.wikipedia.org/w/index.php?search=%D0%9D%D0%B0%D0%BA%D0%B0%D0%BD%D1%83%D0%BD%D0%B5%201985%20%D1%84%D0%B8%D0%BB%D1%8C%D0%BC","искать")</f>
        <v/>
      </c>
      <c r="N3558" s="3" t="n"/>
      <c r="O3558" s="2" t="n"/>
    </row>
    <row r="3559">
      <c r="A3559" s="2" t="n">
        <v>3558</v>
      </c>
      <c r="B3559" s="2" t="inlineStr"/>
      <c r="C3559" s="2" t="n">
        <v>7991</v>
      </c>
      <c r="D3559" s="3" t="inlineStr">
        <is>
          <t>Нервы, нервы</t>
        </is>
      </c>
      <c r="E3559" s="2" t="n">
        <v>1972</v>
      </c>
      <c r="F3559" s="2" t="inlineStr">
        <is>
          <t>телефильм</t>
        </is>
      </c>
      <c r="G3559" s="2" t="inlineStr">
        <is>
          <t>Экран; Центральное телевидение СССР</t>
        </is>
      </c>
      <c r="H3559" s="2" t="n">
        <v>362</v>
      </c>
      <c r="I3559" s="2" t="inlineStr"/>
      <c r="J3559" s="2" t="inlineStr"/>
      <c r="K3559" s="3" t="inlineStr">
        <is>
          <t>Главный герой фильма - веселый ремонтник. На все аварийные вызовы он выезжает на самодельном передвижном устройстве, напевая при этом: "Машина моя несерийная, машина моя аварийная, объездил на ней все аварии в нашем северном полушарии..." Злоключения веселого изобретателя начинаются, когда он на своём мотоцикле врезается в длинную трубу, которую несут рабочие.</t>
        </is>
      </c>
      <c r="L3559" s="2" t="inlineStr">
        <is>
          <t>Кино_СССР сводный каталог.xlsx: список телефильмов</t>
        </is>
      </c>
      <c r="M3559" s="2">
        <f>HYPERLINK("https://ru.wikipedia.org/w/index.php?search=%D0%9D%D0%B5%D1%80%D0%B2%D1%8B%2C%20%D0%BD%D0%B5%D1%80%D0%B2%D1%8B%201972%20%D1%84%D0%B8%D0%BB%D1%8C%D0%BC","искать")</f>
        <v/>
      </c>
      <c r="N3559" s="3" t="n"/>
      <c r="O3559" s="2" t="n"/>
    </row>
    <row r="3560">
      <c r="A3560" s="2" t="n">
        <v>3559</v>
      </c>
      <c r="B3560" s="2" t="inlineStr"/>
      <c r="C3560" s="2" t="n">
        <v>8722</v>
      </c>
      <c r="D3560" s="3" t="inlineStr">
        <is>
          <t>Жертва для императора</t>
        </is>
      </c>
      <c r="E3560" s="2" t="n">
        <v>1991</v>
      </c>
      <c r="F3560" s="2" t="inlineStr">
        <is>
          <t>кинофильм</t>
        </is>
      </c>
      <c r="G3560" s="2" t="n"/>
      <c r="H3560" s="2" t="n">
        <v>362</v>
      </c>
      <c r="I3560" s="2" t="inlineStr"/>
      <c r="J3560" s="2" t="inlineStr"/>
      <c r="K3560" s="3" t="inlineStr">
        <is>
          <t>По мотивам рассказа А. Куприна "Штабс-капитан Рыбников". Фильм основан на документальных фактах и повествует об офицере японского генерального штаба, получившем задание под именем капитана Рыбникова внедриться в военные круги Петербурга. Он был разоблачен после известного Цусимского сражения 1904 года, когда Япония уничтожила весь Русский дальневосточный флот.</t>
        </is>
      </c>
      <c r="L3560" s="2" t="inlineStr">
        <is>
          <t>Кино_СССР сводный каталог.xlsx: список фильмов (доп.)</t>
        </is>
      </c>
      <c r="M3560" s="2">
        <f>HYPERLINK("https://ru.wikipedia.org/w/index.php?search=%D0%96%D0%B5%D1%80%D1%82%D0%B2%D0%B0%20%D0%B4%D0%BB%D1%8F%20%D0%B8%D0%BC%D0%BF%D0%B5%D1%80%D0%B0%D1%82%D0%BE%D1%80%D0%B0%201991%20%D1%84%D0%B8%D0%BB%D1%8C%D0%BC","искать")</f>
        <v/>
      </c>
      <c r="N3560" s="3" t="n"/>
      <c r="O3560" s="2" t="n"/>
    </row>
    <row r="3561">
      <c r="A3561" s="2" t="n">
        <v>3560</v>
      </c>
      <c r="B3561" s="2" t="inlineStr"/>
      <c r="C3561" s="2" t="n">
        <v>8983</v>
      </c>
      <c r="D3561" s="3" t="inlineStr">
        <is>
          <t>Проект "Альфа"</t>
        </is>
      </c>
      <c r="E3561" s="2" t="n">
        <v>1990</v>
      </c>
      <c r="F3561" s="2" t="inlineStr">
        <is>
          <t>кинофильм</t>
        </is>
      </c>
      <c r="G3561" s="2" t="n"/>
      <c r="H3561" s="2" t="n">
        <v>362</v>
      </c>
      <c r="I3561" s="2" t="inlineStr"/>
      <c r="J3561" s="2" t="inlineStr"/>
      <c r="K3561" s="3" t="inlineStr">
        <is>
          <t>В территориальных водах СССР командой пограничного корабля зафиксирован факт отклонения от согласованного курса иностранного судна. В ходе проверки инцидента выясняется - судно-нарушитель сбросило за борт некий объект. Пограничники, не без помощи прикомандированной к ним журналистки, устанавливают, что это радиобуй, принадлежащий одной из западных разведслужб.</t>
        </is>
      </c>
      <c r="L3561" s="2" t="inlineStr">
        <is>
          <t>Кино_СССР сводный каталог.xlsx: список фильмов (доп.)</t>
        </is>
      </c>
      <c r="M3561" s="2">
        <f>HYPERLINK("https://ru.wikipedia.org/w/index.php?search=%D0%9F%D1%80%D0%BE%D0%B5%D0%BA%D1%82%20%22%D0%90%D0%BB%D1%8C%D1%84%D0%B0%22%201990%20%D1%84%D0%B8%D0%BB%D1%8C%D0%BC","искать")</f>
        <v/>
      </c>
      <c r="N3561" s="3" t="n"/>
      <c r="O3561" s="2" t="n"/>
    </row>
    <row r="3562">
      <c r="A3562" s="2" t="n">
        <v>3561</v>
      </c>
      <c r="B3562" s="2" t="inlineStr"/>
      <c r="C3562" s="2" t="n">
        <v>9064</v>
      </c>
      <c r="D3562" s="3" t="inlineStr">
        <is>
          <t>Среда обитания</t>
        </is>
      </c>
      <c r="E3562" s="2" t="n">
        <v>1987</v>
      </c>
      <c r="F3562" s="2" t="inlineStr">
        <is>
          <t>кинофильм</t>
        </is>
      </c>
      <c r="G3562" s="2" t="n"/>
      <c r="H3562" s="2" t="n">
        <v>362</v>
      </c>
      <c r="I3562" s="2" t="inlineStr"/>
      <c r="J3562" s="2" t="inlineStr"/>
      <c r="K3562" s="3" t="inlineStr">
        <is>
          <t>По одноименной повести Сергея Высоцкого. В архиве пропадают редкие материалы. Между двумя научными работниками – Озеровым и Рожкиным – происходит конфликт из-за этих материалов. Как выясняется позднее, Озеров самовольно взял бумаги и передал их человеку по фамилии Барабанщиков для продажи. Когда Платонов узнает об этом, его сердце не выдерживает, и он умирает.</t>
        </is>
      </c>
      <c r="L3562" s="2" t="inlineStr">
        <is>
          <t>Кино_СССР сводный каталог.xlsx: список фильмов (доп.)</t>
        </is>
      </c>
      <c r="M3562" s="2">
        <f>HYPERLINK("https://ru.wikipedia.org/w/index.php?search=%D0%A1%D1%80%D0%B5%D0%B4%D0%B0%20%D0%BE%D0%B1%D0%B8%D1%82%D0%B0%D0%BD%D0%B8%D1%8F%201987%20%D1%84%D0%B8%D0%BB%D1%8C%D0%BC","искать")</f>
        <v/>
      </c>
      <c r="N3562" s="3" t="n"/>
      <c r="O3562" s="2" t="n"/>
    </row>
    <row r="3563">
      <c r="A3563" s="2" t="n">
        <v>3562</v>
      </c>
      <c r="B3563" s="2" t="inlineStr"/>
      <c r="C3563" s="2" t="n">
        <v>9611</v>
      </c>
      <c r="D3563" s="3" t="inlineStr">
        <is>
          <t>Разрешите взлет</t>
        </is>
      </c>
      <c r="E3563" s="2" t="n">
        <v>1971</v>
      </c>
      <c r="F3563" s="2" t="inlineStr">
        <is>
          <t>кинофильм</t>
        </is>
      </c>
      <c r="G3563" s="2" t="n"/>
      <c r="H3563" s="2" t="n">
        <v>362</v>
      </c>
      <c r="I3563" s="2" t="inlineStr"/>
      <c r="J3563" s="2" t="inlineStr"/>
      <c r="K3563" s="3" t="inlineStr">
        <is>
          <t>На затерявшемся в степи аэродроме начинает свою летную жизнь Соломенцев (Семен Морозов), только что получивший свидетельство пилота. Старый летчик Сахно (Анатолий Папанов) вынужден расстаться с любимым делом. Но перед тем, как уйти на диспетчерскую службу, он окажет помощь экипажу пассажирского лайнера, оказавшегося при посадке в сложнейшей аварийной ситуации.</t>
        </is>
      </c>
      <c r="L3563" s="2" t="inlineStr">
        <is>
          <t>Кино_СССР сводный каталог.xlsx: список фильмов (доп.)</t>
        </is>
      </c>
      <c r="M3563" s="2">
        <f>HYPERLINK("https://ru.wikipedia.org/w/index.php?search=%D0%A0%D0%B0%D0%B7%D1%80%D0%B5%D1%88%D0%B8%D1%82%D0%B5%20%D0%B2%D0%B7%D0%BB%D0%B5%D1%82%201971%20%D1%84%D0%B8%D0%BB%D1%8C%D0%BC","искать")</f>
        <v/>
      </c>
      <c r="N3563" s="3" t="n"/>
      <c r="O3563" s="2" t="n"/>
    </row>
    <row r="3564">
      <c r="A3564" s="2" t="n">
        <v>3563</v>
      </c>
      <c r="B3564" s="2" t="inlineStr"/>
      <c r="C3564" s="2" t="n">
        <v>10203</v>
      </c>
      <c r="D3564" s="3" t="inlineStr">
        <is>
          <t>Курьер Кремля</t>
        </is>
      </c>
      <c r="E3564" s="2" t="n">
        <v>1967</v>
      </c>
      <c r="F3564" s="2" t="inlineStr">
        <is>
          <t>фильм-спектакль</t>
        </is>
      </c>
      <c r="G3564" s="2" t="n"/>
      <c r="H3564" s="2" t="n">
        <v>362</v>
      </c>
      <c r="I3564" s="2" t="inlineStr"/>
      <c r="J3564" s="2" t="inlineStr"/>
      <c r="K3564" s="3" t="inlineStr">
        <is>
          <t>Постановка театра имени Евг.Вахтангова.
Действие происходит осенью 1919 года.
Большевик Мравин под именем инженера Петра Ивановича Леднева, рискуя жизнью, везет в Америку "Письмо к американским рабочим" В.И.Ленина. С помощью Джона Рида публикует его в одной из газет. В телеспектакле принимает участие Петр Иванович Травин, послуживший прообразом главного героя.</t>
        </is>
      </c>
      <c r="L3564" s="2" t="inlineStr">
        <is>
          <t>https://www.kino-teatr.ru/teatr/movie/81546/annot/</t>
        </is>
      </c>
      <c r="M3564" s="2">
        <f>HYPERLINK("https://ru.wikipedia.org/w/index.php?search=%D0%9A%D1%83%D1%80%D1%8C%D0%B5%D1%80%20%D0%9A%D1%80%D0%B5%D0%BC%D0%BB%D1%8F%201967%20%D1%84%D0%B8%D0%BB%D1%8C%D0%BC","искать")</f>
        <v/>
      </c>
      <c r="N3564" s="3" t="n"/>
      <c r="O3564" s="2" t="n"/>
    </row>
    <row r="3565">
      <c r="A3565" s="2" t="n">
        <v>3564</v>
      </c>
      <c r="B3565" s="2" t="inlineStr"/>
      <c r="C3565" s="2" t="n">
        <v>7548</v>
      </c>
      <c r="D3565" s="3" t="inlineStr">
        <is>
          <t>Дополнительный прибывает на второй путь</t>
        </is>
      </c>
      <c r="E3565" s="2" t="n">
        <v>1986</v>
      </c>
      <c r="F3565" s="2" t="inlineStr">
        <is>
          <t>телефильм</t>
        </is>
      </c>
      <c r="G3565" s="2" t="n"/>
      <c r="H3565" s="2" t="n">
        <v>363</v>
      </c>
      <c r="I3565" s="2" t="inlineStr"/>
      <c r="J3565" s="2" t="inlineStr"/>
      <c r="K3565" s="3" t="inlineStr">
        <is>
          <t>По мотивам одноименной повести Леонида Словина. В тамбуре поезда Москва — Душанбе обнаружен труп одного из пассажиров. Версию «преступник всё ещё в поезде» поручают отработать собиравшемуся в отпуск майору транспортной милиции Денисову. Помогать ему будет капитан таджикского УГРО Курбанов, командированный в Рязань в связи с делом об особо крупном мошенничестве.</t>
        </is>
      </c>
      <c r="L3565" s="2" t="inlineStr">
        <is>
          <t>Кино_СССР сводный каталог.xlsx: список телефильмов</t>
        </is>
      </c>
      <c r="M3565" s="2">
        <f>HYPERLINK("https://ru.wikipedia.org/w/index.php?search=%D0%94%D0%BE%D0%BF%D0%BE%D0%BB%D0%BD%D0%B8%D1%82%D0%B5%D0%BB%D1%8C%D0%BD%D1%8B%D0%B9%20%D0%BF%D1%80%D0%B8%D0%B1%D1%8B%D0%B2%D0%B0%D0%B5%D1%82%20%D0%BD%D0%B0%20%D0%B2%D1%82%D0%BE%D1%80%D0%BE%D0%B9%20%D0%BF%D1%83%D1%82%D1%8C%201986%20%D1%84%D0%B8%D0%BB%D1%8C%D0%BC","искать")</f>
        <v/>
      </c>
      <c r="N3565" s="3" t="n"/>
      <c r="O3565" s="2" t="n"/>
    </row>
    <row r="3566">
      <c r="A3566" s="2" t="n">
        <v>3565</v>
      </c>
      <c r="B3566" s="2" t="inlineStr"/>
      <c r="C3566" s="2" t="n">
        <v>7967</v>
      </c>
      <c r="D3566" s="3" t="inlineStr">
        <is>
          <t>Не стреляйте в белых лебедей</t>
        </is>
      </c>
      <c r="E3566" s="2" t="n">
        <v>1980</v>
      </c>
      <c r="F3566" s="2" t="inlineStr">
        <is>
          <t>телефильм</t>
        </is>
      </c>
      <c r="G3566" s="2" t="n"/>
      <c r="H3566" s="2" t="n">
        <v>363</v>
      </c>
      <c r="I3566" s="2" t="inlineStr"/>
      <c r="J3566" s="2" t="inlineStr"/>
      <c r="K3566" s="3" t="inlineStr">
        <is>
          <t>Телефильм. Драма по одноименному роману Бориса Васильева, который принимал участие в написании сценария, но снял свою фамилию с титров. Фильм рассказывает о судьбе вроде бы непутевого деревенского мужика Егора Полушкина, за которым закрепилось прозвище "бедоносец". На самом деле беда этого непрактичного человека в том, что он непохож на большинство односельчан.</t>
        </is>
      </c>
      <c r="L3566" s="2" t="inlineStr">
        <is>
          <t>Кино_СССР сводный каталог.xlsx: список телефильмов</t>
        </is>
      </c>
      <c r="M3566" s="2">
        <f>HYPERLINK("https://ru.wikipedia.org/w/index.php?search=%D0%9D%D0%B5%20%D1%81%D1%82%D1%80%D0%B5%D0%BB%D1%8F%D0%B9%D1%82%D0%B5%20%D0%B2%20%D0%B1%D0%B5%D0%BB%D1%8B%D1%85%20%D0%BB%D0%B5%D0%B1%D0%B5%D0%B4%D0%B5%D0%B9%201980%20%D1%84%D0%B8%D0%BB%D1%8C%D0%BC","искать")</f>
        <v/>
      </c>
      <c r="N3566" s="3" t="n"/>
      <c r="O3566" s="2" t="n"/>
    </row>
    <row r="3567">
      <c r="A3567" s="2" t="n">
        <v>3566</v>
      </c>
      <c r="B3567" s="2" t="inlineStr"/>
      <c r="C3567" s="2" t="n">
        <v>8326</v>
      </c>
      <c r="D3567" s="3" t="inlineStr">
        <is>
          <t>Семейный альбом</t>
        </is>
      </c>
      <c r="E3567" s="2" t="n">
        <v>1978</v>
      </c>
      <c r="F3567" s="2" t="inlineStr">
        <is>
          <t>телефильм</t>
        </is>
      </c>
      <c r="G3567" s="2" t="n"/>
      <c r="H3567" s="2" t="n">
        <v>363</v>
      </c>
      <c r="I3567" s="2" t="inlineStr"/>
      <c r="J3567" s="2" t="inlineStr"/>
      <c r="K3567" s="3" t="inlineStr">
        <is>
          <t>Дочь доктора Ранде Ирма, свято хранящая все, что напоминает ей об отце и его деятельности, страстно желает, чтобы ее сын Ивар пошел по стопам деда. Для него она бережет и не отдает в музейную экспозицию последнюю из научных разработок отца. Но, проживший всю жизнь под диктовку матери, Ивар вдруг начинает выходить из-под ее влияния и собирается стать дизайнером.</t>
        </is>
      </c>
      <c r="L3567" s="2" t="inlineStr">
        <is>
          <t>Кино_СССР сводный каталог.xlsx: список телефильмов</t>
        </is>
      </c>
      <c r="M3567" s="2">
        <f>HYPERLINK("https://ru.wikipedia.org/w/index.php?search=%D0%A1%D0%B5%D0%BC%D0%B5%D0%B9%D0%BD%D1%8B%D0%B9%20%D0%B0%D0%BB%D1%8C%D0%B1%D0%BE%D0%BC%201978%20%D1%84%D0%B8%D0%BB%D1%8C%D0%BC","искать")</f>
        <v/>
      </c>
      <c r="N3567" s="3" t="n"/>
      <c r="O3567" s="2" t="n"/>
    </row>
    <row r="3568">
      <c r="A3568" s="2" t="n">
        <v>3567</v>
      </c>
      <c r="B3568" s="2" t="inlineStr"/>
      <c r="C3568" s="2" t="n">
        <v>8844</v>
      </c>
      <c r="D3568" s="3" t="inlineStr">
        <is>
          <t>Мордашка</t>
        </is>
      </c>
      <c r="E3568" s="2" t="n">
        <v>1990</v>
      </c>
      <c r="F3568" s="2" t="inlineStr">
        <is>
          <t>кинофильм</t>
        </is>
      </c>
      <c r="G3568" s="2" t="n"/>
      <c r="H3568" s="2" t="n">
        <v>363</v>
      </c>
      <c r="I3568" s="2" t="inlineStr"/>
      <c r="J3568" s="2" t="inlineStr"/>
      <c r="K3568" s="3" t="inlineStr">
        <is>
          <t>Смирившись с тем, что, кроме внешней привлекательности, он не обладает никакими талантами, герой фильма решает выгодно жениться. Очень скоро находится и состоятельная невеста, женщина, "приятная во всех отношениях"... Любимец публики Дмитрий Харатьян и блестящий состав звезд российского кинематографа в изящной музыкальной комедии с легким эротическим привкусом.</t>
        </is>
      </c>
      <c r="L3568" s="2" t="inlineStr">
        <is>
          <t>Кино_СССР сводный каталог.xlsx: список фильмов (доп.)</t>
        </is>
      </c>
      <c r="M3568" s="2">
        <f>HYPERLINK("https://ru.wikipedia.org/w/index.php?search=%D0%9C%D0%BE%D1%80%D0%B4%D0%B0%D1%88%D0%BA%D0%B0%201990%20%D1%84%D0%B8%D0%BB%D1%8C%D0%BC","искать")</f>
        <v/>
      </c>
      <c r="N3568" s="3" t="n"/>
      <c r="O3568" s="2" t="n"/>
    </row>
    <row r="3569">
      <c r="A3569" s="2" t="n">
        <v>3568</v>
      </c>
      <c r="B3569" s="2" t="inlineStr"/>
      <c r="C3569" s="2" t="n">
        <v>9169</v>
      </c>
      <c r="D3569" s="3" t="inlineStr">
        <is>
          <t>Шанырак</t>
        </is>
      </c>
      <c r="E3569" s="2" t="n">
        <v>1987</v>
      </c>
      <c r="F3569" s="2" t="inlineStr">
        <is>
          <t>кинофильм</t>
        </is>
      </c>
      <c r="G3569" s="2" t="n"/>
      <c r="H3569" s="2" t="n">
        <v>363</v>
      </c>
      <c r="I3569" s="2" t="inlineStr"/>
      <c r="J3569" s="2" t="inlineStr"/>
      <c r="K3569" s="3" t="inlineStr">
        <is>
          <t>Главный герой испытывает сильные чувства к молодой красавице и собирается действовать по старинному восточному обычаю – украсть невесту и жениться на ней. Как обычно и бывает, родственники девушки не в восторге от этой идеи и, в результате их махинаций, главный герой отправляется в тюрьму. Его возлюбленная же начинает строить совместную жизнь с другим мужчиной.</t>
        </is>
      </c>
      <c r="L3569" s="2" t="inlineStr">
        <is>
          <t>Кино_СССР сводный каталог.xlsx: список фильмов (доп.)</t>
        </is>
      </c>
      <c r="M3569" s="2">
        <f>HYPERLINK("https://ru.wikipedia.org/w/index.php?search=%D0%A8%D0%B0%D0%BD%D1%8B%D1%80%D0%B0%D0%BA%201987%20%D1%84%D0%B8%D0%BB%D1%8C%D0%BC","искать")</f>
        <v/>
      </c>
      <c r="N3569" s="3" t="n"/>
      <c r="O3569" s="2" t="n"/>
    </row>
    <row r="3570">
      <c r="A3570" s="2" t="n">
        <v>3569</v>
      </c>
      <c r="B3570" s="2" t="inlineStr"/>
      <c r="C3570" s="2" t="n">
        <v>9607</v>
      </c>
      <c r="D3570" s="3" t="inlineStr">
        <is>
          <t>Пусть я умру, господи...</t>
        </is>
      </c>
      <c r="E3570" s="2" t="n">
        <v>1988</v>
      </c>
      <c r="F3570" s="2" t="inlineStr">
        <is>
          <t>кинофильм</t>
        </is>
      </c>
      <c r="G3570" s="2" t="n"/>
      <c r="H3570" s="2" t="n">
        <v>363</v>
      </c>
      <c r="I3570" s="2" t="inlineStr"/>
      <c r="J3570" s="2" t="inlineStr"/>
      <c r="K3570" s="3" t="inlineStr">
        <is>
          <t>Перед сносом детского дома, почти всех детей перевели в другие интернаты, но шесть девочек и их воспитательница остались. Ольга, одна из воспитанниц, получает приглашение сниматься в кино и соглашается. Съемки фильма и знакомство с другим миром ожесточают ее - и она уже совсем по-другому воспринимает проблемы своих подруг и почти ненавидит свою воспитательницу.</t>
        </is>
      </c>
      <c r="L3570" s="2" t="inlineStr">
        <is>
          <t>Кино_СССР сводный каталог.xlsx: список фильмов (доп.)</t>
        </is>
      </c>
      <c r="M3570" s="2">
        <f>HYPERLINK("https://ru.wikipedia.org/w/index.php?search=%D0%9F%D1%83%D1%81%D1%82%D1%8C%20%D1%8F%20%D1%83%D0%BC%D1%80%D1%83%2C%20%D0%B3%D0%BE%D1%81%D0%BF%D0%BE%D0%B4%D0%B8...%201988%20%D1%84%D0%B8%D0%BB%D1%8C%D0%BC","искать")</f>
        <v/>
      </c>
      <c r="N3570" s="3" t="n"/>
      <c r="O3570" s="2" t="n"/>
    </row>
    <row r="3571">
      <c r="A3571" s="2" t="n">
        <v>3570</v>
      </c>
      <c r="B3571" s="2" t="inlineStr"/>
      <c r="C3571" s="2" t="n">
        <v>11156</v>
      </c>
      <c r="D3571" s="3" t="inlineStr">
        <is>
          <t>Игра в детектив. Выпуск 1</t>
        </is>
      </c>
      <c r="E3571" s="2" t="n">
        <v>1987</v>
      </c>
      <c r="F3571" s="2" t="inlineStr">
        <is>
          <t>фильм-спектакль</t>
        </is>
      </c>
      <c r="G3571" s="2" t="inlineStr">
        <is>
          <t>Главная редакция литературно-драматических программ ЦТ</t>
        </is>
      </c>
      <c r="H3571" s="2" t="n">
        <v>363</v>
      </c>
      <c r="I3571" s="2" t="inlineStr"/>
      <c r="J3571" s="2" t="inlineStr"/>
      <c r="K3571" s="3" t="inlineStr">
        <is>
          <t>Первый выпуск из цикла "Игра в детектив". Телеспектакль состоит из четырех детективных историй. Каждая история содержит в себе загадку, разгадать которую Автор предлагает зрителям, не давая своим героям - Инспектору и Сержанту - раскрыть результаты расследований.
Новелла 1: Жемчужина
Новелла 2: Киднап
Новелла 3: Вилла "Ромашка"
Новелла 4: Тайна старинного замка</t>
        </is>
      </c>
      <c r="L3571" s="2" t="inlineStr">
        <is>
          <t>https://www.kino-teatr.ru/teatr/movie/16547/annot/</t>
        </is>
      </c>
      <c r="M3571" s="2">
        <f>HYPERLINK("https://ru.wikipedia.org/w/index.php?search=%D0%98%D0%B3%D1%80%D0%B0%20%D0%B2%20%D0%B4%D0%B5%D1%82%D0%B5%D0%BA%D1%82%D0%B8%D0%B2.%20%D0%92%D1%8B%D0%BF%D1%83%D1%81%D0%BA%201%201987%20%D1%84%D0%B8%D0%BB%D1%8C%D0%BC","искать")</f>
        <v/>
      </c>
      <c r="N3571" s="3" t="n"/>
      <c r="O3571" s="2" t="n"/>
    </row>
    <row r="3572">
      <c r="A3572" s="2" t="n">
        <v>3571</v>
      </c>
      <c r="B3572" s="2" t="inlineStr"/>
      <c r="C3572" s="2" t="n">
        <v>11377</v>
      </c>
      <c r="D3572" s="3" t="inlineStr">
        <is>
          <t>Лючия ди Ламмермур</t>
        </is>
      </c>
      <c r="E3572" s="2" t="n">
        <v>1980</v>
      </c>
      <c r="F3572" s="2" t="inlineStr">
        <is>
          <t>фильм-опера/балет</t>
        </is>
      </c>
      <c r="G3572" s="2" t="n"/>
      <c r="H3572" s="2" t="n">
        <v>363</v>
      </c>
      <c r="I3572" s="2" t="inlineStr"/>
      <c r="J3572" s="2" t="inlineStr"/>
      <c r="K3572" s="3" t="inlineStr">
        <is>
          <t>Фильм-опера на музыку Гаэтано Доницетти. Действие происходит в конце XVI века в Шотландии. Влюбленные Эдгар и Лючия мечтают о счастье, но брат Лючии Генри готовит ее брак с другим человеком. Он принуждает сестру подписать брачный договор и вступить в открытую борьбу с Эдгаром. Несчастная Лючия в свою первую брачную ночь убивает ненавистного мужа и сходит с ума.</t>
        </is>
      </c>
      <c r="L3572" s="2" t="inlineStr">
        <is>
          <t>Кино_СССР телефильмы и пропуски включить в базу.xlsx</t>
        </is>
      </c>
      <c r="M3572" s="2">
        <f>HYPERLINK("https://ru.wikipedia.org/w/index.php?search=%D0%9B%D1%8E%D1%87%D0%B8%D1%8F%20%D0%B4%D0%B8%20%D0%9B%D0%B0%D0%BC%D0%BC%D0%B5%D1%80%D0%BC%D1%83%D1%80%201980%20%D1%84%D0%B8%D0%BB%D1%8C%D0%BC","искать")</f>
        <v/>
      </c>
      <c r="N3572" s="3" t="n"/>
      <c r="O3572" s="2" t="n"/>
    </row>
    <row r="3573">
      <c r="A3573" s="2" t="n">
        <v>3572</v>
      </c>
      <c r="B3573" s="2" t="inlineStr"/>
      <c r="C3573" s="2" t="n">
        <v>7371</v>
      </c>
      <c r="D3573" s="3" t="inlineStr">
        <is>
          <t>Вольный ветер</t>
        </is>
      </c>
      <c r="E3573" s="2" t="n">
        <v>1983</v>
      </c>
      <c r="F3573" s="2" t="inlineStr">
        <is>
          <t>телефильм</t>
        </is>
      </c>
      <c r="G3573" s="2" t="inlineStr">
        <is>
          <t>Ленфильм</t>
        </is>
      </c>
      <c r="H3573" s="2" t="n">
        <v>364</v>
      </c>
      <c r="I3573" s="2" t="inlineStr"/>
      <c r="J3573" s="2" t="inlineStr"/>
      <c r="K3573" s="3" t="inlineStr">
        <is>
          <t>Телефильм по мотивам либретто оперетты В. Винникова, В. Типота, В. Крахта. Красавица Стелла (Белогурова), дочь погибшего в море моряка, живет в портовом городе с мамой. Судовладелец Стэн (Водяной) грозится выгнать их из дома, если они не заплатят за полгода или если Стелла не выйдет за него замуж. В городе появляется красавец Янко, моряк и повстанец (Харитонов).</t>
        </is>
      </c>
      <c r="L3573" s="2" t="inlineStr">
        <is>
          <t>Кино_СССР сводный каталог.xlsx: список телефильмов</t>
        </is>
      </c>
      <c r="M3573" s="2">
        <f>HYPERLINK("https://ru.wikipedia.org/w/index.php?search=%D0%92%D0%BE%D0%BB%D1%8C%D0%BD%D1%8B%D0%B9%20%D0%B2%D0%B5%D1%82%D0%B5%D1%80%201983%20%D1%84%D0%B8%D0%BB%D1%8C%D0%BC","искать")</f>
        <v/>
      </c>
      <c r="N3573" s="3" t="n"/>
      <c r="O3573" s="2" t="n"/>
    </row>
    <row r="3574">
      <c r="A3574" s="2" t="n">
        <v>3573</v>
      </c>
      <c r="B3574" s="2" t="inlineStr"/>
      <c r="C3574" s="2" t="n">
        <v>7486</v>
      </c>
      <c r="D3574" s="3" t="inlineStr">
        <is>
          <t>Двое в пути</t>
        </is>
      </c>
      <c r="E3574" s="2" t="n">
        <v>1973</v>
      </c>
      <c r="F3574" s="2" t="inlineStr">
        <is>
          <t>телефильм</t>
        </is>
      </c>
      <c r="G3574" s="2" t="n"/>
      <c r="H3574" s="2" t="n">
        <v>364</v>
      </c>
      <c r="I3574" s="2" t="inlineStr"/>
      <c r="J3574" s="2" t="inlineStr"/>
      <c r="K3574" s="3" t="inlineStr">
        <is>
          <t>Телефильм. Оля Чумакова, приехав в родную деревню в отпуск, знакомится с молодым морячком, который прислал ей письмо со своей фотографией, но эта встреча глубоко ранит ее девичье самолюбие. С помощью сестры Кати Оля принимает решение проучить его: она изображает, что у нее завязался роман с водителем грузовика Асхатом, с которым она работает на уборке картофеля.</t>
        </is>
      </c>
      <c r="L3574" s="2" t="inlineStr">
        <is>
          <t>Кино_СССР сводный каталог.xlsx: список телефильмов</t>
        </is>
      </c>
      <c r="M3574" s="2">
        <f>HYPERLINK("https://ru.wikipedia.org/w/index.php?search=%D0%94%D0%B2%D0%BE%D0%B5%20%D0%B2%20%D0%BF%D1%83%D1%82%D0%B8%201973%20%D1%84%D0%B8%D0%BB%D1%8C%D0%BC","искать")</f>
        <v/>
      </c>
      <c r="N3574" s="3" t="n"/>
      <c r="O3574" s="2" t="n"/>
    </row>
    <row r="3575">
      <c r="A3575" s="2" t="n">
        <v>3574</v>
      </c>
      <c r="B3575" s="2" t="inlineStr"/>
      <c r="C3575" s="2" t="n">
        <v>8434</v>
      </c>
      <c r="D3575" s="3" t="inlineStr">
        <is>
          <t>Тайные милости</t>
        </is>
      </c>
      <c r="E3575" s="2" t="n">
        <v>1989</v>
      </c>
      <c r="F3575" s="2" t="inlineStr">
        <is>
          <t>телефильм</t>
        </is>
      </c>
      <c r="G3575" s="2" t="n"/>
      <c r="H3575" s="2" t="n">
        <v>364</v>
      </c>
      <c r="I3575" s="2" t="inlineStr"/>
      <c r="J3575" s="2" t="inlineStr"/>
      <c r="K3575" s="3" t="inlineStr">
        <is>
          <t>По мотивам одноименного романа В.Михальского. Действие фильма происходит в небольшом южном городке, основная проблема которого - отсутствие бесперебойного водоснабжения. Молодой заместитель председателя горисполкома предлагает ускорить строительство водопровода, проведя его через поселок "Шанхай", самовольно застроенный людьми, тем самым лишая сотни семей крова.</t>
        </is>
      </c>
      <c r="L3575" s="2" t="inlineStr">
        <is>
          <t>Кино_СССР сводный каталог.xlsx: список телефильмов</t>
        </is>
      </c>
      <c r="M3575" s="2">
        <f>HYPERLINK("https://ru.wikipedia.org/w/index.php?search=%D0%A2%D0%B0%D0%B9%D0%BD%D1%8B%D0%B5%20%D0%BC%D0%B8%D0%BB%D0%BE%D1%81%D1%82%D0%B8%201989%20%D1%84%D0%B8%D0%BB%D1%8C%D0%BC","искать")</f>
        <v/>
      </c>
      <c r="N3575" s="3" t="n"/>
      <c r="O3575" s="2" t="n"/>
    </row>
    <row r="3576">
      <c r="A3576" s="2" t="n">
        <v>3575</v>
      </c>
      <c r="B3576" s="2" t="inlineStr"/>
      <c r="C3576" s="2" t="n">
        <v>8478</v>
      </c>
      <c r="D3576" s="3" t="inlineStr">
        <is>
          <t>Три дня на размышление</t>
        </is>
      </c>
      <c r="E3576" s="2" t="n">
        <v>1980</v>
      </c>
      <c r="F3576" s="2" t="inlineStr">
        <is>
          <t>телефильм</t>
        </is>
      </c>
      <c r="G3576" s="2" t="n"/>
      <c r="H3576" s="2" t="n">
        <v>364</v>
      </c>
      <c r="I3576" s="2" t="inlineStr"/>
      <c r="J3576" s="2" t="inlineStr"/>
      <c r="K3576" s="3" t="inlineStr">
        <is>
          <t>В основе телефильма - подлинные события, связанные с раскрытием преступления латвийскими органами внутренних дел. Полковник Ульф - ветеран милиции с большим опытом. Для Грауда это - первое дело и серьезное испытание профессионального мастерства, ему только предстоит научиться непредвзято общаться с людьми, проявлять выдержку и смекалку в трудных обстоятельствах.</t>
        </is>
      </c>
      <c r="L3576" s="2" t="inlineStr">
        <is>
          <t>Кино_СССР сводный каталог.xlsx: список телефильмов</t>
        </is>
      </c>
      <c r="M3576" s="2">
        <f>HYPERLINK("https://ru.wikipedia.org/w/index.php?search=%D0%A2%D1%80%D0%B8%20%D0%B4%D0%BD%D1%8F%20%D0%BD%D0%B0%20%D1%80%D0%B0%D0%B7%D0%BC%D1%8B%D1%88%D0%BB%D0%B5%D0%BD%D0%B8%D0%B5%201980%20%D1%84%D0%B8%D0%BB%D1%8C%D0%BC","искать")</f>
        <v/>
      </c>
      <c r="N3576" s="3" t="n"/>
      <c r="O3576" s="2" t="n"/>
    </row>
    <row r="3577">
      <c r="A3577" s="2" t="n">
        <v>3576</v>
      </c>
      <c r="B3577" s="2" t="inlineStr"/>
      <c r="C3577" s="2" t="n">
        <v>9496</v>
      </c>
      <c r="D3577" s="3" t="inlineStr">
        <is>
          <t>Не помню лица твоего</t>
        </is>
      </c>
      <c r="E3577" s="2" t="n">
        <v>1988</v>
      </c>
      <c r="F3577" s="2" t="inlineStr">
        <is>
          <t>кинофильм</t>
        </is>
      </c>
      <c r="G3577" s="2" t="n"/>
      <c r="H3577" s="2" t="n">
        <v>364</v>
      </c>
      <c r="I3577" s="2" t="inlineStr"/>
      <c r="J3577" s="2" t="inlineStr"/>
      <c r="K3577" s="3" t="inlineStr">
        <is>
          <t>История первой любви, настигшей героев в санатории для подростков, страдающих сердечными заболеваниями — на самом деле, не главное событие сюжета. Фильм — о том, как авторитарный режим стремится подавить — и подавляет — любое человеческое стремление к вольности. В чем оно проявляется — в любви ли, в чтении недозволенных книг, в экстравагантной одежде — не важно.</t>
        </is>
      </c>
      <c r="L3577" s="2" t="inlineStr">
        <is>
          <t>Кино_СССР сводный каталог.xlsx: список фильмов (доп.)</t>
        </is>
      </c>
      <c r="M3577" s="2">
        <f>HYPERLINK("https://ru.wikipedia.org/w/index.php?search=%D0%9D%D0%B5%20%D0%BF%D0%BE%D0%BC%D0%BD%D1%8E%20%D0%BB%D0%B8%D1%86%D0%B0%20%D1%82%D0%B2%D0%BE%D0%B5%D0%B3%D0%BE%201988%20%D1%84%D0%B8%D0%BB%D1%8C%D0%BC","искать")</f>
        <v/>
      </c>
      <c r="N3577" s="3" t="n"/>
      <c r="O3577" s="2" t="n"/>
    </row>
    <row r="3578">
      <c r="A3578" s="2" t="n">
        <v>3577</v>
      </c>
      <c r="B3578" s="2" t="inlineStr"/>
      <c r="C3578" s="2" t="n">
        <v>10415</v>
      </c>
      <c r="D3578" s="3" t="inlineStr">
        <is>
          <t>Принцесса Турандот</t>
        </is>
      </c>
      <c r="E3578" s="2" t="n">
        <v>1971</v>
      </c>
      <c r="F3578" s="2" t="inlineStr">
        <is>
          <t>фильм-спектакль</t>
        </is>
      </c>
      <c r="G3578" s="2" t="inlineStr">
        <is>
          <t>Гл. ред. лит-драм программ</t>
        </is>
      </c>
      <c r="H3578" s="2" t="n">
        <v>364</v>
      </c>
      <c r="I3578" s="2" t="inlineStr"/>
      <c r="J3578" s="2" t="inlineStr"/>
      <c r="K3578" s="3" t="inlineStr">
        <is>
          <t>По сказке Карло Гоцци
Запись с экрана кинескопа спектакля театра им. Вахтангова, поставленного в 1922 году Евгением Вахтанговым и восстановленного Рубеном Симоновым. Спектакль в 3-х действиях, 6 картинах.
Комедия о любви принца Калафа к принцессе Турандот. Спектакль ведут четыре традиционные маски итальянской комедии: Бригелла, Труффальдино, Тарталья, Пантолоне.</t>
        </is>
      </c>
      <c r="L3578" s="2" t="inlineStr">
        <is>
          <t>https://www.kino-teatr.ru/teatr/movie/5688/annot/</t>
        </is>
      </c>
      <c r="M3578" s="2">
        <f>HYPERLINK("https://ru.wikipedia.org/w/index.php?search=%D0%9F%D1%80%D0%B8%D0%BD%D1%86%D0%B5%D1%81%D1%81%D0%B0%20%D0%A2%D1%83%D1%80%D0%B0%D0%BD%D0%B4%D0%BE%D1%82%201971%20%D1%84%D0%B8%D0%BB%D1%8C%D0%BC","искать")</f>
        <v/>
      </c>
      <c r="N3578" s="3" t="n"/>
      <c r="O3578" s="2" t="n"/>
    </row>
    <row r="3579">
      <c r="A3579" s="2" t="n">
        <v>3578</v>
      </c>
      <c r="B3579" s="2" t="inlineStr"/>
      <c r="C3579" s="2" t="n">
        <v>7374</v>
      </c>
      <c r="D3579" s="3" t="inlineStr">
        <is>
          <t>Воскресенье, половина седьмого</t>
        </is>
      </c>
      <c r="E3579" s="2" t="n">
        <v>1988</v>
      </c>
      <c r="F3579" s="2" t="inlineStr">
        <is>
          <t>телефильм</t>
        </is>
      </c>
      <c r="G3579" s="2" t="inlineStr">
        <is>
          <t>Творческое объединение «Экран»</t>
        </is>
      </c>
      <c r="H3579" s="2" t="n">
        <v>365</v>
      </c>
      <c r="I3579" s="2" t="inlineStr"/>
      <c r="J3579" s="2" t="inlineStr"/>
      <c r="K3579" s="3" t="inlineStr">
        <is>
          <t>По сценарию Анатолия Рыбакова как продолжение фильмов «Каникулы Кроша» (1980) и «Неизвестный солдат» (1984) с Василием Фунтиковым в роли Сергея Крашенинникова («Кроша»). Студент-практикант юридического факультета Сергей Крашенинников расследует дело о гибели девушки Сони Смирновой. Казалось бы, все говорит о том, что смерть девушки - результат несчастного случая.</t>
        </is>
      </c>
      <c r="L3579" s="2" t="inlineStr">
        <is>
          <t>Кино_СССР сводный каталог.xlsx: список телефильмов</t>
        </is>
      </c>
      <c r="M3579" s="2">
        <f>HYPERLINK("https://ru.wikipedia.org/w/index.php?search=%D0%92%D0%BE%D1%81%D0%BA%D1%80%D0%B5%D1%81%D0%B5%D0%BD%D1%8C%D0%B5%2C%20%D0%BF%D0%BE%D0%BB%D0%BE%D0%B2%D0%B8%D0%BD%D0%B0%20%D1%81%D0%B5%D0%B4%D1%8C%D0%BC%D0%BE%D0%B3%D0%BE%201988%20%D1%84%D0%B8%D0%BB%D1%8C%D0%BC","искать")</f>
        <v/>
      </c>
      <c r="N3579" s="3" t="n"/>
      <c r="O3579" s="2" t="n"/>
    </row>
    <row r="3580">
      <c r="A3580" s="2" t="n">
        <v>3579</v>
      </c>
      <c r="B3580" s="2" t="inlineStr"/>
      <c r="C3580" s="2" t="n">
        <v>7512</v>
      </c>
      <c r="D3580" s="3" t="inlineStr">
        <is>
          <t>Джура - охотник из Мин-Архара</t>
        </is>
      </c>
      <c r="E3580" s="2" t="n">
        <v>1985</v>
      </c>
      <c r="F3580" s="2" t="inlineStr">
        <is>
          <t>телефильм</t>
        </is>
      </c>
      <c r="G3580" s="2" t="n"/>
      <c r="H3580" s="2" t="n">
        <v>365</v>
      </c>
      <c r="I3580" s="2" t="inlineStr"/>
      <c r="J3580" s="2" t="inlineStr"/>
      <c r="K3580" s="3" t="inlineStr">
        <is>
          <t>По мотива романа Георгия Тушкана "Джура". События фильма происходят в Туркестане в 1928 году. Высоко в горах Памира затерялся кишлак Мин-Архар. Неподалеку от него пролегла тропа, по которой из-за границы проникают на советскую территорию басмачи и контрабандисты. Молодой охотник Джура и его возлюбленная Зейнаб помогают пограничникам сорвать их преступные замыслы.</t>
        </is>
      </c>
      <c r="L3580" s="2" t="inlineStr">
        <is>
          <t>Кино_СССР сводный каталог.xlsx: список телефильмов</t>
        </is>
      </c>
      <c r="M3580" s="2">
        <f>HYPERLINK("https://ru.wikipedia.org/w/index.php?search=%D0%94%D0%B6%D1%83%D1%80%D0%B0%20-%20%D0%BE%D1%85%D0%BE%D1%82%D0%BD%D0%B8%D0%BA%20%D0%B8%D0%B7%20%D0%9C%D0%B8%D0%BD-%D0%90%D1%80%D1%85%D0%B0%D1%80%D0%B0%201985%20%D1%84%D0%B8%D0%BB%D1%8C%D0%BC","искать")</f>
        <v/>
      </c>
      <c r="N3580" s="3" t="n"/>
      <c r="O3580" s="2" t="n"/>
    </row>
    <row r="3581">
      <c r="A3581" s="2" t="n">
        <v>3580</v>
      </c>
      <c r="B3581" s="2" t="inlineStr"/>
      <c r="C3581" s="2" t="n">
        <v>7675</v>
      </c>
      <c r="D3581" s="3" t="inlineStr">
        <is>
          <t>Игра хамелеона</t>
        </is>
      </c>
      <c r="E3581" s="2" t="n">
        <v>1986</v>
      </c>
      <c r="F3581" s="2" t="inlineStr">
        <is>
          <t>телефильм</t>
        </is>
      </c>
      <c r="G3581" s="2" t="n"/>
      <c r="H3581" s="2" t="n">
        <v>365</v>
      </c>
      <c r="I3581" s="2" t="inlineStr"/>
      <c r="J3581" s="2" t="inlineStr"/>
      <c r="K3581" s="3" t="inlineStr">
        <is>
          <t>По мотивам пьесы французского писателя Ж.-П.Сартра "Только правда". Париж, 1955 год. Мошенник Жорж де Валера, скрывающийся от полиции, с помощью корреспондента реакционной газеты Сибило выдает себя за министра Дубова, якобы сбежавшего из Советского Союза. Дочь Сибило объясняет Жоржу цель задуманной акции: оклеветать с помощью лже-Дубова прогрессивных журналистов.</t>
        </is>
      </c>
      <c r="L3581" s="2" t="inlineStr">
        <is>
          <t>Кино_СССР сводный каталог.xlsx: список телефильмов</t>
        </is>
      </c>
      <c r="M3581" s="2">
        <f>HYPERLINK("https://ru.wikipedia.org/w/index.php?search=%D0%98%D0%B3%D1%80%D0%B0%20%D1%85%D0%B0%D0%BC%D0%B5%D0%BB%D0%B5%D0%BE%D0%BD%D0%B0%201986%20%D1%84%D0%B8%D0%BB%D1%8C%D0%BC","искать")</f>
        <v/>
      </c>
      <c r="N3581" s="3" t="n"/>
      <c r="O3581" s="2" t="n"/>
    </row>
    <row r="3582">
      <c r="A3582" s="2" t="n">
        <v>3581</v>
      </c>
      <c r="B3582" s="2" t="inlineStr"/>
      <c r="C3582" s="2" t="n">
        <v>7725</v>
      </c>
      <c r="D3582" s="3" t="inlineStr">
        <is>
          <t>Каштанка</t>
        </is>
      </c>
      <c r="E3582" s="2" t="n">
        <v>1975</v>
      </c>
      <c r="F3582" s="2" t="inlineStr">
        <is>
          <t>телефильм</t>
        </is>
      </c>
      <c r="G3582" s="2" t="n"/>
      <c r="H3582" s="2" t="n">
        <v>365</v>
      </c>
      <c r="I3582" s="2" t="inlineStr"/>
      <c r="J3582" s="2" t="inlineStr"/>
      <c r="K3582" s="3" t="inlineStr">
        <is>
          <t>Телефильм. Экранизация известного рассказа А.П.Чехова о путешествиях и приключениях заблудившейся собаки. Рассказывает исполнитель одной из ролей Лев Дуров: "Встреча с героями Чехова- всегда большая радость и творческое наслаждение для каждого актера. И в то же время большая ответственность, тем более когда речь идет об экранизации хорошо известного произведения.</t>
        </is>
      </c>
      <c r="L3582" s="2" t="inlineStr">
        <is>
          <t>Кино_СССР сводный каталог.xlsx: список телефильмов</t>
        </is>
      </c>
      <c r="M3582" s="2">
        <f>HYPERLINK("https://ru.wikipedia.org/w/index.php?search=%D0%9A%D0%B0%D1%88%D1%82%D0%B0%D0%BD%D0%BA%D0%B0%201975%20%D1%84%D0%B8%D0%BB%D1%8C%D0%BC","искать")</f>
        <v/>
      </c>
      <c r="N3582" s="3" t="n"/>
      <c r="O3582" s="2" t="n"/>
    </row>
    <row r="3583">
      <c r="A3583" s="2" t="n">
        <v>3582</v>
      </c>
      <c r="B3583" s="2" t="inlineStr"/>
      <c r="C3583" s="2" t="n">
        <v>8819</v>
      </c>
      <c r="D3583" s="3" t="inlineStr">
        <is>
          <t>Маньчжурский вариант</t>
        </is>
      </c>
      <c r="E3583" s="2" t="n">
        <v>1989</v>
      </c>
      <c r="F3583" s="2" t="inlineStr">
        <is>
          <t>кинофильм</t>
        </is>
      </c>
      <c r="G3583" s="2" t="n"/>
      <c r="H3583" s="2" t="n">
        <v>365</v>
      </c>
      <c r="I3583" s="2" t="inlineStr"/>
      <c r="J3583" s="2" t="inlineStr"/>
      <c r="K3583" s="3" t="inlineStr">
        <is>
          <t>По мотивам повести Анатолия Ромова "Хокуман-отель", созданной на документальной основе. Третий фильм трилогии о разведчике Чадьярове, начатой лентами "Конец атамана" и "Транссибирский экспресс". Действие этого фильма происходит в Маньчжурии в августе 1945 года. Герой картины - разведчик Чадьяров, он же - хозяин отеля для высших чиновников японской армии Исидзима.</t>
        </is>
      </c>
      <c r="L3583" s="2" t="inlineStr">
        <is>
          <t>Кино_СССР сводный каталог.xlsx: список фильмов (доп.)</t>
        </is>
      </c>
      <c r="M3583" s="2">
        <f>HYPERLINK("https://ru.wikipedia.org/w/index.php?search=%D0%9C%D0%B0%D0%BD%D1%8C%D1%87%D0%B6%D1%83%D1%80%D1%81%D0%BA%D0%B8%D0%B9%20%D0%B2%D0%B0%D1%80%D0%B8%D0%B0%D0%BD%D1%82%201989%20%D1%84%D0%B8%D0%BB%D1%8C%D0%BC","искать")</f>
        <v/>
      </c>
      <c r="N3583" s="3" t="n"/>
      <c r="O3583" s="2" t="n"/>
    </row>
    <row r="3584">
      <c r="A3584" s="2" t="n">
        <v>3583</v>
      </c>
      <c r="B3584" s="2" t="inlineStr"/>
      <c r="C3584" s="2" t="n">
        <v>9150</v>
      </c>
      <c r="D3584" s="3" t="inlineStr">
        <is>
          <t>Царская охота</t>
        </is>
      </c>
      <c r="E3584" s="2" t="n">
        <v>1990</v>
      </c>
      <c r="F3584" s="2" t="inlineStr">
        <is>
          <t>кинофильм</t>
        </is>
      </c>
      <c r="G3584" s="2" t="n"/>
      <c r="H3584" s="2" t="n">
        <v>365</v>
      </c>
      <c r="I3584" s="2" t="inlineStr"/>
      <c r="J3584" s="2" t="inlineStr"/>
      <c r="K3584" s="3" t="inlineStr">
        <is>
          <t>По мотивам одноименной пьесы Леонида Зорина. История юной красавицы княжны Елизаветы Таракановой, объявившей себя дочерью императрицы Елизаветы Петровны и претенденткой на российский царский трон, которую сгубила знойная страсть - любовь к Алексею Орлову, фавориту Екатерины. В результате предательства графа Орлова она оказывается узницей Петропавловской крепости.</t>
        </is>
      </c>
      <c r="L3584" s="2" t="inlineStr">
        <is>
          <t>Кино_СССР сводный каталог.xlsx: список фильмов (доп.)</t>
        </is>
      </c>
      <c r="M3584" s="2">
        <f>HYPERLINK("https://ru.wikipedia.org/w/index.php?search=%D0%A6%D0%B0%D1%80%D1%81%D0%BA%D0%B0%D1%8F%20%D0%BE%D1%85%D0%BE%D1%82%D0%B0%201990%20%D1%84%D0%B8%D0%BB%D1%8C%D0%BC","искать")</f>
        <v/>
      </c>
      <c r="N3584" s="3" t="n"/>
      <c r="O3584" s="2" t="n"/>
    </row>
    <row r="3585">
      <c r="A3585" s="2" t="n">
        <v>3584</v>
      </c>
      <c r="B3585" s="2" t="inlineStr"/>
      <c r="C3585" s="2" t="n">
        <v>9300</v>
      </c>
      <c r="D3585" s="3" t="inlineStr">
        <is>
          <t>Гарем Степана Гуслякова</t>
        </is>
      </c>
      <c r="E3585" s="2" t="n">
        <v>1989</v>
      </c>
      <c r="F3585" s="2" t="inlineStr">
        <is>
          <t>кинофильм</t>
        </is>
      </c>
      <c r="G3585" s="2" t="inlineStr">
        <is>
          <t>Катарсис</t>
        </is>
      </c>
      <c r="H3585" s="2" t="n">
        <v>365</v>
      </c>
      <c r="I3585" s="2" t="inlineStr"/>
      <c r="J3585" s="2" t="inlineStr"/>
      <c r="K3585" s="3" t="inlineStr">
        <is>
          <t>По мотивам рассказа Б.Лапина "Клавдюшка". Событийный ряд фильма очерчен жесткой драматургической ситуацией, касающейся судьбы одной деревенской семьи. Или двух?.. Неожиданно пришло горе в семью Степана Гуслякова. Любимая жена Клавдия, Клавдюшка, как он ее называл, оказалась на пороге смерти и оставила ему бремя забот за домом, за хозяйством и тремя малыми детьми.</t>
        </is>
      </c>
      <c r="L3585" s="2" t="inlineStr">
        <is>
          <t>Кино_СССР сводный каталог.xlsx: список фильмов (доп.)</t>
        </is>
      </c>
      <c r="M3585" s="2">
        <f>HYPERLINK("https://ru.wikipedia.org/w/index.php?search=%D0%93%D0%B0%D1%80%D0%B5%D0%BC%20%D0%A1%D1%82%D0%B5%D0%BF%D0%B0%D0%BD%D0%B0%20%D0%93%D1%83%D1%81%D0%BB%D1%8F%D0%BA%D0%BE%D0%B2%D0%B0%201989%20%D1%84%D0%B8%D0%BB%D1%8C%D0%BC","искать")</f>
        <v/>
      </c>
      <c r="N3585" s="3" t="n"/>
      <c r="O3585" s="2" t="n"/>
    </row>
    <row r="3586">
      <c r="A3586" s="2" t="n">
        <v>3585</v>
      </c>
      <c r="B3586" s="2" t="inlineStr"/>
      <c r="C3586" s="2" t="n">
        <v>9471</v>
      </c>
      <c r="D3586" s="3" t="inlineStr">
        <is>
          <t>Место убийцы вакантно...</t>
        </is>
      </c>
      <c r="E3586" s="2" t="n">
        <v>1990</v>
      </c>
      <c r="F3586" s="2" t="inlineStr">
        <is>
          <t>кинофильм</t>
        </is>
      </c>
      <c r="G3586" s="2" t="n"/>
      <c r="H3586" s="2" t="n">
        <v>365</v>
      </c>
      <c r="I3586" s="2" t="inlineStr"/>
      <c r="J3586" s="2" t="inlineStr"/>
      <c r="K3586" s="3" t="inlineStr">
        <is>
          <t>В провинциальном городе появляется опасный маньяк, охотящийся за женщинами. На его счету уже несколько жертв. Милиция, встревоженная паникой в городе, понимает, что необходимо как-то действовать. И вот схвачены ни в чем не повинные люди, кто-то из них уже ждет расстрела, кто-то на очереди. Молодой следователь, главный герой картины, вступает в схватку с системой.</t>
        </is>
      </c>
      <c r="L3586" s="2" t="inlineStr">
        <is>
          <t>Кино_СССР сводный каталог.xlsx: список фильмов (доп.)</t>
        </is>
      </c>
      <c r="M3586" s="2">
        <f>HYPERLINK("https://ru.wikipedia.org/w/index.php?search=%D0%9C%D0%B5%D1%81%D1%82%D0%BE%20%D1%83%D0%B1%D0%B8%D0%B9%D1%86%D1%8B%20%D0%B2%D0%B0%D0%BA%D0%B0%D0%BD%D1%82%D0%BD%D0%BE...%201990%20%D1%84%D0%B8%D0%BB%D1%8C%D0%BC","искать")</f>
        <v/>
      </c>
      <c r="N3586" s="3" t="n"/>
      <c r="O3586" s="2" t="n"/>
    </row>
    <row r="3587">
      <c r="A3587" s="2" t="n">
        <v>3586</v>
      </c>
      <c r="B3587" s="2" t="inlineStr"/>
      <c r="C3587" s="2" t="n">
        <v>9597</v>
      </c>
      <c r="D3587" s="3" t="inlineStr">
        <is>
          <t>Происшествие в Утиноозерске</t>
        </is>
      </c>
      <c r="E3587" s="2" t="n">
        <v>1988</v>
      </c>
      <c r="F3587" s="2" t="inlineStr">
        <is>
          <t>кинофильм</t>
        </is>
      </c>
      <c r="G3587" s="2" t="n"/>
      <c r="H3587" s="2" t="n">
        <v>365</v>
      </c>
      <c r="I3587" s="2" t="inlineStr"/>
      <c r="J3587" s="2" t="inlineStr"/>
      <c r="K3587" s="3" t="inlineStr">
        <is>
          <t>Бюрократы с химкомбината небольшого индустриального городка позволяют загрязнять озеро отходами. Энтузиаст борьбы за чистоту окружающей среды Заборов начинает открытую борьбу и терпит поражение. Это его не смущает и на какое-то время он исчезает. Через некоторое время в озере появляется доисторический ящер, что сразу же привлекает внимание мировой общественности.</t>
        </is>
      </c>
      <c r="L3587" s="2" t="inlineStr">
        <is>
          <t>Кино_СССР сводный каталог.xlsx: список фильмов (доп.)</t>
        </is>
      </c>
      <c r="M3587" s="2">
        <f>HYPERLINK("https://ru.wikipedia.org/w/index.php?search=%D0%9F%D1%80%D0%BE%D0%B8%D1%81%D1%88%D0%B5%D1%81%D1%82%D0%B2%D0%B8%D0%B5%20%D0%B2%20%D0%A3%D1%82%D0%B8%D0%BD%D0%BE%D0%BE%D0%B7%D0%B5%D1%80%D1%81%D0%BA%D0%B5%201988%20%D1%84%D0%B8%D0%BB%D1%8C%D0%BC","искать")</f>
        <v/>
      </c>
      <c r="N3587" s="3" t="n"/>
      <c r="O3587" s="2" t="n"/>
    </row>
    <row r="3588">
      <c r="A3588" s="2" t="n">
        <v>3587</v>
      </c>
      <c r="B3588" s="2" t="inlineStr"/>
      <c r="C3588" s="2" t="n">
        <v>9953</v>
      </c>
      <c r="D3588" s="3" t="inlineStr">
        <is>
          <t>Зигзаг</t>
        </is>
      </c>
      <c r="E3588" s="2" t="n">
        <v>1980</v>
      </c>
      <c r="F3588" s="2" t="inlineStr">
        <is>
          <t>кинофильм</t>
        </is>
      </c>
      <c r="G3588" s="2" t="inlineStr">
        <is>
          <t>Одесская киностудия</t>
        </is>
      </c>
      <c r="H3588" s="2" t="n">
        <v>365</v>
      </c>
      <c r="I3588" s="2" t="inlineStr"/>
      <c r="J3588" s="2" t="inlineStr"/>
      <c r="K3588" s="3" t="inlineStr">
        <is>
          <t>Не так, как хотелось бы, складывается новогодний вечер у молодой женщины: назначенное свидание не состоялось, а впереди - целая ночь. Случайно в ее доме появляется незнакомец. Добрый принц увозит ее далеко к морю, и повторяется сюжет рождественской сказки. Но вот героиня снова одна, хотя еще и во власти воспоминаний о прошедшем дне.
(По заказу Гостелерадио СССР).</t>
        </is>
      </c>
      <c r="L3588" s="2" t="inlineStr">
        <is>
          <t>https://www.kino-teatr.ru/short/movie/sov/2487/annot/</t>
        </is>
      </c>
      <c r="M3588" s="2">
        <f>HYPERLINK("https://ru.wikipedia.org/w/index.php?search=%D0%97%D0%B8%D0%B3%D0%B7%D0%B0%D0%B3%201980%20%D1%84%D0%B8%D0%BB%D1%8C%D0%BC","искать")</f>
        <v/>
      </c>
      <c r="N3588" s="3" t="n"/>
      <c r="O3588" s="2" t="n"/>
    </row>
    <row r="3589">
      <c r="A3589" s="2" t="n">
        <v>3588</v>
      </c>
      <c r="B3589" s="2" t="inlineStr"/>
      <c r="C3589" s="2" t="n">
        <v>8425</v>
      </c>
      <c r="D3589" s="3" t="inlineStr">
        <is>
          <t>Табачный капитан</t>
        </is>
      </c>
      <c r="E3589" s="2" t="n">
        <v>1972</v>
      </c>
      <c r="F3589" s="2" t="inlineStr">
        <is>
          <t>телефильм</t>
        </is>
      </c>
      <c r="G3589" s="2" t="n"/>
      <c r="H3589" s="2" t="n">
        <v>366</v>
      </c>
      <c r="I3589" s="2" t="inlineStr"/>
      <c r="J3589" s="2" t="inlineStr"/>
      <c r="K3589" s="3" t="inlineStr">
        <is>
          <t>Музыкальная комедия на историческую тему по мотивам одноименной комедии Н.Адуева. Царь Петр Алексеевич отправляет молодого знатного боярина Антона Свиньина вместе с холопом Ивашкой в голландский город Амстердам для обучения "делу навигацкому" и другим точным наукам. Вместо ленивого барчука, с трудом усвоившего пять чужеземных слов, постигал науки сметливый Ивашка.</t>
        </is>
      </c>
      <c r="L3589" s="2" t="inlineStr">
        <is>
          <t>Кино_СССР сводный каталог.xlsx: список телефильмов</t>
        </is>
      </c>
      <c r="M3589" s="2">
        <f>HYPERLINK("https://ru.wikipedia.org/w/index.php?search=%D0%A2%D0%B0%D0%B1%D0%B0%D1%87%D0%BD%D1%8B%D0%B9%20%D0%BA%D0%B0%D0%BF%D0%B8%D1%82%D0%B0%D0%BD%201972%20%D1%84%D0%B8%D0%BB%D1%8C%D0%BC","искать")</f>
        <v/>
      </c>
      <c r="N3589" s="3" t="n"/>
      <c r="O3589" s="2" t="n"/>
    </row>
    <row r="3590">
      <c r="A3590" s="2" t="n">
        <v>3589</v>
      </c>
      <c r="B3590" s="2" t="inlineStr"/>
      <c r="C3590" s="2" t="n">
        <v>8688</v>
      </c>
      <c r="D3590" s="3" t="inlineStr">
        <is>
          <t>Гулять, так гулять. Стрелять, так стрелять... (киноальманах)</t>
        </is>
      </c>
      <c r="E3590" s="2" t="n">
        <v>1990</v>
      </c>
      <c r="F3590" s="2" t="inlineStr">
        <is>
          <t>кинофильм</t>
        </is>
      </c>
      <c r="G3590" s="2" t="n"/>
      <c r="H3590" s="2" t="n">
        <v>366</v>
      </c>
      <c r="I3590" s="2" t="inlineStr"/>
      <c r="J3590" s="2" t="inlineStr"/>
      <c r="K3590" s="3" t="inlineStr">
        <is>
          <t>Молодой провинциал приехал в Москву купить лекарство для матери. Но куда ни кинь – везде клин: и рецепт оформлен неправильно, и денег не хватает, да еще и ограбили. Куда бедному податься? Один путь ему предложили – стать "проститутом". Легко сказать, а вот сделать. В итоге он попадает в тюрьму, где в это время подходит к концу срок заключения второго героя фильма.</t>
        </is>
      </c>
      <c r="L3590" s="2" t="inlineStr">
        <is>
          <t>Кино_СССР сводный каталог.xlsx: список фильмов (доп.)</t>
        </is>
      </c>
      <c r="M3590" s="2">
        <f>HYPERLINK("https://ru.wikipedia.org/w/index.php?search=%D0%93%D1%83%D0%BB%D1%8F%D1%82%D1%8C%2C%20%D1%82%D0%B0%D0%BA%20%D0%B3%D1%83%D0%BB%D1%8F%D1%82%D1%8C.%20%D0%A1%D1%82%D1%80%D0%B5%D0%BB%D1%8F%D1%82%D1%8C%2C%20%D1%82%D0%B0%D0%BA%20%D1%81%D1%82%D1%80%D0%B5%D0%BB%D1%8F%D1%82%D1%8C...%20%28%D0%BA%D0%B8%D0%BD%D0%BE%D0%B0%D0%BB%D1%8C%D0%BC%D0%B0%D0%BD%D0%B0%D1%85%29%201990%20%D1%84%D0%B8%D0%BB%D1%8C%D0%BC","искать")</f>
        <v/>
      </c>
      <c r="N3590" s="3" t="n"/>
      <c r="O3590" s="2" t="n"/>
    </row>
    <row r="3591">
      <c r="A3591" s="2" t="n">
        <v>3590</v>
      </c>
      <c r="B3591" s="2" t="inlineStr"/>
      <c r="C3591" s="2" t="n">
        <v>8714</v>
      </c>
      <c r="D3591" s="3" t="inlineStr">
        <is>
          <t>Дрянь</t>
        </is>
      </c>
      <c r="E3591" s="2" t="n">
        <v>1990</v>
      </c>
      <c r="F3591" s="2" t="inlineStr">
        <is>
          <t>кинофильм</t>
        </is>
      </c>
      <c r="G3591" s="2" t="inlineStr">
        <is>
          <t>к/с им. Довженко</t>
        </is>
      </c>
      <c r="H3591" s="2" t="n">
        <v>366</v>
      </c>
      <c r="I3591" s="2" t="inlineStr"/>
      <c r="J3591" s="2" t="inlineStr"/>
      <c r="K3591" s="3" t="inlineStr">
        <is>
          <t>После двухлетнего отсутствия Валентин Мукасей возвращается домой и застает свою сестру Алису в невменяемом состоянии. Узнав, что девушка давно сидит на игле, брат пытается вытащить ее из наркотического ада, но, к сожалению, Алиса умирает от передозировки. С этого момента Валентин вместе с другом – тоже «афганцем» - объявляет беспощадную войну дельцам наркобизнеса.</t>
        </is>
      </c>
      <c r="L3591" s="2" t="inlineStr">
        <is>
          <t>Кино_СССР сводный каталог.xlsx: список фильмов (доп.)</t>
        </is>
      </c>
      <c r="M3591" s="2">
        <f>HYPERLINK("https://ru.wikipedia.org/w/index.php?search=%D0%94%D1%80%D1%8F%D0%BD%D1%8C%201990%20%D1%84%D0%B8%D0%BB%D1%8C%D0%BC","искать")</f>
        <v/>
      </c>
      <c r="N3591" s="3" t="n"/>
      <c r="O3591" s="2" t="n"/>
    </row>
    <row r="3592">
      <c r="A3592" s="2" t="n">
        <v>3591</v>
      </c>
      <c r="B3592" s="2" t="inlineStr"/>
      <c r="C3592" s="2" t="n">
        <v>8814</v>
      </c>
      <c r="D3592" s="3" t="inlineStr">
        <is>
          <t>Маленький человек в большой войне</t>
        </is>
      </c>
      <c r="E3592" s="2" t="n">
        <v>1989</v>
      </c>
      <c r="F3592" s="2" t="inlineStr">
        <is>
          <t>кинофильм</t>
        </is>
      </c>
      <c r="G3592" s="2" t="n"/>
      <c r="H3592" s="2" t="n">
        <v>366</v>
      </c>
      <c r="I3592" s="2" t="inlineStr"/>
      <c r="J3592" s="2" t="inlineStr"/>
      <c r="K3592" s="3" t="inlineStr">
        <is>
          <t>Действие фильма охватывает период Великой Отечественной войны. В небольшом узбекском поселке живет семья директора совхоза. Однажды в этой хлебосольной семье появляется племянник матери - Санджар. Добрый и впечатлительный Сафо, наблюдая за связями двоюродного брата с воровской компанией, делает для себя неприятные выводы и принимает вполне самостоятельные решения.</t>
        </is>
      </c>
      <c r="L3592" s="2" t="inlineStr">
        <is>
          <t>Кино_СССР сводный каталог.xlsx: список фильмов (доп.)</t>
        </is>
      </c>
      <c r="M3592" s="2">
        <f>HYPERLINK("https://ru.wikipedia.org/w/index.php?search=%D0%9C%D0%B0%D0%BB%D0%B5%D0%BD%D1%8C%D0%BA%D0%B8%D0%B9%20%D1%87%D0%B5%D0%BB%D0%BE%D0%B2%D0%B5%D0%BA%20%D0%B2%20%D0%B1%D0%BE%D0%BB%D1%8C%D1%88%D0%BE%D0%B9%20%D0%B2%D0%BE%D0%B9%D0%BD%D0%B5%201989%20%D1%84%D0%B8%D0%BB%D1%8C%D0%BC","искать")</f>
        <v/>
      </c>
      <c r="N3592" s="3" t="n"/>
      <c r="O3592" s="2" t="n"/>
    </row>
    <row r="3593">
      <c r="A3593" s="2" t="n">
        <v>3592</v>
      </c>
      <c r="B3593" s="2" t="inlineStr"/>
      <c r="C3593" s="2" t="n">
        <v>9306</v>
      </c>
      <c r="D3593" s="3" t="inlineStr">
        <is>
          <t>Глухомань</t>
        </is>
      </c>
      <c r="E3593" s="2" t="n">
        <v>1991</v>
      </c>
      <c r="F3593" s="2" t="inlineStr">
        <is>
          <t>кинофильм</t>
        </is>
      </c>
      <c r="G3593" s="2" t="inlineStr">
        <is>
          <t>Ментор Синема</t>
        </is>
      </c>
      <c r="H3593" s="2" t="n">
        <v>366</v>
      </c>
      <c r="I3593" s="2" t="inlineStr"/>
      <c r="J3593" s="2" t="inlineStr"/>
      <c r="K3593" s="3" t="inlineStr">
        <is>
          <t>Майор ВВС Виктор Колосов (Геннадий Корольков) и бывший афганец Сергей Опарин (Иван Шабалтас) ведут собственное расследование загадочного убийства подполковника Звягинцева. Когда начальник отделения милиции решает закрыть уголовное дело, а Сергея пытаются заживо сжечь, становится ясно, что дело приходится иметь с серьезными людьми из мафии, шутить которые не любят.</t>
        </is>
      </c>
      <c r="L3593" s="2" t="inlineStr">
        <is>
          <t>Кино_СССР сводный каталог.xlsx: список фильмов (доп.)</t>
        </is>
      </c>
      <c r="M3593" s="2">
        <f>HYPERLINK("https://ru.wikipedia.org/w/index.php?search=%D0%93%D0%BB%D1%83%D1%85%D0%BE%D0%BC%D0%B0%D0%BD%D1%8C%201991%20%D1%84%D0%B8%D0%BB%D1%8C%D0%BC","искать")</f>
        <v/>
      </c>
      <c r="N3593" s="3" t="n"/>
      <c r="O3593" s="2" t="n"/>
    </row>
    <row r="3594">
      <c r="A3594" s="2" t="n">
        <v>3593</v>
      </c>
      <c r="B3594" s="2" t="inlineStr"/>
      <c r="C3594" s="2" t="n">
        <v>9386</v>
      </c>
      <c r="D3594" s="3" t="inlineStr">
        <is>
          <t>Ивин А.</t>
        </is>
      </c>
      <c r="E3594" s="2" t="n">
        <v>1990</v>
      </c>
      <c r="F3594" s="2" t="inlineStr">
        <is>
          <t>кинофильм</t>
        </is>
      </c>
      <c r="G3594" s="2" t="n"/>
      <c r="H3594" s="2" t="n">
        <v>366</v>
      </c>
      <c r="I3594" s="2" t="inlineStr"/>
      <c r="J3594" s="2" t="inlineStr"/>
      <c r="K3594" s="3" t="inlineStr">
        <is>
          <t>По мотивам рассказа Анатолия Кима "Остановка в августе". Солдат внутренних войск Ивин А., стоя ночью на посту, не смог выстрелить в совершавшего побег бандита и убийцу Мишку Князя. В объяснительной он написал, что "отказывается и впредь распоряжаться чужой жизнью". Получил срок дисбата, а сопровождать его вызвался его непосредственный командир, почти его ровесник.</t>
        </is>
      </c>
      <c r="L3594" s="2" t="inlineStr">
        <is>
          <t>Кино_СССР сводный каталог.xlsx: список фильмов (доп.)</t>
        </is>
      </c>
      <c r="M3594" s="2">
        <f>HYPERLINK("https://ru.wikipedia.org/w/index.php?search=%D0%98%D0%B2%D0%B8%D0%BD%20%D0%90.%201990%20%D1%84%D0%B8%D0%BB%D1%8C%D0%BC","искать")</f>
        <v/>
      </c>
      <c r="N3594" s="3" t="n"/>
      <c r="O3594" s="2" t="n"/>
    </row>
    <row r="3595">
      <c r="A3595" s="2" t="n">
        <v>3594</v>
      </c>
      <c r="B3595" s="2" t="inlineStr"/>
      <c r="C3595" s="2" t="n">
        <v>9648</v>
      </c>
      <c r="D3595" s="3" t="inlineStr">
        <is>
          <t>След сокола</t>
        </is>
      </c>
      <c r="E3595" s="2" t="n">
        <v>1967</v>
      </c>
      <c r="F3595" s="2" t="inlineStr">
        <is>
          <t>кинофильм</t>
        </is>
      </c>
      <c r="G3595" s="2" t="n"/>
      <c r="H3595" s="2" t="n">
        <v>366</v>
      </c>
      <c r="I3595" s="2" t="inlineStr"/>
      <c r="J3595" s="2" t="inlineStr"/>
      <c r="K3595" s="3" t="inlineStr">
        <is>
          <t>Время действия - 1876 год. Когда-то жители городка Тенглвуд заключили соглашение с индейцами о ненападении. Местный торговец Сэм Блейк (Хельмут Шрайбер), активный сторонник миролюбивых отношений, обрел в лице индейцев своих лучших клиентов. Однако ситуация меняется, когда недалеко от города, на индейской территории Блекхилл, старатели находят месторождение золота.</t>
        </is>
      </c>
      <c r="L3595" s="2" t="inlineStr">
        <is>
          <t>Кино_СССР сводный каталог.xlsx: список фильмов (доп.)</t>
        </is>
      </c>
      <c r="M3595" s="2">
        <f>HYPERLINK("https://ru.wikipedia.org/w/index.php?search=%D0%A1%D0%BB%D0%B5%D0%B4%20%D1%81%D0%BE%D0%BA%D0%BE%D0%BB%D0%B0%201967%20%D1%84%D0%B8%D0%BB%D1%8C%D0%BC","искать")</f>
        <v/>
      </c>
      <c r="N3595" s="3" t="n"/>
      <c r="O3595" s="2" t="n"/>
    </row>
    <row r="3596">
      <c r="A3596" s="2" t="n">
        <v>3595</v>
      </c>
      <c r="B3596" s="2" t="inlineStr"/>
      <c r="C3596" s="2" t="n">
        <v>10573</v>
      </c>
      <c r="D3596" s="3" t="inlineStr">
        <is>
          <t>Невольницы</t>
        </is>
      </c>
      <c r="E3596" s="2" t="n">
        <v>1974</v>
      </c>
      <c r="F3596" s="2" t="inlineStr">
        <is>
          <t>фильм-спектакль</t>
        </is>
      </c>
      <c r="G3596" s="2" t="inlineStr">
        <is>
          <t>Главная редакция литературно-драматических программ ЦТ</t>
        </is>
      </c>
      <c r="H3596" s="2" t="n">
        <v>366</v>
      </c>
      <c r="I3596" s="2" t="inlineStr"/>
      <c r="J3596" s="2" t="inlineStr"/>
      <c r="K3596" s="3" t="inlineStr">
        <is>
          <t>Фильм-спектакль по одноименной пьесе А.Н.Островского в постановке Московского драматического театра имени А.С.Пушкина.
Старый муж — молодая жена. А уж купленная она или сама за него пошла по расчету — пусть сами разбираются. Вот они и разбираются - проходящая в сжатые сроки большую жизненную школу Евлалия и уже давно закончившая свои семейные «университеты» Софья.</t>
        </is>
      </c>
      <c r="L3596" s="2" t="inlineStr">
        <is>
          <t>https://www.kino-teatr.ru/teatr/movie/79521/annot/</t>
        </is>
      </c>
      <c r="M3596" s="2">
        <f>HYPERLINK("https://ru.wikipedia.org/w/index.php?search=%D0%9D%D0%B5%D0%B2%D0%BE%D0%BB%D1%8C%D0%BD%D0%B8%D1%86%D1%8B%201974%20%D1%84%D0%B8%D0%BB%D1%8C%D0%BC","искать")</f>
        <v/>
      </c>
      <c r="N3596" s="3" t="n"/>
      <c r="O3596" s="2" t="n"/>
    </row>
    <row r="3597">
      <c r="A3597" s="2" t="n">
        <v>3596</v>
      </c>
      <c r="B3597" s="2" t="inlineStr"/>
      <c r="C3597" s="2" t="n">
        <v>10597</v>
      </c>
      <c r="D3597" s="3" t="inlineStr">
        <is>
          <t>Барабанщица</t>
        </is>
      </c>
      <c r="E3597" s="2" t="n">
        <v>1975</v>
      </c>
      <c r="F3597" s="2" t="inlineStr">
        <is>
          <t>фильм-спектакль</t>
        </is>
      </c>
      <c r="G3597" s="2" t="n"/>
      <c r="H3597" s="2" t="n">
        <v>366</v>
      </c>
      <c r="I3597" s="2" t="inlineStr"/>
      <c r="J3597" s="2" t="inlineStr"/>
      <c r="K3597" s="3" t="inlineStr">
        <is>
          <t>По одноименной пьесе А.Салынского в постановке Центрального академического театра Советской Армии.
О подвиге разведчицы Нилы Снежко в годы Великой Отечественной войны. Роль главной героини, Нилы Снежко, была мечтой многих актрис. В спектаклях поставленных на сцене Центрального театра Советской Армии её сыграла, после Л. Фетисовой и Л. Касаткиной, Алина Покровская.</t>
        </is>
      </c>
      <c r="L3597" s="2" t="inlineStr">
        <is>
          <t>https://www.kino-teatr.ru/teatr/movie/81385/annot/</t>
        </is>
      </c>
      <c r="M3597" s="2">
        <f>HYPERLINK("https://ru.wikipedia.org/w/index.php?search=%D0%91%D0%B0%D1%80%D0%B0%D0%B1%D0%B0%D0%BD%D1%89%D0%B8%D1%86%D0%B0%201975%20%D1%84%D0%B8%D0%BB%D1%8C%D0%BC","искать")</f>
        <v/>
      </c>
      <c r="N3597" s="3" t="n"/>
      <c r="O3597" s="2" t="n"/>
    </row>
    <row r="3598">
      <c r="A3598" s="2" t="n">
        <v>3597</v>
      </c>
      <c r="B3598" s="2" t="inlineStr"/>
      <c r="C3598" s="2" t="n">
        <v>11383</v>
      </c>
      <c r="D3598" s="3" t="inlineStr">
        <is>
          <t>Утро туманное</t>
        </is>
      </c>
      <c r="E3598" s="2" t="n">
        <v>1987</v>
      </c>
      <c r="F3598" s="2" t="inlineStr">
        <is>
          <t>не игровое</t>
        </is>
      </c>
      <c r="G3598" s="2" t="n"/>
      <c r="H3598" s="2" t="n">
        <v>366</v>
      </c>
      <c r="I3598" s="2" t="inlineStr"/>
      <c r="J3598" s="2" t="inlineStr"/>
      <c r="K3598" s="3" t="inlineStr">
        <is>
          <t>Фильм-концерт. Идет запись в студии, звучат романсы, посвященные любви. Перед нами возникает старинная усадьба, старинный интерьер, прелестные женские головки на старинных портретах. Их сменяют лица артистов, сидящих в студии. Что видится им – красота окружающей природы, уезжающая вдаль тройка, заснеженные поля, деревеньки под снегом, стоящий в морозной дымке лес.</t>
        </is>
      </c>
      <c r="L3598" s="2" t="inlineStr">
        <is>
          <t>Кино_СССР телефильмы и пропуски включить в базу.xlsx</t>
        </is>
      </c>
      <c r="M3598" s="2">
        <f>HYPERLINK("https://ru.wikipedia.org/w/index.php?search=%D0%A3%D1%82%D1%80%D0%BE%20%D1%82%D1%83%D0%BC%D0%B0%D0%BD%D0%BD%D0%BE%D0%B5%201987%20%D1%84%D0%B8%D0%BB%D1%8C%D0%BC","искать")</f>
        <v/>
      </c>
      <c r="N3598" s="3" t="n"/>
      <c r="O3598" s="2" t="n"/>
    </row>
    <row r="3599">
      <c r="A3599" s="2" t="n">
        <v>3598</v>
      </c>
      <c r="B3599" s="2" t="inlineStr"/>
      <c r="C3599" s="2" t="n">
        <v>8157</v>
      </c>
      <c r="D3599" s="3" t="inlineStr">
        <is>
          <t>Полынь</t>
        </is>
      </c>
      <c r="E3599" s="2" t="n">
        <v>1986</v>
      </c>
      <c r="F3599" s="2" t="inlineStr">
        <is>
          <t>телефильм</t>
        </is>
      </c>
      <c r="G3599" s="2" t="n"/>
      <c r="H3599" s="2" t="n">
        <v>367</v>
      </c>
      <c r="I3599" s="2" t="inlineStr"/>
      <c r="J3599" s="2" t="inlineStr"/>
      <c r="K3599" s="3" t="inlineStr">
        <is>
          <t>По мотивам одноименной повести Дулата Исабекова. Маленький Ергеш хочет помочь больному деду купить дорогие лекарства. Чтобы заработать необходимые деньги, он с городским парнем Омашем собирает полынь для сдачи в аптеку. Характер Ергеша цельный и бескомпромиссный. Он не приемлет обмана. Когда Ергеш узнает, что Омаш ворует собранную другими полынь, то сжигает ее всю.</t>
        </is>
      </c>
      <c r="L3599" s="2" t="inlineStr">
        <is>
          <t>Кино_СССР сводный каталог.xlsx: список телефильмов</t>
        </is>
      </c>
      <c r="M3599" s="2">
        <f>HYPERLINK("https://ru.wikipedia.org/w/index.php?search=%D0%9F%D0%BE%D0%BB%D1%8B%D0%BD%D1%8C%201986%20%D1%84%D0%B8%D0%BB%D1%8C%D0%BC","искать")</f>
        <v/>
      </c>
      <c r="N3599" s="3" t="n"/>
      <c r="O3599" s="2" t="n"/>
    </row>
    <row r="3600">
      <c r="A3600" s="2" t="n">
        <v>3599</v>
      </c>
      <c r="B3600" s="2" t="inlineStr"/>
      <c r="C3600" s="2" t="n">
        <v>8571</v>
      </c>
      <c r="D3600" s="3" t="inlineStr">
        <is>
          <t>Чужой звонок</t>
        </is>
      </c>
      <c r="E3600" s="2" t="n">
        <v>1985</v>
      </c>
      <c r="F3600" s="2" t="inlineStr">
        <is>
          <t>телефильм</t>
        </is>
      </c>
      <c r="G3600" s="2" t="n"/>
      <c r="H3600" s="2" t="n">
        <v>367</v>
      </c>
      <c r="I3600" s="2" t="inlineStr"/>
      <c r="J3600" s="2" t="inlineStr"/>
      <c r="K3600" s="3" t="inlineStr">
        <is>
          <t>По одноименной повести Екатерины Марковой. Главная героиня – успешная художница Наталья Кузнецова. В юности она предала любимого человека Игоря Турбина, а потом вышла замуж за веселого, беззаботного и удачливого одноклассника Макаркина. И хотя жизнь Натальи внешне благополучна, она никак не может избавиться от болезненных воспоминаний, ее не отпускает чувство вины.</t>
        </is>
      </c>
      <c r="L3600" s="2" t="inlineStr">
        <is>
          <t>Кино_СССР сводный каталог.xlsx: список телефильмов</t>
        </is>
      </c>
      <c r="M3600" s="2">
        <f>HYPERLINK("https://ru.wikipedia.org/w/index.php?search=%D0%A7%D1%83%D0%B6%D0%BE%D0%B9%20%D0%B7%D0%B2%D0%BE%D0%BD%D0%BE%D0%BA%201985%20%D1%84%D0%B8%D0%BB%D1%8C%D0%BC","искать")</f>
        <v/>
      </c>
      <c r="N3600" s="3" t="n"/>
      <c r="O3600" s="2" t="n"/>
    </row>
    <row r="3601">
      <c r="A3601" s="2" t="n">
        <v>3600</v>
      </c>
      <c r="B3601" s="2" t="inlineStr"/>
      <c r="C3601" s="2" t="n">
        <v>8623</v>
      </c>
      <c r="D3601" s="3" t="inlineStr">
        <is>
          <t>Ад, или Досье на самого себя</t>
        </is>
      </c>
      <c r="E3601" s="2" t="n">
        <v>1989</v>
      </c>
      <c r="F3601" s="2" t="inlineStr">
        <is>
          <t>кинофильм</t>
        </is>
      </c>
      <c r="G3601" s="2" t="n"/>
      <c r="H3601" s="2" t="n">
        <v>367</v>
      </c>
      <c r="I3601" s="2" t="inlineStr"/>
      <c r="J3601" s="2" t="inlineStr"/>
      <c r="K3601" s="3" t="inlineStr">
        <is>
          <t>В основе сценария лежит автобиографическая повесть Геннадия Беглова. 1948 год. Молодого режиссера Виктора Кострова арестовывают по доносу отца его возлюбленной. Бериевская инквизиция, ужасы лагерной жизни, месть блатных и уголовников - таков фон, на котором действуют герои: садистка-надсмотрщица, лагерный "пахан", запуганная невеста Виктора и ее отец - офицер НКВД.</t>
        </is>
      </c>
      <c r="L3601" s="2" t="inlineStr">
        <is>
          <t>Кино_СССР сводный каталог.xlsx: список фильмов (доп.)</t>
        </is>
      </c>
      <c r="M3601" s="2">
        <f>HYPERLINK("https://ru.wikipedia.org/w/index.php?search=%D0%90%D0%B4%2C%20%D0%B8%D0%BB%D0%B8%20%D0%94%D0%BE%D1%81%D1%8C%D0%B5%20%D0%BD%D0%B0%20%D1%81%D0%B0%D0%BC%D0%BE%D0%B3%D0%BE%20%D1%81%D0%B5%D0%B1%D1%8F%201989%20%D1%84%D0%B8%D0%BB%D1%8C%D0%BC","искать")</f>
        <v/>
      </c>
      <c r="N3601" s="3" t="n"/>
      <c r="O3601" s="2" t="n"/>
    </row>
    <row r="3602">
      <c r="A3602" s="2" t="n">
        <v>3601</v>
      </c>
      <c r="B3602" s="2" t="inlineStr"/>
      <c r="C3602" s="2" t="n">
        <v>9042</v>
      </c>
      <c r="D3602" s="3" t="inlineStr">
        <is>
          <t>Сирано де Бержерак</t>
        </is>
      </c>
      <c r="E3602" s="2" t="n">
        <v>1989</v>
      </c>
      <c r="F3602" s="2" t="inlineStr">
        <is>
          <t>кинофильм</t>
        </is>
      </c>
      <c r="G3602" s="2" t="n"/>
      <c r="H3602" s="2" t="n">
        <v>367</v>
      </c>
      <c r="I3602" s="2" t="inlineStr"/>
      <c r="J3602" s="2" t="inlineStr"/>
      <c r="K3602" s="3" t="inlineStr">
        <is>
          <t>Широкоформатный фильм по одноименной пьесе Эдмона Ростана. Талантливый поэт Сирано де Бержерак считает, что его отталкивающая внешность не дает ему право открыть свою любовь прекрасной Роксане, которую он давно предано любит. Благородный и самоотверженный человек, он помогает своему молодому другу завоевать сердце девушки, надеясь, что это принесет счастье Роксане.</t>
        </is>
      </c>
      <c r="L3602" s="2" t="inlineStr">
        <is>
          <t>Кино_СССР сводный каталог.xlsx: список фильмов (доп.)</t>
        </is>
      </c>
      <c r="M3602" s="2">
        <f>HYPERLINK("https://ru.wikipedia.org/w/index.php?search=%D0%A1%D0%B8%D1%80%D0%B0%D0%BD%D0%BE%20%D0%B4%D0%B5%20%D0%91%D0%B5%D1%80%D0%B6%D0%B5%D1%80%D0%B0%D0%BA%201989%20%D1%84%D0%B8%D0%BB%D1%8C%D0%BC","искать")</f>
        <v/>
      </c>
      <c r="N3602" s="3" t="n"/>
      <c r="O3602" s="2" t="n"/>
    </row>
    <row r="3603">
      <c r="A3603" s="2" t="n">
        <v>3602</v>
      </c>
      <c r="B3603" s="2" t="inlineStr"/>
      <c r="C3603" s="2" t="n">
        <v>9387</v>
      </c>
      <c r="D3603" s="3" t="inlineStr">
        <is>
          <t>Игла</t>
        </is>
      </c>
      <c r="E3603" s="2" t="n">
        <v>1988</v>
      </c>
      <c r="F3603" s="2" t="inlineStr">
        <is>
          <t>кинофильм</t>
        </is>
      </c>
      <c r="G3603" s="2" t="n"/>
      <c r="H3603" s="2" t="n">
        <v>367</v>
      </c>
      <c r="I3603" s="2" t="inlineStr"/>
      <c r="J3603" s="2" t="inlineStr"/>
      <c r="K3603" s="3" t="inlineStr">
        <is>
          <t>Вернувшись в Алма-Ату, Моро не хочет, чтобы родители знали о его приезде, и в поисках временного пристанища вспоминает о девушке, которую он когда-то любил. Дина рада встрече, но Моро что-то настораживает в ней. Наблюдая за ее странными знакомыми, Моро понимает, что Дина стала наркоманкой. Как спасти девушку? Моро увозит ее к морю, где Дина начинает выздоравливать.</t>
        </is>
      </c>
      <c r="L3603" s="2" t="inlineStr">
        <is>
          <t>Кино_СССР сводный каталог.xlsx: список фильмов (доп.)</t>
        </is>
      </c>
      <c r="M3603" s="2">
        <f>HYPERLINK("https://ru.wikipedia.org/w/index.php?search=%D0%98%D0%B3%D0%BB%D0%B0%201988%20%D1%84%D0%B8%D0%BB%D1%8C%D0%BC","искать")</f>
        <v/>
      </c>
      <c r="N3603" s="3" t="n"/>
      <c r="O3603" s="2" t="n"/>
    </row>
    <row r="3604">
      <c r="A3604" s="2" t="n">
        <v>3603</v>
      </c>
      <c r="B3604" s="2" t="inlineStr"/>
      <c r="C3604" s="2" t="n">
        <v>10133</v>
      </c>
      <c r="D3604" s="3" t="inlineStr">
        <is>
          <t>Фараоны</t>
        </is>
      </c>
      <c r="E3604" s="2" t="n">
        <v>1964</v>
      </c>
      <c r="F3604" s="2" t="inlineStr">
        <is>
          <t>фильм-спектакль</t>
        </is>
      </c>
      <c r="G3604" s="2" t="inlineStr">
        <is>
          <t>Киевская студия телевидения</t>
        </is>
      </c>
      <c r="H3604" s="2" t="n">
        <v>367</v>
      </c>
      <c r="I3604" s="2" t="inlineStr"/>
      <c r="J3604" s="2" t="inlineStr"/>
      <c r="K3604" s="3" t="inlineStr">
        <is>
          <t>Комедийный фильм-спектакль Театра им. Франко по пьесе Олексы Коломийца.
Место действия - обычное село в период советской власти, где все руководящие посты заняты исключительно мужчинами. Но после одной бурной ночи с песнями и большим количеством самогона проснувшиеся мужики обнаруживают, что теперь всем заправляют женщины и ведут они себя точно так же, как мужчины.</t>
        </is>
      </c>
      <c r="L3604" s="2" t="inlineStr">
        <is>
          <t>https://www.kino-teatr.ru/teatr/movie/12717/annot/</t>
        </is>
      </c>
      <c r="M3604" s="2">
        <f>HYPERLINK("https://ru.wikipedia.org/w/index.php?search=%D0%A4%D0%B0%D1%80%D0%B0%D0%BE%D0%BD%D1%8B%201964%20%D1%84%D0%B8%D0%BB%D1%8C%D0%BC","искать")</f>
        <v/>
      </c>
      <c r="N3604" s="3" t="n"/>
      <c r="O3604" s="2" t="n"/>
    </row>
    <row r="3605">
      <c r="A3605" s="2" t="n">
        <v>3604</v>
      </c>
      <c r="B3605" s="2" t="inlineStr"/>
      <c r="C3605" s="2" t="n">
        <v>10601</v>
      </c>
      <c r="D3605" s="3" t="inlineStr">
        <is>
          <t>Военные сороковые</t>
        </is>
      </c>
      <c r="E3605" s="2" t="n">
        <v>1975</v>
      </c>
      <c r="F3605" s="2" t="inlineStr">
        <is>
          <t>фильм-спектакль</t>
        </is>
      </c>
      <c r="G3605" s="2" t="inlineStr">
        <is>
          <t>ТО “Экран”</t>
        </is>
      </c>
      <c r="H3605" s="2" t="n">
        <v>367</v>
      </c>
      <c r="I3605" s="2" t="inlineStr"/>
      <c r="J3605" s="2" t="inlineStr"/>
      <c r="K3605" s="3" t="inlineStr">
        <is>
          <t>Фильм третий из цикла "Антология советской песни". В программе песни Н.Богословского, В.Соловьева-Седого, М.Блантера, А.Новикова, М.Табачникова, И.Дунаевского, Е.Петербургского, посвященные Великой Отечественной войне, в исполнении В.Золотухина, О.Даля, Л.Голубкиной, К.Шульженко, П.Глебова, М.Воронцова, В.Абдулова, И.Мирошниченко, М.Ножкина, А.Кузнецова, М.Бернеса.</t>
        </is>
      </c>
      <c r="L3605" s="2" t="inlineStr">
        <is>
          <t>https://www.kino-teatr.ru/teatr/movie/16596/annot/</t>
        </is>
      </c>
      <c r="M3605" s="2">
        <f>HYPERLINK("https://ru.wikipedia.org/w/index.php?search=%D0%92%D0%BE%D0%B5%D0%BD%D0%BD%D1%8B%D0%B5%20%D1%81%D0%BE%D1%80%D0%BE%D0%BA%D0%BE%D0%B2%D1%8B%D0%B5%201975%20%D1%84%D0%B8%D0%BB%D1%8C%D0%BC","искать")</f>
        <v/>
      </c>
      <c r="N3605" s="3" t="n"/>
      <c r="O3605" s="2" t="n"/>
    </row>
    <row r="3606">
      <c r="A3606" s="2" t="n">
        <v>3605</v>
      </c>
      <c r="B3606" s="2" t="inlineStr"/>
      <c r="C3606" s="2" t="n">
        <v>7178</v>
      </c>
      <c r="D3606" s="3" t="inlineStr">
        <is>
          <t>"Циклон" начнётся ночью</t>
        </is>
      </c>
      <c r="E3606" s="2" t="n">
        <v>1966</v>
      </c>
      <c r="F3606" s="2" t="inlineStr">
        <is>
          <t>телефильм</t>
        </is>
      </c>
      <c r="G3606" s="2" t="n"/>
      <c r="H3606" s="2" t="n">
        <v>368</v>
      </c>
      <c r="I3606" s="2" t="inlineStr"/>
      <c r="J3606" s="2" t="inlineStr"/>
      <c r="K3606" s="3" t="inlineStr">
        <is>
          <t>Снят по мотивам повести Д. Морозова "Тридцать шесть часов из жизни разведчика". Действие фильма происходит во время Великой Отечественной войны. Советский разведчик Либель похищает немецкого офицера Шварцбрука, которого должны забросить с диверсионной целью в район Карпат. Вместо Шварцбрука Либелю удается отправить на выполнение задания советского разведчика Мишеля.</t>
        </is>
      </c>
      <c r="L3606" s="2" t="inlineStr">
        <is>
          <t>Кино_СССР сводный каталог.xlsx: список телефильмов</t>
        </is>
      </c>
      <c r="M3606" s="2">
        <f>HYPERLINK("https://ru.wikipedia.org/w/index.php?search=%22%D0%A6%D0%B8%D0%BA%D0%BB%D0%BE%D0%BD%22%20%D0%BD%D0%B0%D1%87%D0%BD%D1%91%D1%82%D1%81%D1%8F%20%D0%BD%D0%BE%D1%87%D1%8C%D1%8E%201966%20%D1%84%D0%B8%D0%BB%D1%8C%D0%BC","искать")</f>
        <v/>
      </c>
      <c r="N3606" s="3" t="n"/>
      <c r="O3606" s="2" t="n"/>
    </row>
    <row r="3607">
      <c r="A3607" s="2" t="n">
        <v>3606</v>
      </c>
      <c r="B3607" s="2" t="inlineStr"/>
      <c r="C3607" s="2" t="n">
        <v>7672</v>
      </c>
      <c r="D3607" s="3" t="inlineStr">
        <is>
          <t>Игорь Саввович</t>
        </is>
      </c>
      <c r="E3607" s="2" t="n">
        <v>1986</v>
      </c>
      <c r="F3607" s="2" t="inlineStr">
        <is>
          <t>телефильм</t>
        </is>
      </c>
      <c r="G3607" s="2" t="n"/>
      <c r="H3607" s="2" t="n">
        <v>368</v>
      </c>
      <c r="I3607" s="2" t="inlineStr"/>
      <c r="J3607" s="2" t="inlineStr"/>
      <c r="K3607" s="3" t="inlineStr">
        <is>
          <t>Экранизация одноименного романа Виля Липатова. Телефильм повествует о специалистах, занимающихся проблемами экологии сибирских рек и ищущих инженерные решения новых методов лесосплава. А еще это фильм о личных, глубоко драматических взаимоотношениях героев. В свои тридцать лет Игорь Гольцов имеет многое: высокое служебное положение, благоустроенную квартиру, машину.</t>
        </is>
      </c>
      <c r="L3607" s="2" t="inlineStr">
        <is>
          <t>Кино_СССР сводный каталог.xlsx: список телефильмов</t>
        </is>
      </c>
      <c r="M3607" s="2">
        <f>HYPERLINK("https://ru.wikipedia.org/w/index.php?search=%D0%98%D0%B3%D0%BE%D1%80%D1%8C%20%D0%A1%D0%B0%D0%B2%D0%B2%D0%BE%D0%B2%D0%B8%D1%87%201986%20%D1%84%D0%B8%D0%BB%D1%8C%D0%BC","искать")</f>
        <v/>
      </c>
      <c r="N3607" s="3" t="n"/>
      <c r="O3607" s="2" t="n"/>
    </row>
    <row r="3608">
      <c r="A3608" s="2" t="n">
        <v>3607</v>
      </c>
      <c r="B3608" s="2" t="inlineStr"/>
      <c r="C3608" s="2" t="n">
        <v>8130</v>
      </c>
      <c r="D3608" s="3" t="inlineStr">
        <is>
          <t>Пограничная тишина</t>
        </is>
      </c>
      <c r="E3608" s="2" t="n">
        <v>1965</v>
      </c>
      <c r="F3608" s="2" t="inlineStr">
        <is>
          <t>телефильм</t>
        </is>
      </c>
      <c r="G3608" s="2" t="n"/>
      <c r="H3608" s="2" t="n">
        <v>368</v>
      </c>
      <c r="I3608" s="2" t="inlineStr"/>
      <c r="J3608" s="2" t="inlineStr"/>
      <c r="K3608" s="3" t="inlineStr">
        <is>
          <t>В пограничном туркменском ауле Заранчи при загадочных обстоятельствах умирает парикмахер. На стене парикмахерской на рекламном портрете клиента появляются неизвестно кем нарисованные усики... Вскоре в аул приезжает новый мастер Калинкин. Усы на портрете он закрашивает... К новому парикмахеру является шофер и предъявляет пароль - подклеенную бумажкой рублёвую купюру.</t>
        </is>
      </c>
      <c r="L3608" s="2" t="inlineStr">
        <is>
          <t>Кино_СССР сводный каталог.xlsx: список телефильмов</t>
        </is>
      </c>
      <c r="M3608" s="2">
        <f>HYPERLINK("https://ru.wikipedia.org/w/index.php?search=%D0%9F%D0%BE%D0%B3%D1%80%D0%B0%D0%BD%D0%B8%D1%87%D0%BD%D0%B0%D1%8F%20%D1%82%D0%B8%D1%88%D0%B8%D0%BD%D0%B0%201965%20%D1%84%D0%B8%D0%BB%D1%8C%D0%BC","искать")</f>
        <v/>
      </c>
      <c r="N3608" s="3" t="n"/>
      <c r="O3608" s="2" t="n"/>
    </row>
    <row r="3609">
      <c r="A3609" s="2" t="n">
        <v>3608</v>
      </c>
      <c r="B3609" s="2" t="inlineStr"/>
      <c r="C3609" s="2" t="n">
        <v>8240</v>
      </c>
      <c r="D3609" s="3" t="inlineStr">
        <is>
          <t>Прошедшее вернуть...</t>
        </is>
      </c>
      <c r="E3609" s="2" t="n">
        <v>1988</v>
      </c>
      <c r="F3609" s="2" t="inlineStr">
        <is>
          <t>телефильм</t>
        </is>
      </c>
      <c r="G3609" s="2" t="n"/>
      <c r="H3609" s="2" t="n">
        <v>368</v>
      </c>
      <c r="I3609" s="2" t="inlineStr"/>
      <c r="J3609" s="2" t="inlineStr"/>
      <c r="K3609" s="3" t="inlineStr">
        <is>
          <t>История любви двух людей, чья молодость пришлась на бурные годы начала века, когда Европа и Россия буквально "набухали" революцией. Интеллигенция прежде всех впитала идеи свободолюбия, и первая же пострадала от них. Но пока все овеяно романтикой и все чувства обострены. В Берлине профессиональный революционер Гончаров знакомится с примадонной оперного театра Кларой.</t>
        </is>
      </c>
      <c r="L3609" s="2" t="inlineStr">
        <is>
          <t>Кино_СССР сводный каталог.xlsx: список телефильмов</t>
        </is>
      </c>
      <c r="M3609" s="2">
        <f>HYPERLINK("https://ru.wikipedia.org/w/index.php?search=%D0%9F%D1%80%D0%BE%D1%88%D0%B5%D0%B4%D1%88%D0%B5%D0%B5%20%D0%B2%D0%B5%D1%80%D0%BD%D1%83%D1%82%D1%8C...%201988%20%D1%84%D0%B8%D0%BB%D1%8C%D0%BC","искать")</f>
        <v/>
      </c>
      <c r="N3609" s="3" t="n"/>
      <c r="O3609" s="2" t="n"/>
    </row>
    <row r="3610">
      <c r="A3610" s="2" t="n">
        <v>3609</v>
      </c>
      <c r="B3610" s="2" t="inlineStr"/>
      <c r="C3610" s="2" t="n">
        <v>8824</v>
      </c>
      <c r="D3610" s="3" t="inlineStr">
        <is>
          <t>Мать Урагана</t>
        </is>
      </c>
      <c r="E3610" s="2" t="n">
        <v>1990</v>
      </c>
      <c r="F3610" s="2" t="inlineStr">
        <is>
          <t>кинофильм</t>
        </is>
      </c>
      <c r="G3610" s="2" t="n"/>
      <c r="H3610" s="2" t="n">
        <v>368</v>
      </c>
      <c r="I3610" s="2" t="inlineStr"/>
      <c r="J3610" s="2" t="inlineStr"/>
      <c r="K3610" s="3" t="inlineStr">
        <is>
          <t>По одноименной пьесе Владимира Короткевича о национально-освободительном антифеодальном восстании белорусских крестьян в XVIII веке. В крестьянской усадьбе вдовы Агны Ветер праздник - вечер перед свадьбой ее сына Василя. В суете приготовлений появляется некий Вощила - один из организаторов грядущего крестьянского восстания против бесчинств польского князя Радзивила.</t>
        </is>
      </c>
      <c r="L3610" s="2" t="inlineStr">
        <is>
          <t>Кино_СССР сводный каталог.xlsx: список фильмов (доп.)</t>
        </is>
      </c>
      <c r="M3610" s="2">
        <f>HYPERLINK("https://ru.wikipedia.org/w/index.php?search=%D0%9C%D0%B0%D1%82%D1%8C%20%D0%A3%D1%80%D0%B0%D0%B3%D0%B0%D0%BD%D0%B0%201990%20%D1%84%D0%B8%D0%BB%D1%8C%D0%BC","искать")</f>
        <v/>
      </c>
      <c r="N3610" s="3" t="n"/>
      <c r="O3610" s="2" t="n"/>
    </row>
    <row r="3611">
      <c r="A3611" s="2" t="n">
        <v>3610</v>
      </c>
      <c r="B3611" s="2" t="inlineStr"/>
      <c r="C3611" s="2" t="n">
        <v>9379</v>
      </c>
      <c r="D3611" s="3" t="inlineStr">
        <is>
          <t>Зимняя вишня – 2</t>
        </is>
      </c>
      <c r="E3611" s="2" t="n">
        <v>1990</v>
      </c>
      <c r="F3611" s="2" t="inlineStr">
        <is>
          <t>кинофильм</t>
        </is>
      </c>
      <c r="G3611" s="2" t="n"/>
      <c r="H3611" s="2" t="n">
        <v>368</v>
      </c>
      <c r="I3611" s="2" t="inlineStr"/>
      <c r="J3611" s="2" t="inlineStr"/>
      <c r="K3611" s="3" t="inlineStr">
        <is>
          <t>Жена преуспевающего американского бизнесмена, мать очаровательной пятилетней дочери, она спустя шесть лет приезжает в Россию и встречает своего бывшего возлюбленного... Вадим все такой же тонкий, интеллигентный и остроумный. И такой же нерешительный. У него есть совсем юная любовница - весьма предприимчивая особа, но счастлив Вадим только во сне, когда он видит Олю.</t>
        </is>
      </c>
      <c r="L3611" s="2" t="inlineStr">
        <is>
          <t>Кино_СССР сводный каталог.xlsx: список фильмов (доп.)</t>
        </is>
      </c>
      <c r="M3611" s="2">
        <f>HYPERLINK("https://ru.wikipedia.org/w/index.php?search=%D0%97%D0%B8%D0%BC%D0%BD%D1%8F%D1%8F%20%D0%B2%D0%B8%D1%88%D0%BD%D1%8F%20%E2%80%93%202%201990%20%D1%84%D0%B8%D0%BB%D1%8C%D0%BC","искать")</f>
        <v/>
      </c>
      <c r="N3611" s="3" t="n"/>
      <c r="O3611" s="2" t="n"/>
    </row>
    <row r="3612">
      <c r="A3612" s="2" t="n">
        <v>3611</v>
      </c>
      <c r="B3612" s="2" t="inlineStr"/>
      <c r="C3612" s="2" t="n">
        <v>9513</v>
      </c>
      <c r="D3612" s="3" t="inlineStr">
        <is>
          <t>Нога</t>
        </is>
      </c>
      <c r="E3612" s="2" t="n">
        <v>1991</v>
      </c>
      <c r="F3612" s="2" t="inlineStr">
        <is>
          <t>кинофильм</t>
        </is>
      </c>
      <c r="G3612" s="2" t="n"/>
      <c r="H3612" s="2" t="n">
        <v>368</v>
      </c>
      <c r="I3612" s="2" t="inlineStr"/>
      <c r="J3612" s="2" t="inlineStr"/>
      <c r="K3612" s="3" t="inlineStr">
        <is>
          <t>Сюрреалистическая драма по мотивам одноименной новеллы Уильяма Фолкнера. Первый российский фильм на тему войны в Афганистане и афганском синдроме. Двое друзей-первокурсников попадают в Афганистан. Один из них (Рыжий) погибает, второй (Мартын) после тяжелого ранения лишился ноги. Вернувшись с войны, он и не подозревал, что настоящий кошмар для него только начинается.</t>
        </is>
      </c>
      <c r="L3612" s="2" t="inlineStr">
        <is>
          <t>Кино_СССР сводный каталог.xlsx: список фильмов (доп.)</t>
        </is>
      </c>
      <c r="M3612" s="2">
        <f>HYPERLINK("https://ru.wikipedia.org/w/index.php?search=%D0%9D%D0%BE%D0%B3%D0%B0%201991%20%D1%84%D0%B8%D0%BB%D1%8C%D0%BC","искать")</f>
        <v/>
      </c>
      <c r="N3612" s="3" t="n"/>
      <c r="O3612" s="2" t="n"/>
    </row>
    <row r="3613">
      <c r="A3613" s="2" t="n">
        <v>3612</v>
      </c>
      <c r="B3613" s="2" t="inlineStr"/>
      <c r="C3613" s="2" t="n">
        <v>9626</v>
      </c>
      <c r="D3613" s="3" t="inlineStr">
        <is>
          <t>Рыцарский замок</t>
        </is>
      </c>
      <c r="E3613" s="2" t="n">
        <v>1990</v>
      </c>
      <c r="F3613" s="2" t="inlineStr">
        <is>
          <t>кинофильм</t>
        </is>
      </c>
      <c r="G3613" s="2" t="n"/>
      <c r="H3613" s="2" t="n">
        <v>368</v>
      </c>
      <c r="I3613" s="2" t="inlineStr"/>
      <c r="J3613" s="2" t="inlineStr"/>
      <c r="K3613" s="3" t="inlineStr">
        <is>
          <t>14-й век. На границе владений Великого Новгорода и Ливонского ордена занял оборону отряд воинов под предводительством отважного Всеслава. Во время приграничной стычки Всеслав попадает в плен и оказывается в замке рыцаря Ромуальда - Нейгаузен. Хозяева относятся к пленному, как к гостю. Вскоре замок навещает тевтонский рыцарь Эвальд, влюбленный в Эмму, жену Ромуальда.</t>
        </is>
      </c>
      <c r="L3613" s="2" t="inlineStr">
        <is>
          <t>Кино_СССР сводный каталог.xlsx: список фильмов (доп.)</t>
        </is>
      </c>
      <c r="M3613" s="2">
        <f>HYPERLINK("https://ru.wikipedia.org/w/index.php?search=%D0%A0%D1%8B%D1%86%D0%B0%D1%80%D1%81%D0%BA%D0%B8%D0%B9%20%D0%B7%D0%B0%D0%BC%D0%BE%D0%BA%201990%20%D1%84%D0%B8%D0%BB%D1%8C%D0%BC","искать")</f>
        <v/>
      </c>
      <c r="N3613" s="3" t="n"/>
      <c r="O3613" s="2" t="n"/>
    </row>
    <row r="3614">
      <c r="A3614" s="2" t="n">
        <v>3613</v>
      </c>
      <c r="B3614" s="2" t="inlineStr"/>
      <c r="C3614" s="2" t="n">
        <v>9676</v>
      </c>
      <c r="D3614" s="3" t="inlineStr">
        <is>
          <t>Стук в дверь</t>
        </is>
      </c>
      <c r="E3614" s="2" t="n">
        <v>1989</v>
      </c>
      <c r="F3614" s="2" t="inlineStr">
        <is>
          <t>кинофильм</t>
        </is>
      </c>
      <c r="G3614" s="2" t="n"/>
      <c r="H3614" s="2" t="n">
        <v>368</v>
      </c>
      <c r="I3614" s="2" t="inlineStr"/>
      <c r="J3614" s="2" t="inlineStr"/>
      <c r="K3614" s="3" t="inlineStr">
        <is>
          <t>...1949 год. Баулин, директор школы в маленьком молдавском городке, вызван ночью в райком партии. Ему поручено возглавить группу, которая проводит в районе акцию по выселению так называемых пособников фашистов. Мы увидим лишь сутки из жизни главного героя. Он ходит по хатам, видит занесенных в «черные списки» людей, понимает, что они никак не могли быть предателями.</t>
        </is>
      </c>
      <c r="L3614" s="2" t="inlineStr">
        <is>
          <t>Кино_СССР сводный каталог.xlsx: список фильмов (доп.)</t>
        </is>
      </c>
      <c r="M3614" s="2">
        <f>HYPERLINK("https://ru.wikipedia.org/w/index.php?search=%D0%A1%D1%82%D1%83%D0%BA%20%D0%B2%20%D0%B4%D0%B2%D0%B5%D1%80%D1%8C%201989%20%D1%84%D0%B8%D0%BB%D1%8C%D0%BC","искать")</f>
        <v/>
      </c>
      <c r="N3614" s="3" t="n"/>
      <c r="O3614" s="2" t="n"/>
    </row>
    <row r="3615">
      <c r="A3615" s="2" t="n">
        <v>3614</v>
      </c>
      <c r="B3615" s="2" t="inlineStr"/>
      <c r="C3615" s="2" t="n">
        <v>7400</v>
      </c>
      <c r="D3615" s="3" t="inlineStr">
        <is>
          <t>Всего один поворот</t>
        </is>
      </c>
      <c r="E3615" s="2" t="n">
        <v>1986</v>
      </c>
      <c r="F3615" s="2" t="inlineStr">
        <is>
          <t>телефильм</t>
        </is>
      </c>
      <c r="G3615" s="2" t="n"/>
      <c r="H3615" s="2" t="n">
        <v>369</v>
      </c>
      <c r="I3615" s="2" t="inlineStr"/>
      <c r="J3615" s="2" t="inlineStr"/>
      <c r="K3615" s="3" t="inlineStr">
        <is>
          <t>Елена Тарасова - молодая, современная женщина, работает шофером такси. Она одинока, разочарована в мужчинах, но имеет близкого друга автогонщика, к которому летает в разные города на свидания. Однажды, после отказа начальника таксопарка дать в очередной раз отпуск за свой счет, Лена решает обмануть его и просит встретившегося ей на улице моряка представиться женихом.</t>
        </is>
      </c>
      <c r="L3615" s="2" t="inlineStr">
        <is>
          <t>Кино_СССР сводный каталог.xlsx: список телефильмов</t>
        </is>
      </c>
      <c r="M3615" s="2">
        <f>HYPERLINK("https://ru.wikipedia.org/w/index.php?search=%D0%92%D1%81%D0%B5%D0%B3%D0%BE%20%D0%BE%D0%B4%D0%B8%D0%BD%20%D0%BF%D0%BE%D0%B2%D0%BE%D1%80%D0%BE%D1%82%201986%20%D1%84%D0%B8%D0%BB%D1%8C%D0%BC","искать")</f>
        <v/>
      </c>
      <c r="N3615" s="3" t="n"/>
      <c r="O3615" s="2" t="n"/>
    </row>
    <row r="3616">
      <c r="A3616" s="2" t="n">
        <v>3615</v>
      </c>
      <c r="B3616" s="2" t="inlineStr"/>
      <c r="C3616" s="2" t="n">
        <v>7657</v>
      </c>
      <c r="D3616" s="3" t="inlineStr">
        <is>
          <t>Зять</t>
        </is>
      </c>
      <c r="E3616" s="2" t="n">
        <v>1976</v>
      </c>
      <c r="F3616" s="2" t="inlineStr">
        <is>
          <t>телефильм</t>
        </is>
      </c>
      <c r="G3616" s="2" t="n"/>
      <c r="H3616" s="2" t="n">
        <v>369</v>
      </c>
      <c r="I3616" s="2" t="inlineStr"/>
      <c r="J3616" s="2" t="inlineStr"/>
      <c r="K3616" s="3" t="inlineStr">
        <is>
          <t>Фильм поставлен по пьесе Винцаса Креве. Действие происходит в начале XX века. В картине изображается жизнь крестьян того времени, проблемы семьи и любви, когда семьи создавались по расчёту, из-за налаженного хозяйства и богатой невесты. В картине показана судьба молодого человека, отправившего в Америку искать счастья, его тоска по родине и поиски истинных ценностей.</t>
        </is>
      </c>
      <c r="L3616" s="2" t="inlineStr">
        <is>
          <t>Кино_СССР сводный каталог.xlsx: список телефильмов</t>
        </is>
      </c>
      <c r="M3616" s="2">
        <f>HYPERLINK("https://ru.wikipedia.org/w/index.php?search=%D0%97%D1%8F%D1%82%D1%8C%201976%20%D1%84%D0%B8%D0%BB%D1%8C%D0%BC","искать")</f>
        <v/>
      </c>
      <c r="N3616" s="3" t="n"/>
      <c r="O3616" s="2" t="n"/>
    </row>
    <row r="3617">
      <c r="A3617" s="2" t="n">
        <v>3616</v>
      </c>
      <c r="B3617" s="2" t="inlineStr"/>
      <c r="C3617" s="2" t="n">
        <v>8749</v>
      </c>
      <c r="D3617" s="3" t="inlineStr">
        <is>
          <t>Исполнитель 977</t>
        </is>
      </c>
      <c r="E3617" s="2" t="n">
        <v>1989</v>
      </c>
      <c r="F3617" s="2" t="inlineStr">
        <is>
          <t>кинофильм</t>
        </is>
      </c>
      <c r="G3617" s="2" t="n"/>
      <c r="H3617" s="2" t="n">
        <v>369</v>
      </c>
      <c r="I3617" s="2" t="inlineStr"/>
      <c r="J3617" s="2" t="inlineStr"/>
      <c r="K3617" s="3" t="inlineStr">
        <is>
          <t>На одной из планет в большом мегаполисе живут потомки землян. У них нет имен, так как они официально зарегистрированы под номерами. Они не знают своих родителей, ибо с рождения отчуждаются от них. Обитатели города делятся на элиту (вершителей) и массу (исполнителей). Исполнители — это люди-роботы, одетые в одинаковые прозрачные одежды, унифицированные в своей наготе.</t>
        </is>
      </c>
      <c r="L3617" s="2" t="inlineStr">
        <is>
          <t>Кино_СССР сводный каталог.xlsx: список фильмов (доп.)</t>
        </is>
      </c>
      <c r="M3617" s="2">
        <f>HYPERLINK("https://ru.wikipedia.org/w/index.php?search=%D0%98%D1%81%D0%BF%D0%BE%D0%BB%D0%BD%D0%B8%D1%82%D0%B5%D0%BB%D1%8C%20977%201989%20%D1%84%D0%B8%D0%BB%D1%8C%D0%BC","искать")</f>
        <v/>
      </c>
      <c r="N3617" s="3" t="n"/>
      <c r="O3617" s="2" t="n"/>
    </row>
    <row r="3618">
      <c r="A3618" s="2" t="n">
        <v>3617</v>
      </c>
      <c r="B3618" s="2" t="inlineStr"/>
      <c r="C3618" s="2" t="n">
        <v>8823</v>
      </c>
      <c r="D3618" s="3" t="inlineStr">
        <is>
          <t>Мать</t>
        </is>
      </c>
      <c r="E3618" s="2" t="n">
        <v>1989</v>
      </c>
      <c r="F3618" s="2" t="inlineStr">
        <is>
          <t>кинофильм</t>
        </is>
      </c>
      <c r="G3618" s="2" t="n"/>
      <c r="H3618" s="2" t="n">
        <v>369</v>
      </c>
      <c r="I3618" s="2" t="inlineStr"/>
      <c r="J3618" s="2" t="inlineStr"/>
      <c r="K3618" s="3" t="inlineStr">
        <is>
          <t>Экранизация одноименной повести Максима Горького, с использованием мотивов из других его произведений. Действие происходит в России в начале XX века, в рабочей слободке, жизнь которой завязана на работу на фабрике. Сын Пелагеи Ниловны, вдовы слесаря, Павел Власов, вдруг начинает читать запрещённые книги, которые приносит из города, начинает собирать у себя товарищей.</t>
        </is>
      </c>
      <c r="L3618" s="2" t="inlineStr">
        <is>
          <t>Кино_СССР сводный каталог.xlsx: список фильмов (доп.)</t>
        </is>
      </c>
      <c r="M3618" s="2">
        <f>HYPERLINK("https://ru.wikipedia.org/w/index.php?search=%D0%9C%D0%B0%D1%82%D1%8C%201989%20%D1%84%D0%B8%D0%BB%D1%8C%D0%BC","искать")</f>
        <v/>
      </c>
      <c r="N3618" s="3" t="n"/>
      <c r="O3618" s="2" t="n"/>
    </row>
    <row r="3619">
      <c r="A3619" s="2" t="n">
        <v>3618</v>
      </c>
      <c r="B3619" s="2" t="inlineStr"/>
      <c r="C3619" s="2" t="n">
        <v>9082</v>
      </c>
      <c r="D3619" s="3" t="inlineStr">
        <is>
          <t>Счастливый случай</t>
        </is>
      </c>
      <c r="E3619" s="2" t="n">
        <v>1987</v>
      </c>
      <c r="F3619" s="2" t="inlineStr">
        <is>
          <t>кинофильм</t>
        </is>
      </c>
      <c r="G3619" s="2" t="n"/>
      <c r="H3619" s="2" t="n">
        <v>369</v>
      </c>
      <c r="I3619" s="2" t="inlineStr"/>
      <c r="J3619" s="2" t="inlineStr"/>
      <c r="K3619" s="3" t="inlineStr">
        <is>
          <t>По рассказам А.И. Куприна. Дело было на Рождество. Три приятеля - газетчик, бас и адвокат - собрались в гости. Накупив подарков, они ринулись на перрон. В поезде мест не было. В первом классе им повезло - в купе сидела в одиночестве дама. Но она не пустила их в купе. Приятели решили сыграть с ней шутку, и повели ее к жандарму, выяснять, ее ли это вещи в купе или нет.</t>
        </is>
      </c>
      <c r="L3619" s="2" t="inlineStr">
        <is>
          <t>Кино_СССР сводный каталог.xlsx: список фильмов (доп.)</t>
        </is>
      </c>
      <c r="M3619" s="2">
        <f>HYPERLINK("https://ru.wikipedia.org/w/index.php?search=%D0%A1%D1%87%D0%B0%D1%81%D1%82%D0%BB%D0%B8%D0%B2%D1%8B%D0%B9%20%D1%81%D0%BB%D1%83%D1%87%D0%B0%D0%B9%201987%20%D1%84%D0%B8%D0%BB%D1%8C%D0%BC","искать")</f>
        <v/>
      </c>
      <c r="N3619" s="3" t="n"/>
      <c r="O3619" s="2" t="n"/>
    </row>
    <row r="3620">
      <c r="A3620" s="2" t="n">
        <v>3619</v>
      </c>
      <c r="B3620" s="2" t="inlineStr"/>
      <c r="C3620" s="2" t="n">
        <v>9283</v>
      </c>
      <c r="D3620" s="3" t="inlineStr">
        <is>
          <t>Восточная плутовка</t>
        </is>
      </c>
      <c r="E3620" s="2" t="n">
        <v>1989</v>
      </c>
      <c r="F3620" s="2" t="inlineStr">
        <is>
          <t>кинофильм</t>
        </is>
      </c>
      <c r="G3620" s="2" t="n"/>
      <c r="H3620" s="2" t="n">
        <v>369</v>
      </c>
      <c r="I3620" s="2" t="inlineStr"/>
      <c r="J3620" s="2" t="inlineStr"/>
      <c r="K3620" s="3" t="inlineStr">
        <is>
          <t>Фильм снят по пьесе Хамзы Хаким-заде Ниязи "Проделки Майсары". Двое преуспевающих друзей - Кадиев и Аглямов, смотрят исторический видеофильм и по ходу событий, разворачивающихся на экране, от души поливают современную жизнь. Однако, после легкого взрыва, время поворачивается вспять - и герои в восточных халатах и при чалмах оказываются в центре событий далекой эпохи.</t>
        </is>
      </c>
      <c r="L3620" s="2" t="inlineStr">
        <is>
          <t>Кино_СССР сводный каталог.xlsx: список фильмов (доп.)</t>
        </is>
      </c>
      <c r="M3620" s="2">
        <f>HYPERLINK("https://ru.wikipedia.org/w/index.php?search=%D0%92%D0%BE%D1%81%D1%82%D0%BE%D1%87%D0%BD%D0%B0%D1%8F%20%D0%BF%D0%BB%D1%83%D1%82%D0%BE%D0%B2%D0%BA%D0%B0%201989%20%D1%84%D0%B8%D0%BB%D1%8C%D0%BC","искать")</f>
        <v/>
      </c>
      <c r="N3620" s="3" t="n"/>
      <c r="O3620" s="2" t="n"/>
    </row>
    <row r="3621">
      <c r="A3621" s="2" t="n">
        <v>3620</v>
      </c>
      <c r="B3621" s="2" t="inlineStr"/>
      <c r="C3621" s="2" t="n">
        <v>10170</v>
      </c>
      <c r="D3621" s="3" t="inlineStr">
        <is>
          <t>Несерьёзный человек</t>
        </is>
      </c>
      <c r="E3621" s="2" t="n">
        <v>1966</v>
      </c>
      <c r="F3621" s="2" t="inlineStr">
        <is>
          <t>фильм-спектакль</t>
        </is>
      </c>
      <c r="G3621" s="2" t="inlineStr">
        <is>
          <t>Ленинградское телевидение</t>
        </is>
      </c>
      <c r="H3621" s="2" t="n">
        <v>369</v>
      </c>
      <c r="I3621" s="2" t="inlineStr"/>
      <c r="J3621" s="2" t="inlineStr"/>
      <c r="K3621" s="3" t="inlineStr">
        <is>
          <t>Новый год. Ленинград. Железнодорожный вокзал. Поезда уходят, поезда прибывают. Главный герой Алексеев приехал в отпуск, но остановиться негде и в гостинице нет мест. Кто-то опоздал на поезд, кто-то потерял кошелек и билет, кого-то не встретили и некуда идти. Вот так и собрались вместе совершенно разные люди; компания, которая вынуждена встречать Новый год на вокзале.</t>
        </is>
      </c>
      <c r="L3621" s="2" t="inlineStr">
        <is>
          <t>https://www.kino-teatr.ru/teatr/movie/108983/annot/</t>
        </is>
      </c>
      <c r="M3621" s="2">
        <f>HYPERLINK("https://ru.wikipedia.org/w/index.php?search=%D0%9D%D0%B5%D1%81%D0%B5%D1%80%D1%8C%D1%91%D0%B7%D0%BD%D1%8B%D0%B9%20%D1%87%D0%B5%D0%BB%D0%BE%D0%B2%D0%B5%D0%BA%201966%20%D1%84%D0%B8%D0%BB%D1%8C%D0%BC","искать")</f>
        <v/>
      </c>
      <c r="N3621" s="3" t="n"/>
      <c r="O3621" s="2" t="n"/>
    </row>
    <row r="3622">
      <c r="A3622" s="2" t="n">
        <v>3621</v>
      </c>
      <c r="B3622" s="2" t="inlineStr"/>
      <c r="C3622" s="2" t="n">
        <v>10952</v>
      </c>
      <c r="D3622" s="3" t="inlineStr">
        <is>
          <t>Операция на сердце</t>
        </is>
      </c>
      <c r="E3622" s="2" t="n">
        <v>1982</v>
      </c>
      <c r="F3622" s="2" t="inlineStr">
        <is>
          <t>фильм-спектакль</t>
        </is>
      </c>
      <c r="G3622" s="2" t="inlineStr">
        <is>
          <t>Главная редакция литературно-драматических программ ЦТ</t>
        </is>
      </c>
      <c r="H3622" s="2" t="n">
        <v>369</v>
      </c>
      <c r="I3622" s="2" t="inlineStr"/>
      <c r="J3622" s="2" t="inlineStr"/>
      <c r="K3622" s="3" t="inlineStr">
        <is>
          <t>По одноименной пьесе Анатолия Софронова.
Герой телеспектакля - главный хирург областной клиники Алексей Васильевич Иванов - вынужден защищаться от анонимных писем, интриг, наговоров, организованных мелкими корыстолюбцами Рыжейкиным и Знобиной, пытающимися занять свое место под солнцем. Заговор был разоблачен, но зло, причиненное ими, нанесло смертельный удар Иванову.</t>
        </is>
      </c>
      <c r="L3622" s="2" t="inlineStr">
        <is>
          <t>https://www.kino-teatr.ru/teatr/movie/13242/annot/</t>
        </is>
      </c>
      <c r="M3622" s="2">
        <f>HYPERLINK("https://ru.wikipedia.org/w/index.php?search=%D0%9E%D0%BF%D0%B5%D1%80%D0%B0%D1%86%D0%B8%D1%8F%20%D0%BD%D0%B0%20%D1%81%D0%B5%D1%80%D0%B4%D1%86%D0%B5%201982%20%D1%84%D0%B8%D0%BB%D1%8C%D0%BC","искать")</f>
        <v/>
      </c>
      <c r="N3622" s="3" t="n"/>
      <c r="O3622" s="2" t="n"/>
    </row>
    <row r="3623">
      <c r="A3623" s="2" t="n">
        <v>3622</v>
      </c>
      <c r="B3623" s="2" t="inlineStr"/>
      <c r="C3623" s="2" t="n">
        <v>11106</v>
      </c>
      <c r="D3623" s="3" t="inlineStr">
        <is>
          <t>Дети раздоров</t>
        </is>
      </c>
      <c r="E3623" s="2" t="n">
        <v>1986</v>
      </c>
      <c r="F3623" s="2" t="inlineStr">
        <is>
          <t>фильм-спектакль</t>
        </is>
      </c>
      <c r="G3623" s="2" t="inlineStr">
        <is>
          <t>Главная редакция литературно-драматических программ ЦТ</t>
        </is>
      </c>
      <c r="H3623" s="2" t="n">
        <v>369</v>
      </c>
      <c r="I3623" s="2" t="inlineStr"/>
      <c r="J3623" s="2" t="inlineStr"/>
      <c r="K3623" s="3" t="inlineStr">
        <is>
          <t>Телефильм из цикла "Какие мы?".
Журналист пытается выяснить причины развода семьи Деминых. Каждый из супругов выдвигает свою версию происходящего. Выясняется, что муж отказывается отдать жене девятилетнего сына, считая, что она не сможет воспитать его должным образом. Он пользуется всеми дозволенными и недозволенными методами, чтобы привлечь мальчика на свою сторону.</t>
        </is>
      </c>
      <c r="L3623" s="2" t="inlineStr">
        <is>
          <t>https://www.kino-teatr.ru/teatr/movie/15452/annot/</t>
        </is>
      </c>
      <c r="M3623" s="2">
        <f>HYPERLINK("https://ru.wikipedia.org/w/index.php?search=%D0%94%D0%B5%D1%82%D0%B8%20%D1%80%D0%B0%D0%B7%D0%B4%D0%BE%D1%80%D0%BE%D0%B2%201986%20%D1%84%D0%B8%D0%BB%D1%8C%D0%BC","искать")</f>
        <v/>
      </c>
      <c r="N3623" s="3" t="n"/>
      <c r="O3623" s="2" t="n"/>
    </row>
    <row r="3624">
      <c r="A3624" s="2" t="n">
        <v>3623</v>
      </c>
      <c r="B3624" s="2" t="inlineStr"/>
      <c r="C3624" s="2" t="n">
        <v>7203</v>
      </c>
      <c r="D3624" s="3" t="inlineStr">
        <is>
          <t>Алло, Варшава!</t>
        </is>
      </c>
      <c r="E3624" s="2" t="n">
        <v>1971</v>
      </c>
      <c r="F3624" s="2" t="inlineStr">
        <is>
          <t>телефильм</t>
        </is>
      </c>
      <c r="G3624" s="2" t="inlineStr">
        <is>
          <t>Свердловская к/с</t>
        </is>
      </c>
      <c r="H3624" s="2" t="n">
        <v>370</v>
      </c>
      <c r="I3624" s="2" t="inlineStr"/>
      <c r="J3624" s="2" t="inlineStr"/>
      <c r="K3624" s="3" t="inlineStr">
        <is>
          <t>Врач Анджей Вишневский становится победителем конкурса, проводимого польским телевидением. Сам Анджей родился на Украине, а в годы Второй мировой войны, еще будучи ребенком, оказался в Польше. Герой знакомится с журналисткой Ренатой, которая соглашается помочь ему найти сестру в СССР. Поиски родственницы завершаются успешно, а Рената и Анджей становятся мужем и женой.</t>
        </is>
      </c>
      <c r="L3624" s="2" t="inlineStr">
        <is>
          <t>Кино_СССР сводный каталог.xlsx: список телефильмов</t>
        </is>
      </c>
      <c r="M3624" s="2">
        <f>HYPERLINK("https://ru.wikipedia.org/w/index.php?search=%D0%90%D0%BB%D0%BB%D0%BE%2C%20%D0%92%D0%B0%D1%80%D1%88%D0%B0%D0%B2%D0%B0%21%201971%20%D1%84%D0%B8%D0%BB%D1%8C%D0%BC","искать")</f>
        <v/>
      </c>
      <c r="N3624" s="3" t="n"/>
      <c r="O3624" s="2" t="n"/>
    </row>
    <row r="3625">
      <c r="A3625" s="2" t="n">
        <v>3624</v>
      </c>
      <c r="B3625" s="2" t="inlineStr"/>
      <c r="C3625" s="2" t="n">
        <v>7972</v>
      </c>
      <c r="D3625" s="3" t="inlineStr">
        <is>
          <t>Невеста с севера</t>
        </is>
      </c>
      <c r="E3625" s="2" t="n">
        <v>1975</v>
      </c>
      <c r="F3625" s="2" t="inlineStr">
        <is>
          <t>телефильм</t>
        </is>
      </c>
      <c r="G3625" s="2" t="n"/>
      <c r="H3625" s="2" t="n">
        <v>370</v>
      </c>
      <c r="I3625" s="2" t="inlineStr"/>
      <c r="J3625" s="2" t="inlineStr"/>
      <c r="K3625" s="3" t="inlineStr">
        <is>
          <t>Популярная комедия со шлягерами А.Бабаджаняна. И в русских деревнях, и в армянских селах испокон веков повелось - невеста должна идти в дом к жениху. Но какая мать захочет отпустить единственную дочь за тридевять земель. Эксцентричная, увлекательная комедия о том, как многочисленные и разноликие родственники жениха из Армении сватали невесту в далекой русской деревне.</t>
        </is>
      </c>
      <c r="L3625" s="2" t="inlineStr">
        <is>
          <t>Кино_СССР сводный каталог.xlsx: список телефильмов</t>
        </is>
      </c>
      <c r="M3625" s="2">
        <f>HYPERLINK("https://ru.wikipedia.org/w/index.php?search=%D0%9D%D0%B5%D0%B2%D0%B5%D1%81%D1%82%D0%B0%20%D1%81%20%D1%81%D0%B5%D0%B2%D0%B5%D1%80%D0%B0%201975%20%D1%84%D0%B8%D0%BB%D1%8C%D0%BC","искать")</f>
        <v/>
      </c>
      <c r="N3625" s="3" t="n"/>
      <c r="O3625" s="2" t="n"/>
    </row>
    <row r="3626">
      <c r="A3626" s="2" t="n">
        <v>3625</v>
      </c>
      <c r="B3626" s="2" t="inlineStr"/>
      <c r="C3626" s="2" t="n">
        <v>8276</v>
      </c>
      <c r="D3626" s="3" t="inlineStr">
        <is>
          <t>Родила меня мать счастливым...</t>
        </is>
      </c>
      <c r="E3626" s="2" t="n">
        <v>1980</v>
      </c>
      <c r="F3626" s="2" t="inlineStr">
        <is>
          <t>телефильм</t>
        </is>
      </c>
      <c r="G3626" s="2" t="n"/>
      <c r="H3626" s="2" t="n">
        <v>370</v>
      </c>
      <c r="I3626" s="2" t="inlineStr"/>
      <c r="J3626" s="2" t="inlineStr"/>
      <c r="K3626" s="3" t="inlineStr">
        <is>
          <t>По мотивам повести Г.Маларчука «Кукушкин камень». Действие фильма происходит в 1944 году в молдавском селе, только-что освобожденном Советской Армией. Молодой учитель создает школьную пионерскую организацию. Ему противодействует директор школы, скрывающий фашистского агента. С помощью молодого учителя и его учеников сотрудникам милиции удается обезвредить преступника.</t>
        </is>
      </c>
      <c r="L3626" s="2" t="inlineStr">
        <is>
          <t>Кино_СССР сводный каталог.xlsx: список телефильмов</t>
        </is>
      </c>
      <c r="M3626" s="2">
        <f>HYPERLINK("https://ru.wikipedia.org/w/index.php?search=%D0%A0%D0%BE%D0%B4%D0%B8%D0%BB%D0%B0%20%D0%BC%D0%B5%D0%BD%D1%8F%20%D0%BC%D0%B0%D1%82%D1%8C%20%D1%81%D1%87%D0%B0%D1%81%D1%82%D0%BB%D0%B8%D0%B2%D1%8B%D0%BC...%201980%20%D1%84%D0%B8%D0%BB%D1%8C%D0%BC","искать")</f>
        <v/>
      </c>
      <c r="N3626" s="3" t="n"/>
      <c r="O3626" s="2" t="n"/>
    </row>
    <row r="3627">
      <c r="A3627" s="2" t="n">
        <v>3626</v>
      </c>
      <c r="B3627" s="2" t="inlineStr"/>
      <c r="C3627" s="2" t="n">
        <v>8542</v>
      </c>
      <c r="D3627" s="3" t="inlineStr">
        <is>
          <t>Час оборотня</t>
        </is>
      </c>
      <c r="E3627" s="2" t="n">
        <v>1990</v>
      </c>
      <c r="F3627" s="2" t="inlineStr">
        <is>
          <t>телефильм</t>
        </is>
      </c>
      <c r="G3627" s="2" t="n"/>
      <c r="H3627" s="2" t="n">
        <v>370</v>
      </c>
      <c r="I3627" s="2" t="inlineStr"/>
      <c r="J3627" s="2" t="inlineStr"/>
      <c r="K3627" s="3" t="inlineStr">
        <is>
          <t>Однажды пожилой журналист Григорий Максимович как-то темным поздним безлюдным вечером был укушен страшной черной собакой. Спустя несколько дней Григорий Максимович с изумлением начинает фиксировать некие странные трансформации, происходящие в его сознании. А затем однажды ночью эти трансформации обретают и физическую природу - Григорий Максимович становится оборотнем.</t>
        </is>
      </c>
      <c r="L3627" s="2" t="inlineStr">
        <is>
          <t>Кино_СССР сводный каталог.xlsx: список телефильмов</t>
        </is>
      </c>
      <c r="M3627" s="2">
        <f>HYPERLINK("https://ru.wikipedia.org/w/index.php?search=%D0%A7%D0%B0%D1%81%20%D0%BE%D0%B1%D0%BE%D1%80%D0%BE%D1%82%D0%BD%D1%8F%201990%20%D1%84%D0%B8%D0%BB%D1%8C%D0%BC","искать")</f>
        <v/>
      </c>
      <c r="N3627" s="3" t="n"/>
      <c r="O3627" s="2" t="n"/>
    </row>
    <row r="3628">
      <c r="A3628" s="2" t="n">
        <v>3627</v>
      </c>
      <c r="B3628" s="2" t="inlineStr"/>
      <c r="C3628" s="2" t="n">
        <v>8733</v>
      </c>
      <c r="D3628" s="3" t="inlineStr">
        <is>
          <t>Звезда шерифа</t>
        </is>
      </c>
      <c r="E3628" s="2" t="n">
        <v>1991</v>
      </c>
      <c r="F3628" s="2" t="inlineStr">
        <is>
          <t>кинофильм</t>
        </is>
      </c>
      <c r="G3628" s="2" t="n"/>
      <c r="H3628" s="2" t="n">
        <v>370</v>
      </c>
      <c r="I3628" s="2" t="inlineStr"/>
      <c r="J3628" s="2" t="inlineStr"/>
      <c r="K3628" s="3" t="inlineStr">
        <is>
          <t>По мотивам повести Сиднея Шелдона "Дон Винтон". Случайное столкновение врача-психоаналитика Джада Стивенса с мафиози Демарко - стержень сюжета фильма. Жена Демарко обращается в клинику Стивенса, но он не может понять из невнятных намеков, в чем ее проблемы. А четыре убийства, ужаснувшие город своей жестокостью и отсутствием видимых мотивов, можно связать с чем угодно.</t>
        </is>
      </c>
      <c r="L3628" s="2" t="inlineStr">
        <is>
          <t>Кино_СССР сводный каталог.xlsx: список фильмов (доп.)</t>
        </is>
      </c>
      <c r="M3628" s="2">
        <f>HYPERLINK("https://ru.wikipedia.org/w/index.php?search=%D0%97%D0%B2%D0%B5%D0%B7%D0%B4%D0%B0%20%D1%88%D0%B5%D1%80%D0%B8%D1%84%D0%B0%201991%20%D1%84%D0%B8%D0%BB%D1%8C%D0%BC","искать")</f>
        <v/>
      </c>
      <c r="N3628" s="3" t="n"/>
      <c r="O3628" s="2" t="n"/>
    </row>
    <row r="3629">
      <c r="A3629" s="2" t="n">
        <v>3628</v>
      </c>
      <c r="B3629" s="2" t="inlineStr"/>
      <c r="C3629" s="2" t="n">
        <v>8952</v>
      </c>
      <c r="D3629" s="3" t="inlineStr">
        <is>
          <t>Полнолуние</t>
        </is>
      </c>
      <c r="E3629" s="2" t="n">
        <v>1989</v>
      </c>
      <c r="F3629" s="2" t="inlineStr">
        <is>
          <t>кинофильм</t>
        </is>
      </c>
      <c r="G3629" s="2" t="n"/>
      <c r="H3629" s="2" t="n">
        <v>370</v>
      </c>
      <c r="I3629" s="2" t="inlineStr"/>
      <c r="J3629" s="2" t="inlineStr"/>
      <c r="K3629" s="3" t="inlineStr">
        <is>
          <t>Девушка Ая приезжает в санатории и медленно погружается в сплетение сложных человеческих взаимоотношении, вбирая в себе боли и страдания больных и разобщенных людей. От эгоистического мировосприятия она приходит к сознанию необходимости милосердия. Главная тема фильма - это внимание к больному человеку, поставленному в особые условия отчуждения от мира здоровых людей.</t>
        </is>
      </c>
      <c r="L3629" s="2" t="inlineStr">
        <is>
          <t>Кино_СССР сводный каталог.xlsx: список фильмов (доп.)</t>
        </is>
      </c>
      <c r="M3629" s="2">
        <f>HYPERLINK("https://ru.wikipedia.org/w/index.php?search=%D0%9F%D0%BE%D0%BB%D0%BD%D0%BE%D0%BB%D1%83%D0%BD%D0%B8%D0%B5%201989%20%D1%84%D0%B8%D0%BB%D1%8C%D0%BC","искать")</f>
        <v/>
      </c>
      <c r="N3629" s="3" t="n"/>
      <c r="O3629" s="2" t="n"/>
    </row>
    <row r="3630">
      <c r="A3630" s="2" t="n">
        <v>3629</v>
      </c>
      <c r="B3630" s="2" t="inlineStr"/>
      <c r="C3630" s="2" t="n">
        <v>9268</v>
      </c>
      <c r="D3630" s="3" t="inlineStr">
        <is>
          <t>Верными останемся</t>
        </is>
      </c>
      <c r="E3630" s="2" t="n">
        <v>1988</v>
      </c>
      <c r="F3630" s="2" t="inlineStr">
        <is>
          <t>кинофильм</t>
        </is>
      </c>
      <c r="G3630" s="2" t="n"/>
      <c r="H3630" s="2" t="n">
        <v>370</v>
      </c>
      <c r="I3630" s="2" t="inlineStr"/>
      <c r="J3630" s="2" t="inlineStr"/>
      <c r="K3630" s="3" t="inlineStr">
        <is>
          <t>Герои кинодилогии - воины-интернационалисты (русские, болгары, поляки, немцы, испанцы, венгры, чехи и словаки), участники гражданской войны в Испании, стали участниками Великой Отчественной (некоторые в рядах Красной (Советской) армии и Второй мировой войны и героями Сопротивления, также показана их послевоенная деятельность, по разному сложились судьбы героев фильма.</t>
        </is>
      </c>
      <c r="L3630" s="2" t="inlineStr">
        <is>
          <t>Кино_СССР сводный каталог.xlsx: список фильмов (доп.)</t>
        </is>
      </c>
      <c r="M3630" s="2">
        <f>HYPERLINK("https://ru.wikipedia.org/w/index.php?search=%D0%92%D0%B5%D1%80%D0%BD%D1%8B%D0%BC%D0%B8%20%D0%BE%D1%81%D1%82%D0%B0%D0%BD%D0%B5%D0%BC%D1%81%D1%8F%201988%20%D1%84%D0%B8%D0%BB%D1%8C%D0%BC","искать")</f>
        <v/>
      </c>
      <c r="N3630" s="3" t="n"/>
      <c r="O3630" s="2" t="n"/>
    </row>
    <row r="3631">
      <c r="A3631" s="2" t="n">
        <v>3630</v>
      </c>
      <c r="B3631" s="2" t="inlineStr"/>
      <c r="C3631" s="2" t="n">
        <v>9354</v>
      </c>
      <c r="D3631" s="3" t="inlineStr">
        <is>
          <t>Железный ангел</t>
        </is>
      </c>
      <c r="E3631" s="2" t="n">
        <v>1942</v>
      </c>
      <c r="F3631" s="2" t="inlineStr">
        <is>
          <t>кинофильм</t>
        </is>
      </c>
      <c r="G3631" s="2" t="n"/>
      <c r="H3631" s="2" t="n">
        <v>370</v>
      </c>
      <c r="I3631" s="2" t="inlineStr"/>
      <c r="J3631" s="2" t="inlineStr"/>
      <c r="K3631" s="3" t="inlineStr">
        <is>
          <t>По рассказу Николая Богданова. «Эпизод из военных будней летчиков-истребителей. Самолет летчика Горюнова, наводящий ужас на немцев и прозванный ими «железным ангелом», подбит в нейтральной полосе. Механик Горюнова Суханов пробирается к месту аварии, заделывает пробоину в самолете и вместе с уцелевшим Горюновым улетает к своим в тот момент, когда их обнаружили фашисты.</t>
        </is>
      </c>
      <c r="L3631" s="2" t="inlineStr">
        <is>
          <t>Кино_СССР сводный каталог.xlsx: список фильмов (доп.)</t>
        </is>
      </c>
      <c r="M3631" s="2">
        <f>HYPERLINK("https://ru.wikipedia.org/w/index.php?search=%D0%96%D0%B5%D0%BB%D0%B5%D0%B7%D0%BD%D1%8B%D0%B9%20%D0%B0%D0%BD%D0%B3%D0%B5%D0%BB%201942%20%D1%84%D0%B8%D0%BB%D1%8C%D0%BC","искать")</f>
        <v/>
      </c>
      <c r="N3631" s="3" t="n"/>
      <c r="O3631" s="2" t="n"/>
    </row>
    <row r="3632">
      <c r="A3632" s="2" t="n">
        <v>3631</v>
      </c>
      <c r="B3632" s="2" t="inlineStr"/>
      <c r="C3632" s="2" t="n">
        <v>9424</v>
      </c>
      <c r="D3632" s="3" t="inlineStr">
        <is>
          <t>Кольцо</t>
        </is>
      </c>
      <c r="E3632" s="2" t="n">
        <v>1991</v>
      </c>
      <c r="F3632" s="2" t="inlineStr">
        <is>
          <t>кинофильм</t>
        </is>
      </c>
      <c r="G3632" s="2" t="n"/>
      <c r="H3632" s="2" t="n">
        <v>370</v>
      </c>
      <c r="I3632" s="2" t="inlineStr"/>
      <c r="J3632" s="2" t="inlineStr"/>
      <c r="K3632" s="3" t="inlineStr">
        <is>
          <t>Семилетний Платон живет своим внутренним огромным миром, где все имеет ценность. Он может часами ездить в трамвае и наблюдать за тем, как люди входят и выходят из трамвая, за их лицами и манерами. Мир Платона, желания и мечты не очень волнуют мать, которая погружена в свои проблемы. Уехав встречать Новый Год с любовником, она оставляет мальчика один на один с городом.</t>
        </is>
      </c>
      <c r="L3632" s="2" t="inlineStr">
        <is>
          <t>Кино_СССР сводный каталог.xlsx: список фильмов (доп.)</t>
        </is>
      </c>
      <c r="M3632" s="2">
        <f>HYPERLINK("https://ru.wikipedia.org/w/index.php?search=%D0%9A%D0%BE%D0%BB%D1%8C%D1%86%D0%BE%201991%20%D1%84%D0%B8%D0%BB%D1%8C%D0%BC","искать")</f>
        <v/>
      </c>
      <c r="N3632" s="3" t="n"/>
      <c r="O3632" s="2" t="n"/>
    </row>
    <row r="3633">
      <c r="A3633" s="2" t="n">
        <v>3632</v>
      </c>
      <c r="B3633" s="2" t="inlineStr"/>
      <c r="C3633" s="2" t="n">
        <v>9432</v>
      </c>
      <c r="D3633" s="3" t="inlineStr">
        <is>
          <t>Корабль</t>
        </is>
      </c>
      <c r="E3633" s="2" t="n">
        <v>1988</v>
      </c>
      <c r="F3633" s="2" t="inlineStr">
        <is>
          <t>кинофильм</t>
        </is>
      </c>
      <c r="G3633" s="2" t="n"/>
      <c r="H3633" s="2" t="n">
        <v>370</v>
      </c>
      <c r="I3633" s="2" t="inlineStr"/>
      <c r="J3633" s="2" t="inlineStr"/>
      <c r="K3633" s="3" t="inlineStr">
        <is>
          <t>"Мне кажется, что все в прошлом... мне кажется, что я не тот, который я сейчас..." этими словами героя, который совершит затем неудачную попытку самоубийства, можно и дать оценку группе подростков, оставшихся в уютном дачном поселке без родительского надзора. Где зачем-то стоит на берегу корабль, не собирающийся отплыть, где вот-вот польет дождь, но так и не выльется.</t>
        </is>
      </c>
      <c r="L3633" s="2" t="inlineStr">
        <is>
          <t>Кино_СССР сводный каталог.xlsx: список фильмов (доп.)</t>
        </is>
      </c>
      <c r="M3633" s="2">
        <f>HYPERLINK("https://ru.wikipedia.org/w/index.php?search=%D0%9A%D0%BE%D1%80%D0%B0%D0%B1%D0%BB%D1%8C%201988%20%D1%84%D0%B8%D0%BB%D1%8C%D0%BC","искать")</f>
        <v/>
      </c>
      <c r="N3633" s="3" t="n"/>
      <c r="O3633" s="2" t="n"/>
    </row>
    <row r="3634">
      <c r="A3634" s="2" t="n">
        <v>3633</v>
      </c>
      <c r="B3634" s="2" t="inlineStr"/>
      <c r="C3634" s="2" t="n">
        <v>9786</v>
      </c>
      <c r="D3634" s="3" t="inlineStr">
        <is>
          <t>Яма</t>
        </is>
      </c>
      <c r="E3634" s="2" t="n">
        <v>1990</v>
      </c>
      <c r="F3634" s="2" t="inlineStr">
        <is>
          <t>кинофильм</t>
        </is>
      </c>
      <c r="G3634" s="2" t="n"/>
      <c r="H3634" s="2" t="n">
        <v>370</v>
      </c>
      <c r="I3634" s="2" t="inlineStr"/>
      <c r="J3634" s="2" t="inlineStr"/>
      <c r="K3634" s="3" t="inlineStr">
        <is>
          <t>По мотивам одноименной повести А.И. Куприна. Фарсово-гротескная история из жизни обитателей публичного дома в одном из провинциальных городов России. Рассказ о приключениях одной из падших женщин - "роковой" Татьяны захватывает не только пикантностью темы, но и честной, неравнодушной и человечной позицией автора к судьбе девушек, которых обстоятельства завели в тупик.</t>
        </is>
      </c>
      <c r="L3634" s="2" t="inlineStr">
        <is>
          <t>Кино_СССР сводный каталог.xlsx: список фильмов (доп.)</t>
        </is>
      </c>
      <c r="M3634" s="2">
        <f>HYPERLINK("https://ru.wikipedia.org/w/index.php?search=%D0%AF%D0%BC%D0%B0%201990%20%D1%84%D0%B8%D0%BB%D1%8C%D0%BC","искать")</f>
        <v/>
      </c>
      <c r="N3634" s="3" t="n"/>
      <c r="O3634" s="2" t="n"/>
    </row>
    <row r="3635">
      <c r="A3635" s="2" t="n">
        <v>3634</v>
      </c>
      <c r="B3635" s="2" t="inlineStr"/>
      <c r="C3635" s="2" t="n">
        <v>7885</v>
      </c>
      <c r="D3635" s="3" t="inlineStr">
        <is>
          <t>Младшая сестра</t>
        </is>
      </c>
      <c r="E3635" s="2" t="n">
        <v>1978</v>
      </c>
      <c r="F3635" s="2" t="inlineStr">
        <is>
          <t>телефильм</t>
        </is>
      </c>
      <c r="G3635" s="2" t="n"/>
      <c r="H3635" s="2" t="n">
        <v>371</v>
      </c>
      <c r="I3635" s="2" t="inlineStr"/>
      <c r="J3635" s="2" t="inlineStr"/>
      <c r="K3635" s="3" t="inlineStr">
        <is>
          <t>Описание: Младшая сестра Иато убегает из дому, чтобы заменить в ансамбле «Иверия» для всех неизвестную певицу Манану Чивадзе, которая вместе с мужем, моряком дальнего плавания, хочет провести медовый месяц вдали от концертной суеты. Ансамбль, который готовится к совместным гастролям с Московским танцевальным коллективом «Сувенир», принимает Иато, думая, что она Манана.</t>
        </is>
      </c>
      <c r="L3635" s="2" t="inlineStr">
        <is>
          <t>Кино_СССР сводный каталог.xlsx: список телефильмов</t>
        </is>
      </c>
      <c r="M3635" s="2">
        <f>HYPERLINK("https://ru.wikipedia.org/w/index.php?search=%D0%9C%D0%BB%D0%B0%D0%B4%D1%88%D0%B0%D1%8F%20%D1%81%D0%B5%D1%81%D1%82%D1%80%D0%B0%201978%20%D1%84%D0%B8%D0%BB%D1%8C%D0%BC","искать")</f>
        <v/>
      </c>
      <c r="N3635" s="3" t="n"/>
      <c r="O3635" s="2" t="n"/>
    </row>
    <row r="3636">
      <c r="A3636" s="2" t="n">
        <v>3635</v>
      </c>
      <c r="B3636" s="2" t="inlineStr"/>
      <c r="C3636" s="2" t="n">
        <v>8199</v>
      </c>
      <c r="D3636" s="3" t="inlineStr">
        <is>
          <t>Прикажи себе</t>
        </is>
      </c>
      <c r="E3636" s="2" t="n">
        <v>1980</v>
      </c>
      <c r="F3636" s="2" t="inlineStr">
        <is>
          <t>телефильм</t>
        </is>
      </c>
      <c r="G3636" s="2" t="n"/>
      <c r="H3636" s="2" t="n">
        <v>371</v>
      </c>
      <c r="I3636" s="2" t="inlineStr"/>
      <c r="J3636" s="2" t="inlineStr"/>
      <c r="K3636" s="3" t="inlineStr">
        <is>
          <t>Лейтенант Сергей Вишняков, по профессии археолог, призван из запаса на два года для прохождения воинской службы в райвоенкомате. Непросто на первых порах складываются его отношения и с сотрудниками, и с призывниками. Но, пересмотрев свое отношение к ребятам, Вишняков меняет тактику, упорно ищет новый подход к своим подопечным, не желающим идти служить во имя Отечества.</t>
        </is>
      </c>
      <c r="L3636" s="2" t="inlineStr">
        <is>
          <t>Кино_СССР сводный каталог.xlsx: список телефильмов</t>
        </is>
      </c>
      <c r="M3636" s="2">
        <f>HYPERLINK("https://ru.wikipedia.org/w/index.php?search=%D0%9F%D1%80%D0%B8%D0%BA%D0%B0%D0%B6%D0%B8%20%D1%81%D0%B5%D0%B1%D0%B5%201980%20%D1%84%D0%B8%D0%BB%D1%8C%D0%BC","искать")</f>
        <v/>
      </c>
      <c r="N3636" s="3" t="n"/>
      <c r="O3636" s="2" t="n"/>
    </row>
    <row r="3637">
      <c r="A3637" s="2" t="n">
        <v>3636</v>
      </c>
      <c r="B3637" s="2" t="inlineStr"/>
      <c r="C3637" s="2" t="n">
        <v>9010</v>
      </c>
      <c r="D3637" s="3" t="inlineStr">
        <is>
          <t>Расстрел</t>
        </is>
      </c>
      <c r="E3637" s="2" t="n">
        <v>1965</v>
      </c>
      <c r="F3637" s="2" t="inlineStr">
        <is>
          <t>кинофильм</t>
        </is>
      </c>
      <c r="G3637" s="2" t="n"/>
      <c r="H3637" s="2" t="n">
        <v>371</v>
      </c>
      <c r="I3637" s="2" t="inlineStr"/>
      <c r="J3637" s="2" t="inlineStr"/>
      <c r="K3637" s="3" t="inlineStr">
        <is>
          <t>По рассказу Генриха Боровика. О двух немцах-интернационалистах, которые прошли обучение в советской разведке и были заброшены фашистам в тыл. Но там, а именно в Белоруссии, они попали в плен к 'дикому' партизанскому отряду. В составе отряда были жители спаленной фашистами деревни, бежавшие в леса, сражавшиеся с берданками и саблями, вне всякой связи с "большой землей".</t>
        </is>
      </c>
      <c r="L3637" s="2" t="inlineStr">
        <is>
          <t>Кино_СССР сводный каталог.xlsx: список фильмов (доп.)</t>
        </is>
      </c>
      <c r="M3637" s="2">
        <f>HYPERLINK("https://ru.wikipedia.org/w/index.php?search=%D0%A0%D0%B0%D1%81%D1%81%D1%82%D1%80%D0%B5%D0%BB%201965%20%D1%84%D0%B8%D0%BB%D1%8C%D0%BC","искать")</f>
        <v/>
      </c>
      <c r="N3637" s="3" t="n"/>
      <c r="O3637" s="2" t="n"/>
    </row>
    <row r="3638">
      <c r="A3638" s="2" t="n">
        <v>3637</v>
      </c>
      <c r="B3638" s="2" t="inlineStr"/>
      <c r="C3638" s="2" t="n">
        <v>9137</v>
      </c>
      <c r="D3638" s="3" t="inlineStr">
        <is>
          <t>Фанат - 2</t>
        </is>
      </c>
      <c r="E3638" s="2" t="n">
        <v>1990</v>
      </c>
      <c r="F3638" s="2" t="inlineStr">
        <is>
          <t>кинофильм</t>
        </is>
      </c>
      <c r="G3638" s="2" t="inlineStr">
        <is>
          <t>Тирс</t>
        </is>
      </c>
      <c r="H3638" s="2" t="n">
        <v>371</v>
      </c>
      <c r="I3638" s="2" t="inlineStr"/>
      <c r="J3638" s="2" t="inlineStr"/>
      <c r="K3638" s="3" t="inlineStr">
        <is>
          <t>"Малыш" (Алексея Серебрякова сменил в главной роли Олег Фомин) в "Фанате-2" занимается разоблачением не только подпольных тотализаторов, на которых наживаются дельцы разного калибра, но и - ни больше, ни меньше! - местной партийно-кагэбэшной мафии, которая тоже, оказывается, грела руки на юных спортивных талантах и обожала лицезреть поединки гладиаторов нашего времени.</t>
        </is>
      </c>
      <c r="L3638" s="2" t="inlineStr">
        <is>
          <t>Кино_СССР сводный каталог.xlsx: список фильмов (доп.)</t>
        </is>
      </c>
      <c r="M3638" s="2">
        <f>HYPERLINK("https://ru.wikipedia.org/w/index.php?search=%D0%A4%D0%B0%D0%BD%D0%B0%D1%82%20-%202%201990%20%D1%84%D0%B8%D0%BB%D1%8C%D0%BC","искать")</f>
        <v/>
      </c>
      <c r="N3638" s="3" t="n"/>
      <c r="O3638" s="2" t="n"/>
    </row>
    <row r="3639">
      <c r="A3639" s="2" t="n">
        <v>3638</v>
      </c>
      <c r="B3639" s="2" t="inlineStr"/>
      <c r="C3639" s="2" t="n">
        <v>9195</v>
      </c>
      <c r="D3639" s="3" t="inlineStr">
        <is>
          <t>А был ли Каротин</t>
        </is>
      </c>
      <c r="E3639" s="2" t="n">
        <v>1989</v>
      </c>
      <c r="F3639" s="2" t="inlineStr">
        <is>
          <t>кинофильм</t>
        </is>
      </c>
      <c r="G3639" s="2" t="n"/>
      <c r="H3639" s="2" t="n">
        <v>371</v>
      </c>
      <c r="I3639" s="2" t="inlineStr"/>
      <c r="J3639" s="2" t="inlineStr"/>
      <c r="K3639" s="3" t="inlineStr">
        <is>
          <t>Начало 30-х годов минувшего века. На советском кораблестроительном заводе обнаружена утечка секретной информации. Прибывший под видом ученого легендарный чекист Каротин начинает распутывать нити заговора шпионской фашистской организации. Ему помогают неопытные, но активные местные сыщики. Осваивая азы работы контрразведчика, они попадают в ситуации одна другой смешнее.</t>
        </is>
      </c>
      <c r="L3639" s="2" t="inlineStr">
        <is>
          <t>Кино_СССР сводный каталог.xlsx: список фильмов (доп.)</t>
        </is>
      </c>
      <c r="M3639" s="2">
        <f>HYPERLINK("https://ru.wikipedia.org/w/index.php?search=%D0%90%20%D0%B1%D1%8B%D0%BB%20%D0%BB%D0%B8%20%D0%9A%D0%B0%D1%80%D0%BE%D1%82%D0%B8%D0%BD%201989%20%D1%84%D0%B8%D0%BB%D1%8C%D0%BC","искать")</f>
        <v/>
      </c>
      <c r="N3639" s="3" t="n"/>
      <c r="O3639" s="2" t="n"/>
    </row>
    <row r="3640">
      <c r="A3640" s="2" t="n">
        <v>3639</v>
      </c>
      <c r="B3640" s="2" t="inlineStr"/>
      <c r="C3640" s="2" t="n">
        <v>9456</v>
      </c>
      <c r="D3640" s="3" t="inlineStr">
        <is>
          <t>Лох - победитель воды</t>
        </is>
      </c>
      <c r="E3640" s="2" t="n">
        <v>1991</v>
      </c>
      <c r="F3640" s="2" t="inlineStr">
        <is>
          <t>кинофильм</t>
        </is>
      </c>
      <c r="G3640" s="2" t="n"/>
      <c r="H3640" s="2" t="n">
        <v>371</v>
      </c>
      <c r="I3640" s="2" t="inlineStr"/>
      <c r="J3640" s="2" t="inlineStr"/>
      <c r="K3640" s="3" t="inlineStr">
        <is>
          <t>По мотивам эпоса "Шии". Главный герой, талантливый компьютерщик, мстит банде рэкетиров за убийство лучшего друга, используя свои обширные знания в различных областях техники. Он выслеживает их, собирает материал и, не надеясь на милицию, сам вершит правосудие. Помогает ему в этом такая же жертва рэкета, симпатичная женщина, с которой у него начинает завязываться роман.</t>
        </is>
      </c>
      <c r="L3640" s="2" t="inlineStr">
        <is>
          <t>Кино_СССР сводный каталог.xlsx: список фильмов (доп.)</t>
        </is>
      </c>
      <c r="M3640" s="2">
        <f>HYPERLINK("https://ru.wikipedia.org/w/index.php?search=%D0%9B%D0%BE%D1%85%20-%20%D0%BF%D0%BE%D0%B1%D0%B5%D0%B4%D0%B8%D1%82%D0%B5%D0%BB%D1%8C%20%D0%B2%D0%BE%D0%B4%D1%8B%201991%20%D1%84%D0%B8%D0%BB%D1%8C%D0%BC","искать")</f>
        <v/>
      </c>
      <c r="N3640" s="3" t="n"/>
      <c r="O3640" s="2" t="n"/>
    </row>
    <row r="3641">
      <c r="A3641" s="2" t="n">
        <v>3640</v>
      </c>
      <c r="B3641" s="2" t="inlineStr"/>
      <c r="C3641" s="2" t="n">
        <v>9732</v>
      </c>
      <c r="D3641" s="3" t="inlineStr">
        <is>
          <t>Хищники</t>
        </is>
      </c>
      <c r="E3641" s="2" t="n">
        <v>1991</v>
      </c>
      <c r="F3641" s="2" t="inlineStr">
        <is>
          <t>кинофильм</t>
        </is>
      </c>
      <c r="G3641" s="2" t="n"/>
      <c r="H3641" s="2" t="n">
        <v>371</v>
      </c>
      <c r="I3641" s="2" t="inlineStr"/>
      <c r="J3641" s="2" t="inlineStr"/>
      <c r="K3641" s="3" t="inlineStr">
        <is>
          <t>В Сибири, в одном из пушных заповедников, убит специалист по соболиному меху Эдуард Авдонин. Дело поручено старшему следователю прокуратуры Дагуровой. Она отвергает одного подозреваемого за другим. Выяснив, что погибший был браконьером, Дагурова вскоре приходит к выводу, что убийство совершил директор заповедника Гай, организовавший нелегальный сбыт пушнины за границу.</t>
        </is>
      </c>
      <c r="L3641" s="2" t="inlineStr">
        <is>
          <t>Кино_СССР сводный каталог.xlsx: список фильмов (доп.)</t>
        </is>
      </c>
      <c r="M3641" s="2">
        <f>HYPERLINK("https://ru.wikipedia.org/w/index.php?search=%D0%A5%D0%B8%D1%89%D0%BD%D0%B8%D0%BA%D0%B8%201991%20%D1%84%D0%B8%D0%BB%D1%8C%D0%BC","искать")</f>
        <v/>
      </c>
      <c r="N3641" s="3" t="n"/>
      <c r="O3641" s="2" t="n"/>
    </row>
    <row r="3642">
      <c r="A3642" s="2" t="n">
        <v>3641</v>
      </c>
      <c r="B3642" s="2" t="inlineStr"/>
      <c r="C3642" s="2" t="n">
        <v>9758</v>
      </c>
      <c r="D3642" s="3" t="inlineStr">
        <is>
          <t>ЧП районного масштаба</t>
        </is>
      </c>
      <c r="E3642" s="2" t="n">
        <v>1988</v>
      </c>
      <c r="F3642" s="2" t="inlineStr">
        <is>
          <t>кинофильм</t>
        </is>
      </c>
      <c r="G3642" s="2" t="n"/>
      <c r="H3642" s="2" t="n">
        <v>371</v>
      </c>
      <c r="I3642" s="2" t="inlineStr"/>
      <c r="J3642" s="2" t="inlineStr"/>
      <c r="K3642" s="3" t="inlineStr">
        <is>
          <t>Хроника нескольких дней жизни комсомольской элиты начала 80-х годов. Процедура приема подростков в комсомол проходила в райкоме с особой поспешностью. Первый секретарь райкома уходил "на повышение". Члены бюро уже ждали вечера, чтобы отпраздновать это событие в сауне. И вдруг ЧП... Через окно в помещение райкома забрались злоумышленники, устроили погром и унесли знамя.</t>
        </is>
      </c>
      <c r="L3642" s="2" t="inlineStr">
        <is>
          <t>Кино_СССР сводный каталог.xlsx: список фильмов (доп.)</t>
        </is>
      </c>
      <c r="M3642" s="2">
        <f>HYPERLINK("https://ru.wikipedia.org/w/index.php?search=%D0%A7%D0%9F%20%D1%80%D0%B0%D0%B9%D0%BE%D0%BD%D0%BD%D0%BE%D0%B3%D0%BE%20%D0%BC%D0%B0%D1%81%D1%88%D1%82%D0%B0%D0%B1%D0%B0%201988%20%D1%84%D0%B8%D0%BB%D1%8C%D0%BC","искать")</f>
        <v/>
      </c>
      <c r="N3642" s="3" t="n"/>
      <c r="O3642" s="2" t="n"/>
    </row>
    <row r="3643">
      <c r="A3643" s="2" t="n">
        <v>3642</v>
      </c>
      <c r="B3643" s="2" t="inlineStr"/>
      <c r="C3643" s="2" t="n">
        <v>7210</v>
      </c>
      <c r="D3643" s="3" t="inlineStr">
        <is>
          <t>Анискин и Фантомас</t>
        </is>
      </c>
      <c r="E3643" s="2" t="n">
        <v>1973</v>
      </c>
      <c r="F3643" s="2" t="inlineStr">
        <is>
          <t>телефильм</t>
        </is>
      </c>
      <c r="G3643" s="2" t="inlineStr">
        <is>
          <t>Киностудия имени М. Горького</t>
        </is>
      </c>
      <c r="H3643" s="2" t="n">
        <v>372</v>
      </c>
      <c r="I3643" s="2" t="inlineStr"/>
      <c r="J3643" s="2" t="inlineStr"/>
      <c r="K3643" s="3" t="inlineStr">
        <is>
          <t>Телевизионный детектив по мотивам произведений В.Липатова об умном, внешне простоватом, добродушном сельском участковом Анискине, раскрывающем любые преступления. Злоумышленники в черных масках-чулках ограбили сельского кассира. Расследование ведет старший лейтенант Анискин (Жаров). Он полагает, что местные дети чересчур увлеклись игрой во французского злодея Фантомаса.</t>
        </is>
      </c>
      <c r="L3643" s="2" t="inlineStr">
        <is>
          <t>Кино_СССР сводный каталог.xlsx: список телефильмов</t>
        </is>
      </c>
      <c r="M3643" s="2">
        <f>HYPERLINK("https://ru.wikipedia.org/w/index.php?search=%D0%90%D0%BD%D0%B8%D1%81%D0%BA%D0%B8%D0%BD%20%D0%B8%20%D0%A4%D0%B0%D0%BD%D1%82%D0%BE%D0%BC%D0%B0%D1%81%201973%20%D1%84%D0%B8%D0%BB%D1%8C%D0%BC","искать")</f>
        <v/>
      </c>
      <c r="N3643" s="3" t="n"/>
      <c r="O3643" s="2" t="n"/>
    </row>
    <row r="3644">
      <c r="A3644" s="2" t="n">
        <v>3643</v>
      </c>
      <c r="B3644" s="2" t="inlineStr"/>
      <c r="C3644" s="2" t="n">
        <v>7330</v>
      </c>
      <c r="D3644" s="3" t="inlineStr">
        <is>
          <t>Ветер в лицо</t>
        </is>
      </c>
      <c r="E3644" s="2" t="n">
        <v>1977</v>
      </c>
      <c r="F3644" s="2" t="inlineStr">
        <is>
          <t>телефильм</t>
        </is>
      </c>
      <c r="G3644" s="2" t="n"/>
      <c r="H3644" s="2" t="n">
        <v>372</v>
      </c>
      <c r="I3644" s="2" t="inlineStr"/>
      <c r="J3644" s="2" t="inlineStr"/>
      <c r="K3644" s="3" t="inlineStr">
        <is>
          <t>Телефиьм. Каспий. Рыболовецкий поселок. Временный запрет на промысел осетровых - мера вынужденная, иначе эту рыбу внуки только в музеях увидят. Решать эту проблему уговорили земляка, молодого ученого-ихтиолога Рамиза Асадова, возглавившего местный рыбозавод, на базе которого будет создан научно-исследовательский центр по выращиванию и сохранению молодняка осетровых рыб.</t>
        </is>
      </c>
      <c r="L3644" s="2" t="inlineStr">
        <is>
          <t>Кино_СССР сводный каталог.xlsx: список телефильмов</t>
        </is>
      </c>
      <c r="M3644" s="2">
        <f>HYPERLINK("https://ru.wikipedia.org/w/index.php?search=%D0%92%D0%B5%D1%82%D0%B5%D1%80%20%D0%B2%20%D0%BB%D0%B8%D1%86%D0%BE%201977%20%D1%84%D0%B8%D0%BB%D1%8C%D0%BC","искать")</f>
        <v/>
      </c>
      <c r="N3644" s="3" t="n"/>
      <c r="O3644" s="2" t="n"/>
    </row>
    <row r="3645">
      <c r="A3645" s="2" t="n">
        <v>3644</v>
      </c>
      <c r="B3645" s="2" t="inlineStr"/>
      <c r="C3645" s="2" t="n">
        <v>7372</v>
      </c>
      <c r="D3645" s="3" t="inlineStr">
        <is>
          <t>Воровской общак</t>
        </is>
      </c>
      <c r="E3645" s="2" t="n">
        <v>1991</v>
      </c>
      <c r="F3645" s="2" t="inlineStr">
        <is>
          <t>телефильм</t>
        </is>
      </c>
      <c r="G3645" s="2" t="n"/>
      <c r="H3645" s="2" t="n">
        <v>372</v>
      </c>
      <c r="I3645" s="2" t="inlineStr"/>
      <c r="J3645" s="2" t="inlineStr"/>
      <c r="K3645" s="3" t="inlineStr">
        <is>
          <t>Психологический детектив по мотивам романа Андриса Колберга «Ночью, под дождем...». Сюжет фильма строится на взаимоотношении бывших одноклассников, один из которых отбыл наказание за преступление, совершенное двумя другими. Чудовищные тюремные "законы", пережитый страх и унижение хотя и не уничтожили до конца в главном герое человечность, но целью его жизни стала месть.</t>
        </is>
      </c>
      <c r="L3645" s="2" t="inlineStr">
        <is>
          <t>Кино_СССР сводный каталог.xlsx: список телефильмов</t>
        </is>
      </c>
      <c r="M3645" s="2">
        <f>HYPERLINK("https://ru.wikipedia.org/w/index.php?search=%D0%92%D0%BE%D1%80%D0%BE%D0%B2%D1%81%D0%BA%D0%BE%D0%B9%20%D0%BE%D0%B1%D1%89%D0%B0%D0%BA%201991%20%D1%84%D0%B8%D0%BB%D1%8C%D0%BC","искать")</f>
        <v/>
      </c>
      <c r="N3645" s="3" t="n"/>
      <c r="O3645" s="2" t="n"/>
    </row>
    <row r="3646">
      <c r="A3646" s="2" t="n">
        <v>3645</v>
      </c>
      <c r="B3646" s="2" t="inlineStr"/>
      <c r="C3646" s="2" t="n">
        <v>8118</v>
      </c>
      <c r="D3646" s="3" t="inlineStr">
        <is>
          <t>Пляжный разбойник</t>
        </is>
      </c>
      <c r="E3646" s="2" t="n">
        <v>1987</v>
      </c>
      <c r="F3646" s="2" t="inlineStr">
        <is>
          <t>телефильм</t>
        </is>
      </c>
      <c r="G3646" s="2" t="n"/>
      <c r="H3646" s="2" t="n">
        <v>372</v>
      </c>
      <c r="I3646" s="2" t="inlineStr"/>
      <c r="J3646" s="2" t="inlineStr"/>
      <c r="K3646" s="3" t="inlineStr">
        <is>
          <t>Однажды скромный бухгалтер Бикентий, житель приморского городка, приютил у себя пса. Собака привязалась к одинокому хозяину, но вскоре выяснилось, что пес был обучен прежним хозяином воровать вещи у зазевавших посетителей пляжа. Бикентий, честный человек, накричал на пса, но потом примирился с недостатками своего друга, и даже стал поощрять его сомнительные способности.</t>
        </is>
      </c>
      <c r="L3646" s="2" t="inlineStr">
        <is>
          <t>Кино_СССР сводный каталог.xlsx: список телефильмов</t>
        </is>
      </c>
      <c r="M3646" s="2">
        <f>HYPERLINK("https://ru.wikipedia.org/w/index.php?search=%D0%9F%D0%BB%D1%8F%D0%B6%D0%BD%D1%8B%D0%B9%20%D1%80%D0%B0%D0%B7%D0%B1%D0%BE%D0%B9%D0%BD%D0%B8%D0%BA%201987%20%D1%84%D0%B8%D0%BB%D1%8C%D0%BC","искать")</f>
        <v/>
      </c>
      <c r="N3646" s="3" t="n"/>
      <c r="O3646" s="2" t="n"/>
    </row>
    <row r="3647">
      <c r="A3647" s="2" t="n">
        <v>3646</v>
      </c>
      <c r="B3647" s="2" t="inlineStr"/>
      <c r="C3647" s="2" t="n">
        <v>8995</v>
      </c>
      <c r="D3647" s="3" t="inlineStr">
        <is>
          <t>Путешествие товарища Сталина в Африку</t>
        </is>
      </c>
      <c r="E3647" s="2" t="n">
        <v>1990</v>
      </c>
      <c r="F3647" s="2" t="inlineStr">
        <is>
          <t>кинофильм</t>
        </is>
      </c>
      <c r="G3647" s="2" t="n"/>
      <c r="H3647" s="2" t="n">
        <v>372</v>
      </c>
      <c r="I3647" s="2" t="inlineStr"/>
      <c r="J3647" s="2" t="inlineStr"/>
      <c r="K3647" s="3" t="inlineStr">
        <is>
          <t>Когда зимой 1953 года здоровье Сталина сильно пошатнулось, "наверху" решили найти ему двойника, чтобы тот мог присутствовать на митингах и парадах. Им стал провинциальный и богобоязненный еврей Моисей Пичхадзе. Его поселили в пустом доме в горах и стали с ним "работать". Но когда вождь умер, двойник стал опасен - ведь ему пришлось узнать то, чего он не должен был знать.</t>
        </is>
      </c>
      <c r="L3647" s="2" t="inlineStr">
        <is>
          <t>Кино_СССР сводный каталог.xlsx: список фильмов (доп.)</t>
        </is>
      </c>
      <c r="M3647" s="2">
        <f>HYPERLINK("https://ru.wikipedia.org/w/index.php?search=%D0%9F%D1%83%D1%82%D0%B5%D1%88%D0%B5%D1%81%D1%82%D0%B2%D0%B8%D0%B5%20%D1%82%D0%BE%D0%B2%D0%B0%D1%80%D0%B8%D1%89%D0%B0%20%D0%A1%D1%82%D0%B0%D0%BB%D0%B8%D0%BD%D0%B0%20%D0%B2%20%D0%90%D1%84%D1%80%D0%B8%D0%BA%D1%83%201990%20%D1%84%D0%B8%D0%BB%D1%8C%D0%BC","искать")</f>
        <v/>
      </c>
      <c r="N3647" s="3" t="n"/>
      <c r="O3647" s="2" t="n"/>
    </row>
    <row r="3648">
      <c r="A3648" s="2" t="n">
        <v>3647</v>
      </c>
      <c r="B3648" s="2" t="inlineStr"/>
      <c r="C3648" s="2" t="n">
        <v>10167</v>
      </c>
      <c r="D3648" s="3" t="inlineStr">
        <is>
          <t>Лабиринт</t>
        </is>
      </c>
      <c r="E3648" s="2" t="n">
        <v>1966</v>
      </c>
      <c r="F3648" s="2" t="inlineStr">
        <is>
          <t>фильм-спектакль</t>
        </is>
      </c>
      <c r="G3648" s="2" t="inlineStr">
        <is>
          <t>Центральное ТВ</t>
        </is>
      </c>
      <c r="H3648" s="2" t="n">
        <v>372</v>
      </c>
      <c r="I3648" s="2" t="inlineStr"/>
      <c r="J3648" s="2" t="inlineStr"/>
      <c r="K3648" s="3" t="inlineStr">
        <is>
          <t>По мотивам рассказа итальянского писателя Паоло Леви.
Действие происходит в одной из капиталистических стран накануне выборов. Полиция задерживает журналиста оппозиционной газеты по подозрению в убийстве. Доказательства обвинения скупы и непрочны. Но вокруг этого дела развернулась грязная политическая возня. Судьба и жизнь человека становятся ставкой в борьбе за власть.</t>
        </is>
      </c>
      <c r="L3648" s="2" t="inlineStr">
        <is>
          <t>https://www.kino-teatr.ru/teatr/movie/81421/annot/</t>
        </is>
      </c>
      <c r="M3648" s="2">
        <f>HYPERLINK("https://ru.wikipedia.org/w/index.php?search=%D0%9B%D0%B0%D0%B1%D0%B8%D1%80%D0%B8%D0%BD%D1%82%201966%20%D1%84%D0%B8%D0%BB%D1%8C%D0%BC","искать")</f>
        <v/>
      </c>
      <c r="N3648" s="3" t="n"/>
      <c r="O3648" s="2" t="n"/>
    </row>
    <row r="3649">
      <c r="A3649" s="2" t="n">
        <v>3648</v>
      </c>
      <c r="B3649" s="2" t="inlineStr"/>
      <c r="C3649" s="2" t="n">
        <v>8158</v>
      </c>
      <c r="D3649" s="3" t="inlineStr">
        <is>
          <t>Поляна сказок</t>
        </is>
      </c>
      <c r="E3649" s="2" t="n">
        <v>1988</v>
      </c>
      <c r="F3649" s="2" t="inlineStr">
        <is>
          <t>телефильм</t>
        </is>
      </c>
      <c r="G3649" s="2" t="n"/>
      <c r="H3649" s="2" t="n">
        <v>373</v>
      </c>
      <c r="I3649" s="2" t="inlineStr"/>
      <c r="J3649" s="2" t="inlineStr"/>
      <c r="K3649" s="3" t="inlineStr">
        <is>
          <t>Телефильм по мотивам повести Кира Булычева "Недостойный богатырь". Волей случая Кузьма Личиков, житель сказочного города Великий Гусляр, попал в пещеру, где покоилась спящая царевна. От поцелуя Кузьмы она проснулась и влюбилась в героя. Любовь пробудила в Личикове талант резчика по дереву, и он украсил забавными фигурками лесную поляну, где поселился в хижине с царевной.</t>
        </is>
      </c>
      <c r="L3649" s="2" t="inlineStr">
        <is>
          <t>Кино_СССР сводный каталог.xlsx: список телефильмов</t>
        </is>
      </c>
      <c r="M3649" s="2">
        <f>HYPERLINK("https://ru.wikipedia.org/w/index.php?search=%D0%9F%D0%BE%D0%BB%D1%8F%D0%BD%D0%B0%20%D1%81%D0%BA%D0%B0%D0%B7%D0%BE%D0%BA%201988%20%D1%84%D0%B8%D0%BB%D1%8C%D0%BC","искать")</f>
        <v/>
      </c>
      <c r="N3649" s="3" t="n"/>
      <c r="O3649" s="2" t="n"/>
    </row>
    <row r="3650">
      <c r="A3650" s="2" t="n">
        <v>3649</v>
      </c>
      <c r="B3650" s="2" t="inlineStr"/>
      <c r="C3650" s="2" t="n">
        <v>8195</v>
      </c>
      <c r="D3650" s="3" t="inlineStr">
        <is>
          <t>Привал странников</t>
        </is>
      </c>
      <c r="E3650" s="2" t="n">
        <v>1990</v>
      </c>
      <c r="F3650" s="2" t="inlineStr">
        <is>
          <t>телефильм</t>
        </is>
      </c>
      <c r="G3650" s="2" t="n"/>
      <c r="H3650" s="2" t="n">
        <v>373</v>
      </c>
      <c r="I3650" s="2" t="inlineStr"/>
      <c r="J3650" s="2" t="inlineStr"/>
      <c r="K3650" s="3" t="inlineStr">
        <is>
          <t>В основе фильма лёг роман Анатолия Яковлевича Степанова "Привал Странников". Лето 1990 года. Полковник МУРа в отставке Александр Иванович Смирнов приезжает из Крыма в Москву похлопотать за пенсию. Остановившись у своих друзей Гиви Ломидзе и Альки Спиридонова они отправляются в новый ресторан "Привал странников", открывшийся совсем недавно, чтобы отметить приезд товарища.</t>
        </is>
      </c>
      <c r="L3650" s="2" t="inlineStr">
        <is>
          <t>Кино_СССР сводный каталог.xlsx: список телефильмов</t>
        </is>
      </c>
      <c r="M3650" s="2">
        <f>HYPERLINK("https://ru.wikipedia.org/w/index.php?search=%D0%9F%D1%80%D0%B8%D0%B2%D0%B0%D0%BB%20%D1%81%D1%82%D1%80%D0%B0%D0%BD%D0%BD%D0%B8%D0%BA%D0%BE%D0%B2%201990%20%D1%84%D0%B8%D0%BB%D1%8C%D0%BC","искать")</f>
        <v/>
      </c>
      <c r="N3650" s="3" t="n"/>
      <c r="O3650" s="2" t="n"/>
    </row>
    <row r="3651">
      <c r="A3651" s="2" t="n">
        <v>3650</v>
      </c>
      <c r="B3651" s="2" t="inlineStr"/>
      <c r="C3651" s="2" t="n">
        <v>8661</v>
      </c>
      <c r="D3651" s="3" t="inlineStr">
        <is>
          <t>Воздушный поцелуй</t>
        </is>
      </c>
      <c r="E3651" s="2" t="n">
        <v>1991</v>
      </c>
      <c r="F3651" s="2" t="inlineStr">
        <is>
          <t>кинофильм</t>
        </is>
      </c>
      <c r="G3651" s="2" t="n"/>
      <c r="H3651" s="2" t="n">
        <v>373</v>
      </c>
      <c r="I3651" s="2" t="inlineStr"/>
      <c r="J3651" s="2" t="inlineStr"/>
      <c r="K3651" s="3" t="inlineStr">
        <is>
          <t>Юная медсестра Hастя накануне благополучного брака с любимым человеком, преуспевающим врачом, испытывает сомнения, продиктованные желанием самоутвердиться. Совершенно неожиданно девушка предпочитает жениху и другим своим поклонникам травмированного автогонщика, попавшего в больницу... «Я пытался ухватить тот образ, который был создан в советском кино в пятидесятые годы».</t>
        </is>
      </c>
      <c r="L3651" s="2" t="inlineStr">
        <is>
          <t>Кино_СССР сводный каталог.xlsx: список фильмов (доп.)</t>
        </is>
      </c>
      <c r="M3651" s="2">
        <f>HYPERLINK("https://ru.wikipedia.org/w/index.php?search=%D0%92%D0%BE%D0%B7%D0%B4%D1%83%D1%88%D0%BD%D1%8B%D0%B9%20%D0%BF%D0%BE%D1%86%D0%B5%D0%BB%D1%83%D0%B9%201991%20%D1%84%D0%B8%D0%BB%D1%8C%D0%BC","искать")</f>
        <v/>
      </c>
      <c r="N3651" s="3" t="n"/>
      <c r="O3651" s="2" t="n"/>
    </row>
    <row r="3652">
      <c r="A3652" s="2" t="n">
        <v>3651</v>
      </c>
      <c r="B3652" s="2" t="inlineStr"/>
      <c r="C3652" s="2" t="n">
        <v>8802</v>
      </c>
      <c r="D3652" s="3" t="inlineStr">
        <is>
          <t>Луковое поле</t>
        </is>
      </c>
      <c r="E3652" s="2" t="n">
        <v>1990</v>
      </c>
      <c r="F3652" s="2" t="inlineStr">
        <is>
          <t>кинофильм</t>
        </is>
      </c>
      <c r="G3652" s="2" t="n"/>
      <c r="H3652" s="2" t="n">
        <v>373</v>
      </c>
      <c r="I3652" s="2" t="inlineStr"/>
      <c r="J3652" s="2" t="inlineStr"/>
      <c r="K3652" s="3" t="inlineStr">
        <is>
          <t>По мотивам одноименной поевсти Анатолия Кима. Действие происходит в небольшом корейском поселке в Таджикистане, куда судьбой закинуло после долгих скитаний москвича Павла, давно потерявшего связи с семьей и прошлой жизнью. Судьба сводит героя с удивительной женщиной Любой. Кроме тяжелого ежедневного труда на луковом поле она ухаживает за больным мужем и не ругает судьбу.</t>
        </is>
      </c>
      <c r="L3652" s="2" t="inlineStr">
        <is>
          <t>Кино_СССР сводный каталог.xlsx: список фильмов (доп.)</t>
        </is>
      </c>
      <c r="M3652" s="2">
        <f>HYPERLINK("https://ru.wikipedia.org/w/index.php?search=%D0%9B%D1%83%D0%BA%D0%BE%D0%B2%D0%BE%D0%B5%20%D0%BF%D0%BE%D0%BB%D0%B5%201990%20%D1%84%D0%B8%D0%BB%D1%8C%D0%BC","искать")</f>
        <v/>
      </c>
      <c r="N3652" s="3" t="n"/>
      <c r="O3652" s="2" t="n"/>
    </row>
    <row r="3653">
      <c r="A3653" s="2" t="n">
        <v>3652</v>
      </c>
      <c r="B3653" s="2" t="inlineStr"/>
      <c r="C3653" s="2" t="n">
        <v>9335</v>
      </c>
      <c r="D3653" s="3" t="inlineStr">
        <is>
          <t>Дикарь</t>
        </is>
      </c>
      <c r="E3653" s="2" t="n">
        <v>1988</v>
      </c>
      <c r="F3653" s="2" t="inlineStr">
        <is>
          <t>кинофильм</t>
        </is>
      </c>
      <c r="G3653" s="2" t="n"/>
      <c r="H3653" s="2" t="n">
        <v>373</v>
      </c>
      <c r="I3653" s="2" t="inlineStr"/>
      <c r="J3653" s="2" t="inlineStr"/>
      <c r="K3653" s="3" t="inlineStr">
        <is>
          <t>Действие фильма происходит в начале пятидесятых годов в провинциальном узбекском городе. Страх и отчуждение проникли и в этот, некогда уютный, городок. Герой фильма, подросток Алик, однажды становится свидетелем хамского поступка соседа, сделавшего на доносах головокружительную карьеру. Вступившись за беспомощную женщину, юный герой, тем самым, подписывает себе приговор.</t>
        </is>
      </c>
      <c r="L3653" s="2" t="inlineStr">
        <is>
          <t>Кино_СССР сводный каталог.xlsx: список фильмов (доп.)</t>
        </is>
      </c>
      <c r="M3653" s="2">
        <f>HYPERLINK("https://ru.wikipedia.org/w/index.php?search=%D0%94%D0%B8%D0%BA%D0%B0%D1%80%D1%8C%201988%20%D1%84%D0%B8%D0%BB%D1%8C%D0%BC","искать")</f>
        <v/>
      </c>
      <c r="N3653" s="3" t="n"/>
      <c r="O3653" s="2" t="n"/>
    </row>
    <row r="3654">
      <c r="A3654" s="2" t="n">
        <v>3653</v>
      </c>
      <c r="B3654" s="2" t="inlineStr"/>
      <c r="C3654" s="2" t="n">
        <v>9671</v>
      </c>
      <c r="D3654" s="3" t="inlineStr">
        <is>
          <t>Стеклянный лабиринт</t>
        </is>
      </c>
      <c r="E3654" s="2" t="n">
        <v>1989</v>
      </c>
      <c r="F3654" s="2" t="inlineStr">
        <is>
          <t>кинофильм</t>
        </is>
      </c>
      <c r="G3654" s="2" t="n"/>
      <c r="H3654" s="2" t="n">
        <v>373</v>
      </c>
      <c r="I3654" s="2" t="inlineStr"/>
      <c r="J3654" s="2" t="inlineStr"/>
      <c r="K3654" s="3" t="inlineStr">
        <is>
          <t>По мотивам повести Ю.Чернякова. Студенты ПТУ, Саша Лукашов, Бонифаций и Серый, после празднования дня рождения в поисках приключений зашли в гости к Алхимику, бывшему зэку, потом в ресторан. Позже, ночью, в пьяном угаре, забравшись в зоопарк, убили ланей - и протрезвели. Теперь им светит тюрьма, а в курсе их подвигов только Алхимик, которому проболтался напуганный Серый.</t>
        </is>
      </c>
      <c r="L3654" s="2" t="inlineStr">
        <is>
          <t>Кино_СССР сводный каталог.xlsx: список фильмов (доп.)</t>
        </is>
      </c>
      <c r="M3654" s="2">
        <f>HYPERLINK("https://ru.wikipedia.org/w/index.php?search=%D0%A1%D1%82%D0%B5%D0%BA%D0%BB%D1%8F%D0%BD%D0%BD%D1%8B%D0%B9%20%D0%BB%D0%B0%D0%B1%D0%B8%D1%80%D0%B8%D0%BD%D1%82%201989%20%D1%84%D0%B8%D0%BB%D1%8C%D0%BC","искать")</f>
        <v/>
      </c>
      <c r="N3654" s="3" t="n"/>
      <c r="O3654" s="2" t="n"/>
    </row>
    <row r="3655">
      <c r="A3655" s="2" t="n">
        <v>3654</v>
      </c>
      <c r="B3655" s="2" t="inlineStr"/>
      <c r="C3655" s="2" t="n">
        <v>7184</v>
      </c>
      <c r="D3655" s="3" t="inlineStr">
        <is>
          <t>А ну-ка, дедушки!</t>
        </is>
      </c>
      <c r="E3655" s="2" t="n">
        <v>1981</v>
      </c>
      <c r="F3655" s="2" t="inlineStr">
        <is>
          <t>телефильм</t>
        </is>
      </c>
      <c r="G3655" s="2" t="n"/>
      <c r="H3655" s="2" t="n">
        <v>374</v>
      </c>
      <c r="I3655" s="2" t="inlineStr"/>
      <c r="J3655" s="2" t="inlineStr"/>
      <c r="K3655" s="3" t="inlineStr">
        <is>
          <t>Телефильм. Веселый рассказ о неунывающих стариках. Музыкальная кинокомедия о поездке хора долгожителей одного из грузинских сел на фестиваль в Болгарию. Песни и танцы в кинофильме исполняют Государственный ансамбль песни и танца Грузии "Рустави", Танцевальный ансамбль окружного народного совета Варны, Оркестр Болгарского радио и инструментальный состав студии "Балкантон".</t>
        </is>
      </c>
      <c r="L3655" s="2" t="inlineStr">
        <is>
          <t>Кино_СССР сводный каталог.xlsx: список телефильмов</t>
        </is>
      </c>
      <c r="M3655" s="2">
        <f>HYPERLINK("https://ru.wikipedia.org/w/index.php?search=%D0%90%20%D0%BD%D1%83-%D0%BA%D0%B0%2C%20%D0%B4%D0%B5%D0%B4%D1%83%D1%88%D0%BA%D0%B8%21%201981%20%D1%84%D0%B8%D0%BB%D1%8C%D0%BC","искать")</f>
        <v/>
      </c>
      <c r="N3655" s="3" t="n"/>
      <c r="O3655" s="2" t="n"/>
    </row>
    <row r="3656">
      <c r="A3656" s="2" t="n">
        <v>3655</v>
      </c>
      <c r="B3656" s="2" t="inlineStr"/>
      <c r="C3656" s="2" t="n">
        <v>7283</v>
      </c>
      <c r="D3656" s="3" t="inlineStr">
        <is>
          <t>Был месяц май</t>
        </is>
      </c>
      <c r="E3656" s="2" t="n">
        <v>1970</v>
      </c>
      <c r="F3656" s="2" t="inlineStr">
        <is>
          <t>телефильм</t>
        </is>
      </c>
      <c r="G3656" s="2" t="n"/>
      <c r="H3656" s="2" t="n">
        <v>374</v>
      </c>
      <c r="I3656" s="2" t="inlineStr"/>
      <c r="J3656" s="2" t="inlineStr"/>
      <c r="K3656" s="3" t="inlineStr">
        <is>
          <t>В первые мирные дни после капитуляции Германии группа советских солдат остановилась в одной из немецких деревень в доме зажиточного крестьянина Рашке, слишком преувеличенно радовавшемуся окончанию войны. Им пpедстоит пpовести вместе несколько дней, а Рашке - очевидному соучастнику смеpтей многих поляков - осмыслить пpожитую жизнь и постаpаться избежать собственной смеpти.</t>
        </is>
      </c>
      <c r="L3656" s="2" t="inlineStr">
        <is>
          <t>Кино_СССР сводный каталог.xlsx: список телефильмов</t>
        </is>
      </c>
      <c r="M3656" s="2">
        <f>HYPERLINK("https://ru.wikipedia.org/w/index.php?search=%D0%91%D1%8B%D0%BB%20%D0%BC%D0%B5%D1%81%D1%8F%D1%86%20%D0%BC%D0%B0%D0%B9%201970%20%D1%84%D0%B8%D0%BB%D1%8C%D0%BC","искать")</f>
        <v/>
      </c>
      <c r="N3656" s="3" t="n"/>
      <c r="O3656" s="2" t="n"/>
    </row>
    <row r="3657">
      <c r="A3657" s="2" t="n">
        <v>3656</v>
      </c>
      <c r="B3657" s="2" t="inlineStr"/>
      <c r="C3657" s="2" t="n">
        <v>7872</v>
      </c>
      <c r="D3657" s="3" t="inlineStr">
        <is>
          <t>Мзиури</t>
        </is>
      </c>
      <c r="E3657" s="2" t="n">
        <v>1973</v>
      </c>
      <c r="F3657" s="2" t="inlineStr">
        <is>
          <t>телефильм</t>
        </is>
      </c>
      <c r="G3657" s="2" t="n"/>
      <c r="H3657" s="2" t="n">
        <v>374</v>
      </c>
      <c r="I3657" s="2" t="inlineStr"/>
      <c r="J3657" s="2" t="inlineStr"/>
      <c r="K3657" s="3" t="inlineStr">
        <is>
          <t>Проходит первенство мира по академической гребле. Сборная Советского Союза становится чемпионом. Капитан команды грузин - Никурадзе, которого Всесоюзная пионерская организация награждает путевкой - он должен в "Артек" отвезти пионерский отряд. Никурадзе думает, что это спортивный отряд, но какого его возмущение, когда видит, что отряд музыкальный, где одни только девочки.</t>
        </is>
      </c>
      <c r="L3657" s="2" t="inlineStr">
        <is>
          <t>Кино_СССР сводный каталог.xlsx: список телефильмов</t>
        </is>
      </c>
      <c r="M3657" s="2">
        <f>HYPERLINK("https://ru.wikipedia.org/w/index.php?search=%D0%9C%D0%B7%D0%B8%D1%83%D1%80%D0%B8%201973%20%D1%84%D0%B8%D0%BB%D1%8C%D0%BC","искать")</f>
        <v/>
      </c>
      <c r="N3657" s="3" t="n"/>
      <c r="O3657" s="2" t="n"/>
    </row>
    <row r="3658">
      <c r="A3658" s="2" t="n">
        <v>3657</v>
      </c>
      <c r="B3658" s="2" t="inlineStr"/>
      <c r="C3658" s="2" t="n">
        <v>8051</v>
      </c>
      <c r="D3658" s="3" t="inlineStr">
        <is>
          <t>Осенние грозы</t>
        </is>
      </c>
      <c r="E3658" s="2" t="n">
        <v>1974</v>
      </c>
      <c r="F3658" s="2" t="inlineStr">
        <is>
          <t>телефильм</t>
        </is>
      </c>
      <c r="G3658" s="2" t="n"/>
      <c r="H3658" s="2" t="n">
        <v>374</v>
      </c>
      <c r="I3658" s="2" t="inlineStr"/>
      <c r="J3658" s="2" t="inlineStr"/>
      <c r="K3658" s="3" t="inlineStr">
        <is>
          <t>По мотивам романа Лидии Мищенко «Полынь — вдовья трава». С некоторых пор не ладится жизнь в семье Козмы Жосана, председателя колхоза одного из молдавских сел. В ответ на равнодушие жены Домники полюбил Козма односельчанку Ольгу, которая отвечает ему взаимностью. Но счастье их как полынь горькое: везде их преследует тяжелый взгляд Домники, в котором застыли тревога и боль.</t>
        </is>
      </c>
      <c r="L3658" s="2" t="inlineStr">
        <is>
          <t>Кино_СССР сводный каталог.xlsx: список телефильмов</t>
        </is>
      </c>
      <c r="M3658" s="2">
        <f>HYPERLINK("https://ru.wikipedia.org/w/index.php?search=%D0%9E%D1%81%D0%B5%D0%BD%D0%BD%D0%B8%D0%B5%20%D0%B3%D1%80%D0%BE%D0%B7%D1%8B%201974%20%D1%84%D0%B8%D0%BB%D1%8C%D0%BC","искать")</f>
        <v/>
      </c>
      <c r="N3658" s="3" t="n"/>
      <c r="O3658" s="2" t="n"/>
    </row>
    <row r="3659">
      <c r="A3659" s="2" t="n">
        <v>3658</v>
      </c>
      <c r="B3659" s="2" t="inlineStr"/>
      <c r="C3659" s="2" t="n">
        <v>8070</v>
      </c>
      <c r="D3659" s="3" t="inlineStr">
        <is>
          <t>Отряд специального назначения</t>
        </is>
      </c>
      <c r="E3659" s="2" t="n">
        <v>1987</v>
      </c>
      <c r="F3659" s="2" t="inlineStr">
        <is>
          <t>телефильм</t>
        </is>
      </c>
      <c r="G3659" s="2" t="n"/>
      <c r="H3659" s="2" t="n">
        <v>374</v>
      </c>
      <c r="I3659" s="2" t="inlineStr"/>
      <c r="J3659" s="2" t="inlineStr"/>
      <c r="K3659" s="3" t="inlineStr">
        <is>
          <t>Во время Великой Отечественной войны в 1942 году по решению ставки Верховного главнокомандования под Ровно создаётся отряд специального назначения "Победители". Разведка — вот основная задача, поставленная перед командиром отряда Дмитрием Медведевым. Сбор разведданных под видом немецкого офицера осуществляет чекист Николай Кузнецов, известный в отряде под фамилией Грачёв.</t>
        </is>
      </c>
      <c r="L3659" s="2" t="inlineStr">
        <is>
          <t>Кино_СССР сводный каталог.xlsx: список телефильмов</t>
        </is>
      </c>
      <c r="M3659" s="2">
        <f>HYPERLINK("https://ru.wikipedia.org/w/index.php?search=%D0%9E%D1%82%D1%80%D1%8F%D0%B4%20%D1%81%D0%BF%D0%B5%D1%86%D0%B8%D0%B0%D0%BB%D1%8C%D0%BD%D0%BE%D0%B3%D0%BE%20%D0%BD%D0%B0%D0%B7%D0%BD%D0%B0%D1%87%D0%B5%D0%BD%D0%B8%D1%8F%201987%20%D1%84%D0%B8%D0%BB%D1%8C%D0%BC","искать")</f>
        <v/>
      </c>
      <c r="N3659" s="3" t="n"/>
      <c r="O3659" s="2" t="n"/>
    </row>
    <row r="3660">
      <c r="A3660" s="2" t="n">
        <v>3659</v>
      </c>
      <c r="B3660" s="2" t="inlineStr"/>
      <c r="C3660" s="2" t="n">
        <v>8433</v>
      </c>
      <c r="D3660" s="3" t="inlineStr">
        <is>
          <t>Тайник у Красных камней</t>
        </is>
      </c>
      <c r="E3660" s="2" t="n">
        <v>1972</v>
      </c>
      <c r="F3660" s="2" t="inlineStr">
        <is>
          <t>телефильм</t>
        </is>
      </c>
      <c r="G3660" s="2" t="n"/>
      <c r="H3660" s="2" t="n">
        <v>374</v>
      </c>
      <c r="I3660" s="2" t="inlineStr"/>
      <c r="J3660" s="2" t="inlineStr"/>
      <c r="K3660" s="3" t="inlineStr">
        <is>
          <t>Телесериал. Агент иностранной разведки Мирсаид, попав к советским пограничникам, по приговору суда направляется в колонию строгого режима. Ему удается скрыть местонахождения тайника, где хранится план-карта. Вскоре границу успешно переходят новые агенты - Лойнаб и Гулям. Их цель проста: навестить Мирсаида в колонии, узнать местонахождение тайника и взять спрятанную карту.</t>
        </is>
      </c>
      <c r="L3660" s="2" t="inlineStr">
        <is>
          <t>Кино_СССР сводный каталог.xlsx: список телефильмов</t>
        </is>
      </c>
      <c r="M3660" s="2">
        <f>HYPERLINK("https://ru.wikipedia.org/w/index.php?search=%D0%A2%D0%B0%D0%B9%D0%BD%D0%B8%D0%BA%20%D1%83%20%D0%9A%D1%80%D0%B0%D1%81%D0%BD%D1%8B%D1%85%20%D0%BA%D0%B0%D0%BC%D0%BD%D0%B5%D0%B9%201972%20%D1%84%D0%B8%D0%BB%D1%8C%D0%BC","искать")</f>
        <v/>
      </c>
      <c r="N3660" s="3" t="n"/>
      <c r="O3660" s="2" t="n"/>
    </row>
    <row r="3661">
      <c r="A3661" s="2" t="n">
        <v>3660</v>
      </c>
      <c r="B3661" s="2" t="inlineStr"/>
      <c r="C3661" s="2" t="n">
        <v>9199</v>
      </c>
      <c r="D3661" s="3" t="inlineStr">
        <is>
          <t>Автопортрет неизвестного</t>
        </is>
      </c>
      <c r="E3661" s="2" t="n">
        <v>1988</v>
      </c>
      <c r="F3661" s="2" t="inlineStr">
        <is>
          <t>кинофильм</t>
        </is>
      </c>
      <c r="G3661" s="2" t="n"/>
      <c r="H3661" s="2" t="n">
        <v>374</v>
      </c>
      <c r="I3661" s="2" t="inlineStr"/>
      <c r="J3661" s="2" t="inlineStr"/>
      <c r="K3661" s="3" t="inlineStr">
        <is>
          <t>Фильм о человеке, который плывет по течению жизни, потому что не смог найти своего места в ней... Сорокалетний инженер Игорь Чернов случайно оказывается в кинотеатре. Его поражает сходство биографии экранного героя (Белова) со своей. Наблюдая себя со стороны, Игорь пытается понять и заново осмыслить прожитую жизнь, в которой он, как поэт и художник, так и не реализовался.</t>
        </is>
      </c>
      <c r="L3661" s="2" t="inlineStr">
        <is>
          <t>Кино_СССР сводный каталог.xlsx: список фильмов (доп.)</t>
        </is>
      </c>
      <c r="M3661" s="2">
        <f>HYPERLINK("https://ru.wikipedia.org/w/index.php?search=%D0%90%D0%B2%D1%82%D0%BE%D0%BF%D0%BE%D1%80%D1%82%D1%80%D0%B5%D1%82%20%D0%BD%D0%B5%D0%B8%D0%B7%D0%B2%D0%B5%D1%81%D1%82%D0%BD%D0%BE%D0%B3%D0%BE%201988%20%D1%84%D0%B8%D0%BB%D1%8C%D0%BC","искать")</f>
        <v/>
      </c>
      <c r="N3661" s="3" t="n"/>
      <c r="O3661" s="2" t="n"/>
    </row>
    <row r="3662">
      <c r="A3662" s="2" t="n">
        <v>3661</v>
      </c>
      <c r="B3662" s="2" t="inlineStr"/>
      <c r="C3662" s="2" t="n">
        <v>9239</v>
      </c>
      <c r="D3662" s="3" t="inlineStr">
        <is>
          <t>Беспредел</t>
        </is>
      </c>
      <c r="E3662" s="2" t="n">
        <v>1989</v>
      </c>
      <c r="F3662" s="2" t="inlineStr">
        <is>
          <t>кинофильм</t>
        </is>
      </c>
      <c r="G3662" s="2" t="n"/>
      <c r="H3662" s="2" t="n">
        <v>374</v>
      </c>
      <c r="I3662" s="2" t="inlineStr"/>
      <c r="J3662" s="2" t="inlineStr"/>
      <c r="K3662" s="3" t="inlineStr">
        <is>
          <t>В исправительной колонии царят жестокие порядки, установленные администрацией и поддерживаемые среди заключенных с помощью воров в законе. Воровская "элита" творит свой суд и расправу над непокорными. Главный герой фильма не пожелал мириться с таким положение дел и вместе с несколькими заключенными, разделяющими его взгляды, попытался изменить беспросветную жизнь колонии.</t>
        </is>
      </c>
      <c r="L3662" s="2" t="inlineStr">
        <is>
          <t>Кино_СССР сводный каталог.xlsx: список фильмов (доп.)</t>
        </is>
      </c>
      <c r="M3662" s="2">
        <f>HYPERLINK("https://ru.wikipedia.org/w/index.php?search=%D0%91%D0%B5%D1%81%D0%BF%D1%80%D0%B5%D0%B4%D0%B5%D0%BB%201989%20%D1%84%D0%B8%D0%BB%D1%8C%D0%BC","искать")</f>
        <v/>
      </c>
      <c r="N3662" s="3" t="n"/>
      <c r="O3662" s="2" t="n"/>
    </row>
    <row r="3663">
      <c r="A3663" s="2" t="n">
        <v>3662</v>
      </c>
      <c r="B3663" s="2" t="inlineStr"/>
      <c r="C3663" s="2" t="n">
        <v>9311</v>
      </c>
      <c r="D3663" s="3" t="inlineStr">
        <is>
          <t>Гомункулус</t>
        </is>
      </c>
      <c r="E3663" s="2" t="n">
        <v>1988</v>
      </c>
      <c r="F3663" s="2" t="inlineStr">
        <is>
          <t>кинофильм</t>
        </is>
      </c>
      <c r="G3663" s="2" t="inlineStr">
        <is>
          <t>Беларусьфильм</t>
        </is>
      </c>
      <c r="H3663" s="2" t="n">
        <v>374</v>
      </c>
      <c r="I3663" s="2" t="inlineStr"/>
      <c r="J3663" s="2" t="inlineStr"/>
      <c r="K3663" s="3" t="inlineStr">
        <is>
          <t>По мотивам повести Ольги Ипатовой «Узелок Святогора». Девочка со странным именем Веня Рыжик живет и воспитывается в детском доме. Она абсолютно не воспринимает лжи, не нуждается в родственниках, свободна и независима в своих суждениях и мечтах о мире свободных людей. Среди своих сверстников она создает «лигу детей колбы», гомункулусов, не нуждающихся в родительской опеке.</t>
        </is>
      </c>
      <c r="L3663" s="2" t="inlineStr">
        <is>
          <t>Кино_СССР сводный каталог.xlsx: список фильмов (доп.)</t>
        </is>
      </c>
      <c r="M3663" s="2">
        <f>HYPERLINK("https://ru.wikipedia.org/w/index.php?search=%D0%93%D0%BE%D0%BC%D1%83%D0%BD%D0%BA%D1%83%D0%BB%D1%83%D1%81%201988%20%D1%84%D0%B8%D0%BB%D1%8C%D0%BC","искать")</f>
        <v/>
      </c>
      <c r="N3663" s="3" t="n"/>
      <c r="O3663" s="2" t="n"/>
    </row>
    <row r="3664">
      <c r="A3664" s="2" t="n">
        <v>3663</v>
      </c>
      <c r="B3664" s="2" t="inlineStr"/>
      <c r="C3664" s="2" t="n">
        <v>9557</v>
      </c>
      <c r="D3664" s="3" t="inlineStr">
        <is>
          <t>Повесть непогашенной луны</t>
        </is>
      </c>
      <c r="E3664" s="2" t="n">
        <v>1990</v>
      </c>
      <c r="F3664" s="2" t="inlineStr">
        <is>
          <t>кинофильм</t>
        </is>
      </c>
      <c r="G3664" s="2" t="n"/>
      <c r="H3664" s="2" t="n">
        <v>374</v>
      </c>
      <c r="I3664" s="2" t="inlineStr"/>
      <c r="J3664" s="2" t="inlineStr"/>
      <c r="K3664" s="3" t="inlineStr">
        <is>
          <t>По мотивам одноименной повести Бориса Пильняка. Легендарный полководец гражданской войны ложится на операционный стол по решению, принятом на специальном заседании Политбюро, хотя его лечащий врач не считает хирургическое вмешательство необходимым. В образе Наркомвоенмора легко угадываются черты одного из героев гражданской войны, военачальника Михаила Васильевича Фрунзе.</t>
        </is>
      </c>
      <c r="L3664" s="2" t="inlineStr">
        <is>
          <t>Кино_СССР сводный каталог.xlsx: список фильмов (доп.)</t>
        </is>
      </c>
      <c r="M3664" s="2">
        <f>HYPERLINK("https://ru.wikipedia.org/w/index.php?search=%D0%9F%D0%BE%D0%B2%D0%B5%D1%81%D1%82%D1%8C%20%D0%BD%D0%B5%D0%BF%D0%BE%D0%B3%D0%B0%D1%88%D0%B5%D0%BD%D0%BD%D0%BE%D0%B9%20%D0%BB%D1%83%D0%BD%D1%8B%201990%20%D1%84%D0%B8%D0%BB%D1%8C%D0%BC","искать")</f>
        <v/>
      </c>
      <c r="N3664" s="3" t="n"/>
      <c r="O3664" s="2" t="n"/>
    </row>
    <row r="3665">
      <c r="A3665" s="2" t="n">
        <v>3664</v>
      </c>
      <c r="B3665" s="2" t="inlineStr"/>
      <c r="C3665" s="2" t="n">
        <v>10226</v>
      </c>
      <c r="D3665" s="3" t="inlineStr">
        <is>
          <t>Актриса</t>
        </is>
      </c>
      <c r="E3665" s="2" t="n">
        <v>1968</v>
      </c>
      <c r="F3665" s="2" t="inlineStr">
        <is>
          <t>фильм-спектакль</t>
        </is>
      </c>
      <c r="G3665" s="2" t="inlineStr">
        <is>
          <t>Центральное телевидение, Подборки фильмов, экранизации Алексея Толстого</t>
        </is>
      </c>
      <c r="H3665" s="2" t="n">
        <v>374</v>
      </c>
      <c r="I3665" s="2" t="inlineStr"/>
      <c r="J3665" s="2" t="inlineStr"/>
      <c r="K3665" s="3" t="inlineStr">
        <is>
          <t>Телеспектакль по мотивам рассказов А.Н.Толстого «Актриса» и «Выстрел».
Разорившийся дворянин Степан Хомутов пять лет жил в разлуке со своей женой, актрисой Марией Огневой. Известие о ее приезде в городок приводит Хомутова в ужас. Его неунывающий друг занимает деньги и пытается хоть как-то приукрасить достаточно незавидное положение гордеца Хомутова перед Марией Петровной.</t>
        </is>
      </c>
      <c r="L3665" s="2" t="inlineStr">
        <is>
          <t>https://www.kino-teatr.ru/teatr/movie/8803/annot/</t>
        </is>
      </c>
      <c r="M3665" s="2">
        <f>HYPERLINK("https://ru.wikipedia.org/w/index.php?search=%D0%90%D0%BA%D1%82%D1%80%D0%B8%D1%81%D0%B0%201968%20%D1%84%D0%B8%D0%BB%D1%8C%D0%BC","искать")</f>
        <v/>
      </c>
      <c r="N3665" s="3" t="n"/>
      <c r="O3665" s="2" t="n"/>
    </row>
    <row r="3666">
      <c r="A3666" s="2" t="n">
        <v>3665</v>
      </c>
      <c r="B3666" s="2" t="inlineStr"/>
      <c r="C3666" s="2" t="n">
        <v>11122</v>
      </c>
      <c r="D3666" s="3" t="inlineStr">
        <is>
          <t>Осенняя кампания 1799 года</t>
        </is>
      </c>
      <c r="E3666" s="2" t="n">
        <v>1986</v>
      </c>
      <c r="F3666" s="2" t="inlineStr">
        <is>
          <t>фильм-спектакль</t>
        </is>
      </c>
      <c r="G3666" s="2" t="inlineStr">
        <is>
          <t>Творческое объединение "Экран"</t>
        </is>
      </c>
      <c r="H3666" s="2" t="n">
        <v>374</v>
      </c>
      <c r="I3666" s="2" t="inlineStr"/>
      <c r="J3666" s="2" t="inlineStr"/>
      <c r="K3666" s="3" t="inlineStr">
        <is>
          <t>По одноименной пьесе Александра Ремеза в постановке Центрального академического театра Советской Армии.
В августе 1799 года российские войска под командованием А.В. Суворова, разгромив французов в северной Италии, получают неожиданный приказ. Вместо похода на Париж им предписывается идти в труднодоступные швейцарские Альпы, где стоит мощная и бессчетная французская армия.</t>
        </is>
      </c>
      <c r="L3666" s="2" t="inlineStr">
        <is>
          <t>https://www.kino-teatr.ru/teatr/movie/81410/annot/</t>
        </is>
      </c>
      <c r="M3666" s="2">
        <f>HYPERLINK("https://ru.wikipedia.org/w/index.php?search=%D0%9E%D1%81%D0%B5%D0%BD%D0%BD%D1%8F%D1%8F%20%D0%BA%D0%B0%D0%BC%D0%BF%D0%B0%D0%BD%D0%B8%D1%8F%201799%20%D0%B3%D0%BE%D0%B4%D0%B0%201986%20%D1%84%D0%B8%D0%BB%D1%8C%D0%BC","искать")</f>
        <v/>
      </c>
      <c r="N3666" s="3" t="n"/>
      <c r="O3666" s="2" t="n"/>
    </row>
    <row r="3667">
      <c r="A3667" s="2" t="n">
        <v>3666</v>
      </c>
      <c r="B3667" s="2" t="inlineStr"/>
      <c r="C3667" s="2" t="n">
        <v>7237</v>
      </c>
      <c r="D3667" s="3" t="inlineStr">
        <is>
          <t>Батальоны просят огня</t>
        </is>
      </c>
      <c r="E3667" s="2" t="n">
        <v>1985</v>
      </c>
      <c r="F3667" s="2" t="inlineStr">
        <is>
          <t>телефильм</t>
        </is>
      </c>
      <c r="G3667" s="2" t="inlineStr">
        <is>
          <t>Мосфильм</t>
        </is>
      </c>
      <c r="H3667" s="2" t="n">
        <v>375</v>
      </c>
      <c r="I3667" s="2" t="inlineStr"/>
      <c r="J3667" s="2" t="inlineStr"/>
      <c r="K3667" s="3" t="inlineStr">
        <is>
          <t>Телесериал по мотивам одноимённой повести Юрия Бондарева. В основе сюжета лежит один из решающих этапов Великой отечественной войны — форсирование советскими войсками Днепра в 1943 году. Два батальона брошены в гибельный прорыв на занятый немцами берег Днепра с целью отвлечь на себя силы противника и тем самым облегчить дивизии бросок на стратегически важный город Днепров.</t>
        </is>
      </c>
      <c r="L3667" s="2" t="inlineStr">
        <is>
          <t>Кино_СССР сводный каталог.xlsx: список телефильмов</t>
        </is>
      </c>
      <c r="M3667" s="2">
        <f>HYPERLINK("https://ru.wikipedia.org/w/index.php?search=%D0%91%D0%B0%D1%82%D0%B0%D0%BB%D1%8C%D0%BE%D0%BD%D1%8B%20%D0%BF%D1%80%D0%BE%D1%81%D1%8F%D1%82%20%D0%BE%D0%B3%D0%BD%D1%8F%201985%20%D1%84%D0%B8%D0%BB%D1%8C%D0%BC","искать")</f>
        <v/>
      </c>
      <c r="N3667" s="3" t="n"/>
      <c r="O3667" s="2" t="n"/>
    </row>
    <row r="3668">
      <c r="A3668" s="2" t="n">
        <v>3667</v>
      </c>
      <c r="B3668" s="2" t="inlineStr"/>
      <c r="C3668" s="2" t="n">
        <v>7889</v>
      </c>
      <c r="D3668" s="3" t="inlineStr">
        <is>
          <t>Мои цыгане</t>
        </is>
      </c>
      <c r="E3668" s="2" t="n">
        <v>1987</v>
      </c>
      <c r="F3668" s="2" t="inlineStr">
        <is>
          <t>телефильм</t>
        </is>
      </c>
      <c r="G3668" s="2" t="n"/>
      <c r="H3668" s="2" t="n">
        <v>375</v>
      </c>
      <c r="I3668" s="2" t="inlineStr"/>
      <c r="J3668" s="2" t="inlineStr"/>
      <c r="K3668" s="3" t="inlineStr">
        <is>
          <t>По автобиографической повести Нодара Думбадзе "Цыгане". Действие фильма происходит во время Великой Отечественной войны в грузинской деревне Зенобани, где на время остановился цыганский табор. Поющие и танцующие люди очень понравились мальчику Нодари. Он подружился с ними и по просьбе деревенских женщин, чьи мужья и сыновья были на фронте, стал приводить в их дома гадалок.</t>
        </is>
      </c>
      <c r="L3668" s="2" t="inlineStr">
        <is>
          <t>Кино_СССР сводный каталог.xlsx: список телефильмов</t>
        </is>
      </c>
      <c r="M3668" s="2">
        <f>HYPERLINK("https://ru.wikipedia.org/w/index.php?search=%D0%9C%D0%BE%D0%B8%20%D1%86%D1%8B%D0%B3%D0%B0%D0%BD%D0%B5%201987%20%D1%84%D0%B8%D0%BB%D1%8C%D0%BC","искать")</f>
        <v/>
      </c>
      <c r="N3668" s="3" t="n"/>
      <c r="O3668" s="2" t="n"/>
    </row>
    <row r="3669">
      <c r="A3669" s="2" t="n">
        <v>3668</v>
      </c>
      <c r="B3669" s="2" t="inlineStr"/>
      <c r="C3669" s="2" t="n">
        <v>7901</v>
      </c>
      <c r="D3669" s="3" t="inlineStr">
        <is>
          <t>Моя жена - бабушка</t>
        </is>
      </c>
      <c r="E3669" s="2" t="n">
        <v>1976</v>
      </c>
      <c r="F3669" s="2" t="inlineStr">
        <is>
          <t>телефильм</t>
        </is>
      </c>
      <c r="G3669" s="2" t="n"/>
      <c r="H3669" s="2" t="n">
        <v>375</v>
      </c>
      <c r="I3669" s="2" t="inlineStr"/>
      <c r="J3669" s="2" t="inlineStr"/>
      <c r="K3669" s="3" t="inlineStr">
        <is>
          <t>Наш герой – настоящий мужчина и король в своем доме, единственный пророк для жены своей. Он – учитель, но все свое свободное время посвящает сочинительству, поэтому домочадцы относятся к нему с трепетом и бережно оберегают его покой, чтобы случайно не спугнуть вдохновение. Но в один прекрасный день в семье появился младенец, сразу же завоевавший всеобщую любовь и внимание.</t>
        </is>
      </c>
      <c r="L3669" s="2" t="inlineStr">
        <is>
          <t>Кино_СССР сводный каталог.xlsx: список телефильмов</t>
        </is>
      </c>
      <c r="M3669" s="2">
        <f>HYPERLINK("https://ru.wikipedia.org/w/index.php?search=%D0%9C%D0%BE%D1%8F%20%D0%B6%D0%B5%D0%BD%D0%B0%20-%20%D0%B1%D0%B0%D0%B1%D1%83%D1%88%D0%BA%D0%B0%201976%20%D1%84%D0%B8%D0%BB%D1%8C%D0%BC","искать")</f>
        <v/>
      </c>
      <c r="N3669" s="3" t="n"/>
      <c r="O3669" s="2" t="n"/>
    </row>
    <row r="3670">
      <c r="A3670" s="2" t="n">
        <v>3669</v>
      </c>
      <c r="B3670" s="2" t="inlineStr"/>
      <c r="C3670" s="2" t="n">
        <v>8099</v>
      </c>
      <c r="D3670" s="3" t="inlineStr">
        <is>
          <t>Переступить черту</t>
        </is>
      </c>
      <c r="E3670" s="2" t="n">
        <v>1985</v>
      </c>
      <c r="F3670" s="2" t="inlineStr">
        <is>
          <t>телефильм</t>
        </is>
      </c>
      <c r="G3670" s="2" t="n"/>
      <c r="H3670" s="2" t="n">
        <v>375</v>
      </c>
      <c r="I3670" s="2" t="inlineStr"/>
      <c r="J3670" s="2" t="inlineStr"/>
      <c r="K3670" s="3" t="inlineStr">
        <is>
          <t>По мотивам повести С. Родионова "Долгое дело". Три дела - одно за другим - ложатся на стол следователя Владимира Петровича Сажина: автомобильный наезд (угнанными синими "Жигулями" сбит 16-летний мальчик), кража музыкальной аппаратуры из школы и дело о частной практике гражданки Калязиной, работающей в СЭС и пользующейся славой врача-экстрасенса среди элитной части горожан.</t>
        </is>
      </c>
      <c r="L3670" s="2" t="inlineStr">
        <is>
          <t>Кино_СССР сводный каталог.xlsx: список телефильмов</t>
        </is>
      </c>
      <c r="M3670" s="2">
        <f>HYPERLINK("https://ru.wikipedia.org/w/index.php?search=%D0%9F%D0%B5%D1%80%D0%B5%D1%81%D1%82%D1%83%D0%BF%D0%B8%D1%82%D1%8C%20%D1%87%D0%B5%D1%80%D1%82%D1%83%201985%20%D1%84%D0%B8%D0%BB%D1%8C%D0%BC","искать")</f>
        <v/>
      </c>
      <c r="N3670" s="3" t="n"/>
      <c r="O3670" s="2" t="n"/>
    </row>
    <row r="3671">
      <c r="A3671" s="2" t="n">
        <v>3670</v>
      </c>
      <c r="B3671" s="2" t="inlineStr"/>
      <c r="C3671" s="2" t="n">
        <v>8292</v>
      </c>
      <c r="D3671" s="3" t="inlineStr">
        <is>
          <t>Рядом с комиссаром</t>
        </is>
      </c>
      <c r="E3671" s="2" t="n">
        <v>1978</v>
      </c>
      <c r="F3671" s="2" t="inlineStr">
        <is>
          <t>телефильм</t>
        </is>
      </c>
      <c r="G3671" s="2" t="n"/>
      <c r="H3671" s="2" t="n">
        <v>375</v>
      </c>
      <c r="I3671" s="2" t="inlineStr"/>
      <c r="J3671" s="2" t="inlineStr"/>
      <c r="K3671" s="3" t="inlineStr">
        <is>
          <t>Круто изменилась жизнь мальчика Феди после приезда в деревню волостного комиссара. Федька умел читать и писать, поэтому его назначили писарем деревенского комитета бедноты. Вся деревня рада Советской власти. Но кулаки пытаются вредить, не останавливаясь даже перед убийством. И, когда комиссар погибает от вражеской пули, Федька становится настоящим борцом за лучшее будущее.</t>
        </is>
      </c>
      <c r="L3671" s="2" t="inlineStr">
        <is>
          <t>Кино_СССР сводный каталог.xlsx: список телефильмов</t>
        </is>
      </c>
      <c r="M3671" s="2">
        <f>HYPERLINK("https://ru.wikipedia.org/w/index.php?search=%D0%A0%D1%8F%D0%B4%D0%BE%D0%BC%20%D1%81%20%D0%BA%D0%BE%D0%BC%D0%B8%D1%81%D1%81%D0%B0%D1%80%D0%BE%D0%BC%201978%20%D1%84%D0%B8%D0%BB%D1%8C%D0%BC","искать")</f>
        <v/>
      </c>
      <c r="N3671" s="3" t="n"/>
      <c r="O3671" s="2" t="n"/>
    </row>
    <row r="3672">
      <c r="A3672" s="2" t="n">
        <v>3671</v>
      </c>
      <c r="B3672" s="2" t="inlineStr"/>
      <c r="C3672" s="2" t="n">
        <v>8462</v>
      </c>
      <c r="D3672" s="3" t="inlineStr">
        <is>
          <t>Только ты</t>
        </is>
      </c>
      <c r="E3672" s="2" t="n">
        <v>1986</v>
      </c>
      <c r="F3672" s="2" t="inlineStr">
        <is>
          <t>телефильм</t>
        </is>
      </c>
      <c r="G3672" s="2" t="n"/>
      <c r="H3672" s="2" t="n">
        <v>375</v>
      </c>
      <c r="I3672" s="2" t="inlineStr"/>
      <c r="J3672" s="2" t="inlineStr"/>
      <c r="K3672" s="3" t="inlineStr">
        <is>
          <t>По мотивам романа Ильяса Эфендиева "Повесть о Сарыкейнек и Валехе". В крановщицу Сарыкейнек влюблены шофер Валех и сын директора совхоза Ровшан. Чтобы скомпрометировать Валеха, Ровшан и его отец совершают преступление. И поначалу все события разворачиваются по их плану. Но приехавший следователь Мурадзаде доказывает невиновность Валеха и разоблачает подлинных преступников.</t>
        </is>
      </c>
      <c r="L3672" s="2" t="inlineStr">
        <is>
          <t>Кино_СССР сводный каталог.xlsx: список телефильмов</t>
        </is>
      </c>
      <c r="M3672" s="2">
        <f>HYPERLINK("https://ru.wikipedia.org/w/index.php?search=%D0%A2%D0%BE%D0%BB%D1%8C%D0%BA%D0%BE%20%D1%82%D1%8B%201986%20%D1%84%D0%B8%D0%BB%D1%8C%D0%BC","искать")</f>
        <v/>
      </c>
      <c r="N3672" s="3" t="n"/>
      <c r="O3672" s="2" t="n"/>
    </row>
    <row r="3673">
      <c r="A3673" s="2" t="n">
        <v>3672</v>
      </c>
      <c r="B3673" s="2" t="inlineStr"/>
      <c r="C3673" s="2" t="n">
        <v>8517</v>
      </c>
      <c r="D3673" s="3" t="inlineStr">
        <is>
          <t>Фотография на память</t>
        </is>
      </c>
      <c r="E3673" s="2" t="n">
        <v>1985</v>
      </c>
      <c r="F3673" s="2" t="inlineStr">
        <is>
          <t>телефильм</t>
        </is>
      </c>
      <c r="G3673" s="2" t="n"/>
      <c r="H3673" s="2" t="n">
        <v>375</v>
      </c>
      <c r="I3673" s="2" t="inlineStr"/>
      <c r="J3673" s="2" t="inlineStr"/>
      <c r="K3673" s="3" t="inlineStr">
        <is>
          <t>Однажды компания подростков "обстреляла" камнями проходившую электричку, ранив ехавшую в ней девочку Олю. Одного из хулиганов - Колю - задержали. Мать Коли стремится любыми средствами "спасти" сына. Жестоко страдает его отец - справедливый честный человек. Смерть отца, чувства возникшие у Коли к Ольге, заставляют юношу по-новому осмыслить свои поступки, признать свою вину.</t>
        </is>
      </c>
      <c r="L3673" s="2" t="inlineStr">
        <is>
          <t>Кино_СССР сводный каталог.xlsx: список телефильмов</t>
        </is>
      </c>
      <c r="M3673" s="2">
        <f>HYPERLINK("https://ru.wikipedia.org/w/index.php?search=%D0%A4%D0%BE%D1%82%D0%BE%D0%B3%D1%80%D0%B0%D1%84%D0%B8%D1%8F%20%D0%BD%D0%B0%20%D0%BF%D0%B0%D0%BC%D1%8F%D1%82%D1%8C%201985%20%D1%84%D0%B8%D0%BB%D1%8C%D0%BC","искать")</f>
        <v/>
      </c>
      <c r="N3673" s="3" t="n"/>
      <c r="O3673" s="2" t="n"/>
    </row>
    <row r="3674">
      <c r="A3674" s="2" t="n">
        <v>3673</v>
      </c>
      <c r="B3674" s="2" t="inlineStr"/>
      <c r="C3674" s="2" t="n">
        <v>8575</v>
      </c>
      <c r="D3674" s="3" t="inlineStr">
        <is>
          <t>Шаги по земле</t>
        </is>
      </c>
      <c r="E3674" s="2" t="n">
        <v>1968</v>
      </c>
      <c r="F3674" s="2" t="inlineStr">
        <is>
          <t>телефильм</t>
        </is>
      </c>
      <c r="G3674" s="2" t="n"/>
      <c r="H3674" s="2" t="n">
        <v>375</v>
      </c>
      <c r="I3674" s="2" t="inlineStr"/>
      <c r="J3674" s="2" t="inlineStr"/>
      <c r="K3674" s="3" t="inlineStr">
        <is>
          <t>В южные степи приезжает археологическая экспедиция. Местный табунщик Санька знакомится со студенткой Аней и увлекается ею. Его дед, старый табунщик Никифор, рассказывает руководителю экспедиции Журавлеву о том, что накануне войны в этих местах работали археологи во главе со старым ученым. Журавлев догадывается, что это был его пропавший без вести учитель, профессор Нечаев.</t>
        </is>
      </c>
      <c r="L3674" s="2" t="inlineStr">
        <is>
          <t>Кино_СССР сводный каталог.xlsx: список телефильмов</t>
        </is>
      </c>
      <c r="M3674" s="2">
        <f>HYPERLINK("https://ru.wikipedia.org/w/index.php?search=%D0%A8%D0%B0%D0%B3%D0%B8%20%D0%BF%D0%BE%20%D0%B7%D0%B5%D0%BC%D0%BB%D0%B5%201968%20%D1%84%D0%B8%D0%BB%D1%8C%D0%BC","искать")</f>
        <v/>
      </c>
      <c r="N3674" s="3" t="n"/>
      <c r="O3674" s="2" t="n"/>
    </row>
    <row r="3675">
      <c r="A3675" s="2" t="n">
        <v>3674</v>
      </c>
      <c r="B3675" s="2" t="inlineStr"/>
      <c r="C3675" s="2" t="n">
        <v>8576</v>
      </c>
      <c r="D3675" s="3" t="inlineStr">
        <is>
          <t>Шапка Мономаха</t>
        </is>
      </c>
      <c r="E3675" s="2" t="n">
        <v>1982</v>
      </c>
      <c r="F3675" s="2" t="inlineStr">
        <is>
          <t>телефильм</t>
        </is>
      </c>
      <c r="G3675" s="2" t="n"/>
      <c r="H3675" s="2" t="n">
        <v>375</v>
      </c>
      <c r="I3675" s="2" t="inlineStr"/>
      <c r="J3675" s="2" t="inlineStr"/>
      <c r="K3675" s="3" t="inlineStr">
        <is>
          <t>Телефильм. Восьмиклассники участвуют в малопонятном научном эксперименте в Институте Мозга. «Шапка Мономаха» — нейро-диагностический прибор с кучей проводов, который надевают им на головы и проводят какие-то тесты. Любопытные педагоги во главе с директором школы звонят в институт, расспрашивают ученых о результатах и получают ответ, что «коэффициент Петрова очень высокий».</t>
        </is>
      </c>
      <c r="L3675" s="2" t="inlineStr">
        <is>
          <t>Кино_СССР сводный каталог.xlsx: список телефильмов</t>
        </is>
      </c>
      <c r="M3675" s="2">
        <f>HYPERLINK("https://ru.wikipedia.org/w/index.php?search=%D0%A8%D0%B0%D0%BF%D0%BA%D0%B0%20%D0%9C%D0%BE%D0%BD%D0%BE%D0%BC%D0%B0%D1%85%D0%B0%201982%20%D1%84%D0%B8%D0%BB%D1%8C%D0%BC","искать")</f>
        <v/>
      </c>
      <c r="N3675" s="3" t="n"/>
      <c r="O3675" s="2" t="n"/>
    </row>
    <row r="3676">
      <c r="A3676" s="2" t="n">
        <v>3675</v>
      </c>
      <c r="B3676" s="2" t="inlineStr"/>
      <c r="C3676" s="2" t="n">
        <v>9438</v>
      </c>
      <c r="D3676" s="3" t="inlineStr">
        <is>
          <t>Красный остров</t>
        </is>
      </c>
      <c r="E3676" s="2" t="n">
        <v>1991</v>
      </c>
      <c r="F3676" s="2" t="inlineStr">
        <is>
          <t>кинофильм</t>
        </is>
      </c>
      <c r="G3676" s="2" t="n"/>
      <c r="H3676" s="2" t="n">
        <v>375</v>
      </c>
      <c r="I3676" s="2" t="inlineStr"/>
      <c r="J3676" s="2" t="inlineStr"/>
      <c r="K3676" s="3" t="inlineStr">
        <is>
          <t>По мотивам пьес Михаила Булгакова «Багровый остров», «Театральный роман», «Иван Васильевич», «Мольер». Проснувшийся с похмелья писатель пишет предсмертную записку, собираясь застрелиться, но тут к нему является Мефистофель в виде редактора и просит дать почитать рукопись нового романа. Далее следуют описания мук писателя в обстановке становления социалистического реализма.</t>
        </is>
      </c>
      <c r="L3676" s="2" t="inlineStr">
        <is>
          <t>Кино_СССР сводный каталог.xlsx: список фильмов (доп.)</t>
        </is>
      </c>
      <c r="M3676" s="2">
        <f>HYPERLINK("https://ru.wikipedia.org/w/index.php?search=%D0%9A%D1%80%D0%B0%D1%81%D0%BD%D1%8B%D0%B9%20%D0%BE%D1%81%D1%82%D1%80%D0%BE%D0%B2%201991%20%D1%84%D0%B8%D0%BB%D1%8C%D0%BC","искать")</f>
        <v/>
      </c>
      <c r="N3676" s="3" t="n"/>
      <c r="O3676" s="2" t="n"/>
    </row>
    <row r="3677">
      <c r="A3677" s="2" t="n">
        <v>3676</v>
      </c>
      <c r="B3677" s="2" t="inlineStr"/>
      <c r="C3677" s="2" t="n">
        <v>7360</v>
      </c>
      <c r="D3677" s="3" t="inlineStr">
        <is>
          <t>Войди в каждый дом</t>
        </is>
      </c>
      <c r="E3677" s="2" t="n">
        <v>1989</v>
      </c>
      <c r="F3677" s="2" t="inlineStr">
        <is>
          <t>телефильм</t>
        </is>
      </c>
      <c r="G3677" s="2" t="n"/>
      <c r="H3677" s="2" t="n">
        <v>376</v>
      </c>
      <c r="I3677" s="2" t="inlineStr"/>
      <c r="J3677" s="2" t="inlineStr"/>
      <c r="K3677" s="3" t="inlineStr">
        <is>
          <t>По одноименному роману Елизара Мальцева. Глава колхоза — Аникей Лузгин готов на всё, чтобы покрасоваться перед начальством. Он задумал перевыполнить предстоящий план, не обращая внимания на то, что от этого страдают его односельчане. Но колхозники уже поняли, что командно-административная система стремительно уходит в прошлое, и решили дать окорот зарвавшемуся председателю.</t>
        </is>
      </c>
      <c r="L3677" s="2" t="inlineStr">
        <is>
          <t>Кино_СССР сводный каталог.xlsx: список телефильмов</t>
        </is>
      </c>
      <c r="M3677" s="2">
        <f>HYPERLINK("https://ru.wikipedia.org/w/index.php?search=%D0%92%D0%BE%D0%B9%D0%B4%D0%B8%20%D0%B2%20%D0%BA%D0%B0%D0%B6%D0%B4%D1%8B%D0%B9%20%D0%B4%D0%BE%D0%BC%201989%20%D1%84%D0%B8%D0%BB%D1%8C%D0%BC","искать")</f>
        <v/>
      </c>
      <c r="N3677" s="3" t="n"/>
      <c r="O3677" s="2" t="n"/>
    </row>
    <row r="3678">
      <c r="A3678" s="2" t="n">
        <v>3677</v>
      </c>
      <c r="B3678" s="2" t="inlineStr"/>
      <c r="C3678" s="2" t="n">
        <v>7847</v>
      </c>
      <c r="D3678" s="3" t="inlineStr">
        <is>
          <t>Мальчишки - народ хороший</t>
        </is>
      </c>
      <c r="E3678" s="2" t="n">
        <v>1972</v>
      </c>
      <c r="F3678" s="2" t="inlineStr">
        <is>
          <t>телефильм</t>
        </is>
      </c>
      <c r="G3678" s="2" t="n"/>
      <c r="H3678" s="2" t="n">
        <v>376</v>
      </c>
      <c r="I3678" s="2" t="inlineStr"/>
      <c r="J3678" s="2" t="inlineStr"/>
      <c r="K3678" s="3" t="inlineStr">
        <is>
          <t>Роман, самолюбивый и вспыльчивый девятиклассник, успешно занимается боксом и во всех проведенных им боях выходит победителем. Но в одном бою Роман наносит удар противнику уже после гонга. Тренер на время отстраняет его от матчей. Обиженный Роман покидает ринг. Он, конечно, вернется и, конечно, поймет, что честность и благородство — необходимые качества настоящего спортсмена</t>
        </is>
      </c>
      <c r="L3678" s="2" t="inlineStr">
        <is>
          <t>Кино_СССР сводный каталог.xlsx: список телефильмов</t>
        </is>
      </c>
      <c r="M3678" s="2">
        <f>HYPERLINK("https://ru.wikipedia.org/w/index.php?search=%D0%9C%D0%B0%D0%BB%D1%8C%D1%87%D0%B8%D1%88%D0%BA%D0%B8%20-%20%D0%BD%D0%B0%D1%80%D0%BE%D0%B4%20%D1%85%D0%BE%D1%80%D0%BE%D1%88%D0%B8%D0%B9%201972%20%D1%84%D0%B8%D0%BB%D1%8C%D0%BC","искать")</f>
        <v/>
      </c>
      <c r="N3678" s="3" t="n"/>
      <c r="O3678" s="2" t="n"/>
    </row>
    <row r="3679">
      <c r="A3679" s="2" t="n">
        <v>3678</v>
      </c>
      <c r="B3679" s="2" t="inlineStr"/>
      <c r="C3679" s="2" t="n">
        <v>8000</v>
      </c>
      <c r="D3679" s="3" t="inlineStr">
        <is>
          <t>Никудышная</t>
        </is>
      </c>
      <c r="E3679" s="2" t="n">
        <v>1980</v>
      </c>
      <c r="F3679" s="2" t="inlineStr">
        <is>
          <t>телефильм</t>
        </is>
      </c>
      <c r="G3679" s="2" t="n"/>
      <c r="H3679" s="2" t="n">
        <v>376</v>
      </c>
      <c r="I3679" s="2" t="inlineStr"/>
      <c r="J3679" s="2" t="inlineStr"/>
      <c r="K3679" s="3" t="inlineStr">
        <is>
          <t>Телефильм. Девочка-подросток Аня с неуравновешенной психикой не может найти взаимопонимание с окружающими — отчасти из-за своего заикания, отчасти из-за невнимания родителей, занятых собственными проблемами. Родители, спасаясь от ее агрессивности, отправляют дочь в деревню. Там она встречает старого человека, инвалида войны, который принимает живое участие в судьбе девочки.</t>
        </is>
      </c>
      <c r="L3679" s="2" t="inlineStr">
        <is>
          <t>Кино_СССР сводный каталог.xlsx: список телефильмов</t>
        </is>
      </c>
      <c r="M3679" s="2">
        <f>HYPERLINK("https://ru.wikipedia.org/w/index.php?search=%D0%9D%D0%B8%D0%BA%D1%83%D0%B4%D1%8B%D1%88%D0%BD%D0%B0%D1%8F%201980%20%D1%84%D0%B8%D0%BB%D1%8C%D0%BC","искать")</f>
        <v/>
      </c>
      <c r="N3679" s="3" t="n"/>
      <c r="O3679" s="2" t="n"/>
    </row>
    <row r="3680">
      <c r="A3680" s="2" t="n">
        <v>3679</v>
      </c>
      <c r="B3680" s="2" t="inlineStr"/>
      <c r="C3680" s="2" t="n">
        <v>8066</v>
      </c>
      <c r="D3680" s="3" t="inlineStr">
        <is>
          <t>Откровение Иоанна Первопечатника</t>
        </is>
      </c>
      <c r="E3680" s="2" t="n">
        <v>1991</v>
      </c>
      <c r="F3680" s="2" t="inlineStr">
        <is>
          <t>телефильм</t>
        </is>
      </c>
      <c r="G3680" s="2" t="n"/>
      <c r="H3680" s="2" t="n">
        <v>376</v>
      </c>
      <c r="I3680" s="2" t="inlineStr"/>
      <c r="J3680" s="2" t="inlineStr"/>
      <c r="K3680" s="3" t="inlineStr">
        <is>
          <t>О жизни первопечатника Ивана Федорова. В его жизни было много и счастливых, и горестных дней: это и любовь к первой жене Анастасии, погибшей при первом московском пожаре, это и долгая мучительная работа над переводами, которые поручил ему митрополит Макарий. В плодотворную жизнь первопечатника вторгаются политические распри, обостряющие его взаимоотношения с Иваном Грозным.</t>
        </is>
      </c>
      <c r="L3680" s="2" t="inlineStr">
        <is>
          <t>Кино_СССР сводный каталог.xlsx: список телефильмов</t>
        </is>
      </c>
      <c r="M3680" s="2">
        <f>HYPERLINK("https://ru.wikipedia.org/w/index.php?search=%D0%9E%D1%82%D0%BA%D1%80%D0%BE%D0%B2%D0%B5%D0%BD%D0%B8%D0%B5%20%D0%98%D0%BE%D0%B0%D0%BD%D0%BD%D0%B0%20%D0%9F%D0%B5%D1%80%D0%B2%D0%BE%D0%BF%D0%B5%D1%87%D0%B0%D1%82%D0%BD%D0%B8%D0%BA%D0%B0%201991%20%D1%84%D0%B8%D0%BB%D1%8C%D0%BC","искать")</f>
        <v/>
      </c>
      <c r="N3680" s="3" t="n"/>
      <c r="O3680" s="2" t="n"/>
    </row>
    <row r="3681">
      <c r="A3681" s="2" t="n">
        <v>3680</v>
      </c>
      <c r="B3681" s="2" t="inlineStr"/>
      <c r="C3681" s="2" t="n">
        <v>8630</v>
      </c>
      <c r="D3681" s="3" t="inlineStr">
        <is>
          <t>Без надежды надеюсь</t>
        </is>
      </c>
      <c r="E3681" s="2" t="n">
        <v>1989</v>
      </c>
      <c r="F3681" s="2" t="inlineStr">
        <is>
          <t>кинофильм</t>
        </is>
      </c>
      <c r="G3681" s="2" t="n"/>
      <c r="H3681" s="2" t="n">
        <v>376</v>
      </c>
      <c r="I3681" s="2" t="inlineStr"/>
      <c r="J3681" s="2" t="inlineStr"/>
      <c r="K3681" s="3" t="inlineStr">
        <is>
          <t>Писатель Косташ накануне своего выступления на экологическом форуме отправляется в вояж по своему району, чтобы поставить в известность местные власти о прибытии гостей и самому лично убедиться в их готовности. Однако парад показухи и вульгарщины ставит в весьма затруднительное положение писателя, некогда уверовавшегося в нравственной чистоте и трудолюбии своих односельчан.</t>
        </is>
      </c>
      <c r="L3681" s="2" t="inlineStr">
        <is>
          <t>Кино_СССР сводный каталог.xlsx: список фильмов (доп.)</t>
        </is>
      </c>
      <c r="M3681" s="2">
        <f>HYPERLINK("https://ru.wikipedia.org/w/index.php?search=%D0%91%D0%B5%D0%B7%20%D0%BD%D0%B0%D0%B4%D0%B5%D0%B6%D0%B4%D1%8B%20%D0%BD%D0%B0%D0%B4%D0%B5%D1%8E%D1%81%D1%8C%201989%20%D1%84%D0%B8%D0%BB%D1%8C%D0%BC","искать")</f>
        <v/>
      </c>
      <c r="N3681" s="3" t="n"/>
      <c r="O3681" s="2" t="n"/>
    </row>
    <row r="3682">
      <c r="A3682" s="2" t="n">
        <v>3681</v>
      </c>
      <c r="B3682" s="2" t="inlineStr"/>
      <c r="C3682" s="2" t="n">
        <v>8962</v>
      </c>
      <c r="D3682" s="3" t="inlineStr">
        <is>
          <t>Последняя лисичка</t>
        </is>
      </c>
      <c r="E3682" s="2" t="n">
        <v>1990</v>
      </c>
      <c r="F3682" s="2" t="inlineStr">
        <is>
          <t>кинофильм</t>
        </is>
      </c>
      <c r="G3682" s="2" t="n"/>
      <c r="H3682" s="2" t="n">
        <v>376</v>
      </c>
      <c r="I3682" s="2" t="inlineStr"/>
      <c r="J3682" s="2" t="inlineStr"/>
      <c r="K3682" s="3" t="inlineStr">
        <is>
          <t>Во время каникул Данимбек в очередной раз приезжает к дедушке и бабушке. Он повзрослел и ему стыдно за деда, который встречает его на ишаке в старой, потертой шапке. Но однажды в их капкан попадает лисичка. Данимбеку жалко зверька и он отпускает его на волю. Пусть живет - жизнь так хороша! И не терпится ему рассказать про это деду, который пошел заказывать себе новую шапку.</t>
        </is>
      </c>
      <c r="L3682" s="2" t="inlineStr">
        <is>
          <t>Кино_СССР сводный каталог.xlsx: список фильмов (доп.)</t>
        </is>
      </c>
      <c r="M3682" s="2">
        <f>HYPERLINK("https://ru.wikipedia.org/w/index.php?search=%D0%9F%D0%BE%D1%81%D0%BB%D0%B5%D0%B4%D0%BD%D1%8F%D1%8F%20%D0%BB%D0%B8%D1%81%D0%B8%D1%87%D0%BA%D0%B0%201990%20%D1%84%D0%B8%D0%BB%D1%8C%D0%BC","искать")</f>
        <v/>
      </c>
      <c r="N3682" s="3" t="n"/>
      <c r="O3682" s="2" t="n"/>
    </row>
    <row r="3683">
      <c r="A3683" s="2" t="n">
        <v>3682</v>
      </c>
      <c r="B3683" s="2" t="inlineStr"/>
      <c r="C3683" s="2" t="n">
        <v>9177</v>
      </c>
      <c r="D3683" s="3" t="inlineStr">
        <is>
          <t>Штормовое предупреждение</t>
        </is>
      </c>
      <c r="E3683" s="2" t="n">
        <v>1988</v>
      </c>
      <c r="F3683" s="2" t="inlineStr">
        <is>
          <t>кинофильм</t>
        </is>
      </c>
      <c r="G3683" s="2" t="n"/>
      <c r="H3683" s="2" t="n">
        <v>376</v>
      </c>
      <c r="I3683" s="2" t="inlineStr"/>
      <c r="J3683" s="2" t="inlineStr"/>
      <c r="K3683" s="3" t="inlineStr">
        <is>
          <t>На город надвигается стихийное бедствие - синоптики сообщают о приближении урагана. В этой экстремальной ситуации обнаружилась полная несостоятельность людей, по долгу службы обязанных сделать все возможное, чтобы сберечь город от разрушений. Положение осложняется еще и тем, что в городе находится большой химический комбинат, взрыв которого повлечет за собой большие жертвы.</t>
        </is>
      </c>
      <c r="L3683" s="2" t="inlineStr">
        <is>
          <t>Кино_СССР сводный каталог.xlsx: список фильмов (доп.)</t>
        </is>
      </c>
      <c r="M3683" s="2">
        <f>HYPERLINK("https://ru.wikipedia.org/w/index.php?search=%D0%A8%D1%82%D0%BE%D1%80%D0%BC%D0%BE%D0%B2%D0%BE%D0%B5%20%D0%BF%D1%80%D0%B5%D0%B4%D1%83%D0%BF%D1%80%D0%B5%D0%B6%D0%B4%D0%B5%D0%BD%D0%B8%D0%B5%201988%20%D1%84%D0%B8%D0%BB%D1%8C%D0%BC","искать")</f>
        <v/>
      </c>
      <c r="N3683" s="3" t="n"/>
      <c r="O3683" s="2" t="n"/>
    </row>
    <row r="3684">
      <c r="A3684" s="2" t="n">
        <v>3683</v>
      </c>
      <c r="B3684" s="2" t="inlineStr"/>
      <c r="C3684" s="2" t="n">
        <v>9353</v>
      </c>
      <c r="D3684" s="3" t="inlineStr">
        <is>
          <t>Ёлки-палки</t>
        </is>
      </c>
      <c r="E3684" s="2" t="n">
        <v>1988</v>
      </c>
      <c r="F3684" s="2" t="inlineStr">
        <is>
          <t>кинофильм</t>
        </is>
      </c>
      <c r="G3684" s="2" t="n"/>
      <c r="H3684" s="2" t="n">
        <v>376</v>
      </c>
      <c r="I3684" s="2" t="inlineStr"/>
      <c r="J3684" s="2" t="inlineStr"/>
      <c r="K3684" s="3" t="inlineStr">
        <is>
          <t>Картина поставлена по мотивам рассказов Василия Шукшина "Штрихи к портрету", "Упорный", "Сильные идут дальше". Воображение Николая Николаевича, механика по ремонту телевизоров в провинциальном городе, неистощимо на идеи: то он избавляет все человечество от неизлечимой болезни, то он самый главный ученый, создавший (наконец!) вечный двигатель, то видный политический деятель.</t>
        </is>
      </c>
      <c r="L3684" s="2" t="inlineStr">
        <is>
          <t>Кино_СССР сводный каталог.xlsx: список фильмов (доп.)</t>
        </is>
      </c>
      <c r="M3684" s="2">
        <f>HYPERLINK("https://ru.wikipedia.org/w/index.php?search=%D0%81%D0%BB%D0%BA%D0%B8-%D0%BF%D0%B0%D0%BB%D0%BA%D0%B8%201988%20%D1%84%D0%B8%D0%BB%D1%8C%D0%BC","искать")</f>
        <v/>
      </c>
      <c r="N3684" s="3" t="n"/>
      <c r="O3684" s="2" t="n"/>
    </row>
    <row r="3685">
      <c r="A3685" s="2" t="n">
        <v>3684</v>
      </c>
      <c r="B3685" s="2" t="inlineStr"/>
      <c r="C3685" s="2" t="n">
        <v>10900</v>
      </c>
      <c r="D3685" s="3" t="inlineStr">
        <is>
          <t>Последний срок</t>
        </is>
      </c>
      <c r="E3685" s="2" t="n">
        <v>1981</v>
      </c>
      <c r="F3685" s="2" t="inlineStr">
        <is>
          <t>фильм-спектакль</t>
        </is>
      </c>
      <c r="G3685" s="2" t="inlineStr">
        <is>
          <t>Центральное телевидение</t>
        </is>
      </c>
      <c r="H3685" s="2" t="n">
        <v>376</v>
      </c>
      <c r="I3685" s="2" t="inlineStr"/>
      <c r="J3685" s="2" t="inlineStr"/>
      <c r="K3685" s="3" t="inlineStr">
        <is>
          <t>По одноименной повести Валентина Распутина в постановке Омского государственного драматического театра.
В сибирской деревушке умирает восьмидесятилетняя Анна Степанова. Единственное ее предсмертное желание – последнее свидание с разъехавшимися по стране детьми. И то, какими Анне пришлось увидеть детей, стало для нее самым горьким испытанием, самым тяжелым ударом всей жизни.</t>
        </is>
      </c>
      <c r="L3685" s="2" t="inlineStr">
        <is>
          <t>https://www.kino-teatr.ru/teatr/movie/104021/annot/</t>
        </is>
      </c>
      <c r="M3685" s="2">
        <f>HYPERLINK("https://ru.wikipedia.org/w/index.php?search=%D0%9F%D0%BE%D1%81%D0%BB%D0%B5%D0%B4%D0%BD%D0%B8%D0%B9%20%D1%81%D1%80%D0%BE%D0%BA%201981%20%D1%84%D0%B8%D0%BB%D1%8C%D0%BC","искать")</f>
        <v/>
      </c>
      <c r="N3685" s="3" t="n"/>
      <c r="O3685" s="2" t="n"/>
    </row>
    <row r="3686">
      <c r="A3686" s="2" t="n">
        <v>3685</v>
      </c>
      <c r="B3686" s="2" t="inlineStr"/>
      <c r="C3686" s="2" t="n">
        <v>8268</v>
      </c>
      <c r="D3686" s="3" t="inlineStr">
        <is>
          <t>Рафферти</t>
        </is>
      </c>
      <c r="E3686" s="2" t="n">
        <v>1980</v>
      </c>
      <c r="F3686" s="2" t="inlineStr">
        <is>
          <t>телефильм</t>
        </is>
      </c>
      <c r="G3686" s="2" t="inlineStr">
        <is>
          <t>Ленфильм</t>
        </is>
      </c>
      <c r="H3686" s="2" t="n">
        <v>377</v>
      </c>
      <c r="I3686" s="2" t="inlineStr"/>
      <c r="J3686" s="2" t="inlineStr"/>
      <c r="K3686" s="3" t="inlineStr">
        <is>
          <t>По одноименному роману Лайонела Уайта. Честный рабочий парень, борющийся с предпринимателями за интересы рабочих, превращается в босса, занимающегося хищением профсоюзных фондов и предающего друзей и любимую женщину. Действие фильма происходит во время заседания комиссии Конгресса США, расследующей деятельность профсоюзного босса Рафферти, вступившего в сделку с гангстерами.</t>
        </is>
      </c>
      <c r="L3686" s="2" t="inlineStr">
        <is>
          <t>Кино_СССР сводный каталог.xlsx: список телефильмов</t>
        </is>
      </c>
      <c r="M3686" s="2">
        <f>HYPERLINK("https://ru.wikipedia.org/w/index.php?search=%D0%A0%D0%B0%D1%84%D1%84%D0%B5%D1%80%D1%82%D0%B8%201980%20%D1%84%D0%B8%D0%BB%D1%8C%D0%BC","искать")</f>
        <v/>
      </c>
      <c r="N3686" s="3" t="n"/>
      <c r="O3686" s="2" t="n"/>
    </row>
    <row r="3687">
      <c r="A3687" s="2" t="n">
        <v>3686</v>
      </c>
      <c r="B3687" s="2" t="inlineStr"/>
      <c r="C3687" s="2" t="n">
        <v>8698</v>
      </c>
      <c r="D3687" s="3" t="inlineStr">
        <is>
          <t>Дети из отеля "Америка"</t>
        </is>
      </c>
      <c r="E3687" s="2" t="n">
        <v>1990</v>
      </c>
      <c r="F3687" s="2" t="inlineStr">
        <is>
          <t>кинофильм</t>
        </is>
      </c>
      <c r="G3687" s="2" t="n"/>
      <c r="H3687" s="2" t="n">
        <v>377</v>
      </c>
      <c r="I3687" s="2" t="inlineStr"/>
      <c r="J3687" s="2" t="inlineStr"/>
      <c r="K3687" s="3" t="inlineStr">
        <is>
          <t>Как и все предыдущие ленты Раймундаса Баниониса, этот фильм посвящен подросткам. 1972 год, Каунас. Небольшая группа подростков тайком слушает радио Люксембурга. Все они живут в одном доме, в котором раньше была гостиница "Америка". Их невинной забавой начинает интересоваться КГБ. Агенты органов безопасности тайно читают письма детей, которые те посылают на радио Люксембурга.</t>
        </is>
      </c>
      <c r="L3687" s="2" t="inlineStr">
        <is>
          <t>Кино_СССР сводный каталог.xlsx: список фильмов (доп.)</t>
        </is>
      </c>
      <c r="M3687" s="2">
        <f>HYPERLINK("https://ru.wikipedia.org/w/index.php?search=%D0%94%D0%B5%D1%82%D0%B8%20%D0%B8%D0%B7%20%D0%BE%D1%82%D0%B5%D0%BB%D1%8F%20%22%D0%90%D0%BC%D0%B5%D1%80%D0%B8%D0%BA%D0%B0%22%201990%20%D1%84%D0%B8%D0%BB%D1%8C%D0%BC","искать")</f>
        <v/>
      </c>
      <c r="N3687" s="3" t="n"/>
      <c r="O3687" s="2" t="n"/>
    </row>
    <row r="3688">
      <c r="A3688" s="2" t="n">
        <v>3687</v>
      </c>
      <c r="B3688" s="2" t="inlineStr"/>
      <c r="C3688" s="2" t="n">
        <v>8903</v>
      </c>
      <c r="D3688" s="3" t="inlineStr">
        <is>
          <t>Осень</t>
        </is>
      </c>
      <c r="E3688" s="2" t="n">
        <v>1990</v>
      </c>
      <c r="F3688" s="2" t="inlineStr">
        <is>
          <t>кинофильм</t>
        </is>
      </c>
      <c r="G3688" s="2" t="n"/>
      <c r="H3688" s="2" t="n">
        <v>377</v>
      </c>
      <c r="I3688" s="2" t="inlineStr"/>
      <c r="J3688" s="2" t="inlineStr"/>
      <c r="K3688" s="3" t="inlineStr">
        <is>
          <t>Экранизация повестей Оскара Лутса «Будни» и «Осень». В фильме изображаются реалии жизни в Эстонии 30-х годов. Герои стали влиятельными фигурами в обществе и обзавелись собственными детьми школьного возраста. Только мастер-портной Кийр до сих пор не нашел себе жену. К счастью, в Паунверре приезжают две молодые женщины подходящего возраста, которые помогают в его поисках жены.</t>
        </is>
      </c>
      <c r="L3688" s="2" t="inlineStr">
        <is>
          <t>Кино_СССР сводный каталог.xlsx: список фильмов (доп.)</t>
        </is>
      </c>
      <c r="M3688" s="2">
        <f>HYPERLINK("https://ru.wikipedia.org/w/index.php?search=%D0%9E%D1%81%D0%B5%D0%BD%D1%8C%201990%20%D1%84%D0%B8%D0%BB%D1%8C%D0%BC","искать")</f>
        <v/>
      </c>
      <c r="N3688" s="3" t="n"/>
      <c r="O3688" s="2" t="n"/>
    </row>
    <row r="3689">
      <c r="A3689" s="2" t="n">
        <v>3688</v>
      </c>
      <c r="B3689" s="2" t="inlineStr"/>
      <c r="C3689" s="2" t="n">
        <v>9115</v>
      </c>
      <c r="D3689" s="3" t="inlineStr">
        <is>
          <t>Туман</t>
        </is>
      </c>
      <c r="E3689" s="2" t="n">
        <v>1988</v>
      </c>
      <c r="F3689" s="2" t="inlineStr">
        <is>
          <t>кинофильм</t>
        </is>
      </c>
      <c r="G3689" s="2" t="n"/>
      <c r="H3689" s="2" t="n">
        <v>377</v>
      </c>
      <c r="I3689" s="2" t="inlineStr"/>
      <c r="J3689" s="2" t="inlineStr"/>
      <c r="K3689" s="3" t="inlineStr">
        <is>
          <t>Инженер Григас, человек скромный и незатейливый, работает социологом на заводе. Его жизнь обычна: распри с сослуживцами, безденежье, житейские проблемы. Так бы он и прожил, если бы однажды "деловые люди" не предложили ему поработать на них. Григас становится на перепутье: работать с мафией и жить в достатке или продолжать скромно существовать, но не изменять своим принципам.</t>
        </is>
      </c>
      <c r="L3689" s="2" t="inlineStr">
        <is>
          <t>Кино_СССР сводный каталог.xlsx: список фильмов (доп.)</t>
        </is>
      </c>
      <c r="M3689" s="2">
        <f>HYPERLINK("https://ru.wikipedia.org/w/index.php?search=%D0%A2%D1%83%D0%BC%D0%B0%D0%BD%201988%20%D1%84%D0%B8%D0%BB%D1%8C%D0%BC","искать")</f>
        <v/>
      </c>
      <c r="N3689" s="3" t="n"/>
      <c r="O3689" s="2" t="n"/>
    </row>
    <row r="3690">
      <c r="A3690" s="2" t="n">
        <v>3689</v>
      </c>
      <c r="B3690" s="2" t="inlineStr"/>
      <c r="C3690" s="2" t="n">
        <v>9484</v>
      </c>
      <c r="D3690" s="3" t="inlineStr">
        <is>
          <t>Мышеловка</t>
        </is>
      </c>
      <c r="E3690" s="2" t="n">
        <v>1990</v>
      </c>
      <c r="F3690" s="2" t="inlineStr">
        <is>
          <t>кинофильм</t>
        </is>
      </c>
      <c r="G3690" s="2" t="n"/>
      <c r="H3690" s="2" t="n">
        <v>377</v>
      </c>
      <c r="I3690" s="2" t="inlineStr"/>
      <c r="J3690" s="2" t="inlineStr"/>
      <c r="K3690" s="3" t="inlineStr">
        <is>
          <t>По мотивам одноименной пьесы Агаты Кристи. Рядом с телом убитой женщины в Педдингтоне найдена записная книжка с адресом пансиона супругов Рэлстон. Под адресом была подпись: "Три слепые мышки", а на трупе записка - "Первая"... Криминальная история вписана в обыденную жизнь преуспевающих, внешне вполне благополучных людей, случайно или нет, собравшихся снежной ночью в усадьбе.</t>
        </is>
      </c>
      <c r="L3690" s="2" t="inlineStr">
        <is>
          <t>Кино_СССР сводный каталог.xlsx: список фильмов (доп.)</t>
        </is>
      </c>
      <c r="M3690" s="2">
        <f>HYPERLINK("https://ru.wikipedia.org/w/index.php?search=%D0%9C%D1%8B%D1%88%D0%B5%D0%BB%D0%BE%D0%B2%D0%BA%D0%B0%201990%20%D1%84%D0%B8%D0%BB%D1%8C%D0%BC","искать")</f>
        <v/>
      </c>
      <c r="N3690" s="3" t="n"/>
      <c r="O3690" s="2" t="n"/>
    </row>
    <row r="3691">
      <c r="A3691" s="2" t="n">
        <v>3690</v>
      </c>
      <c r="B3691" s="2" t="inlineStr"/>
      <c r="C3691" s="2" t="n">
        <v>10563</v>
      </c>
      <c r="D3691" s="3" t="inlineStr">
        <is>
          <t>Ильинский о Зощенко</t>
        </is>
      </c>
      <c r="E3691" s="2" t="n">
        <v>1974</v>
      </c>
      <c r="F3691" s="2" t="inlineStr">
        <is>
          <t>фильм-спектакль</t>
        </is>
      </c>
      <c r="G3691" s="2" t="inlineStr">
        <is>
          <t>ТО "Экран"</t>
        </is>
      </c>
      <c r="H3691" s="2" t="n">
        <v>377</v>
      </c>
      <c r="I3691" s="2" t="inlineStr"/>
      <c r="J3691" s="2" t="inlineStr"/>
      <c r="K3691" s="3" t="inlineStr">
        <is>
          <t>- Как-то Михаилу Михайловичу Зощенко был задан вопрос -
кто, по его мнению, лучше всех читает его рассказы?
- "Вне всякого сомнения, Игорь Владимирович Ильинский", -
ответил Зощенко...
Игорь Ильинский рассказывает о своем знакомстве с писателем
и читает рассказы Михаила Зощенко:
"Аристократка", "Баня", "Ёлка", "Искусство Мельпомены",
"Глупая история", "Лимонад" и "Рогулька".</t>
        </is>
      </c>
      <c r="L3691" s="2" t="inlineStr">
        <is>
          <t>https://www.kino-teatr.ru/teatr/movie/107702/annot/</t>
        </is>
      </c>
      <c r="M3691" s="2">
        <f>HYPERLINK("https://ru.wikipedia.org/w/index.php?search=%D0%98%D0%BB%D1%8C%D0%B8%D0%BD%D1%81%D0%BA%D0%B8%D0%B9%20%D0%BE%20%D0%97%D0%BE%D1%89%D0%B5%D0%BD%D0%BA%D0%BE%201974%20%D1%84%D0%B8%D0%BB%D1%8C%D0%BC","искать")</f>
        <v/>
      </c>
      <c r="N3691" s="3" t="n"/>
      <c r="O3691" s="2" t="n"/>
    </row>
    <row r="3692">
      <c r="A3692" s="2" t="n">
        <v>3691</v>
      </c>
      <c r="B3692" s="2" t="inlineStr"/>
      <c r="C3692" s="2" t="n">
        <v>10691</v>
      </c>
      <c r="D3692" s="3" t="inlineStr">
        <is>
          <t>Кошка на радиаторе</t>
        </is>
      </c>
      <c r="E3692" s="2" t="n">
        <v>1977</v>
      </c>
      <c r="F3692" s="2" t="inlineStr">
        <is>
          <t>фильм-спектакль</t>
        </is>
      </c>
      <c r="G3692" s="2" t="inlineStr">
        <is>
          <t>Гл. ред. лит-драм программ</t>
        </is>
      </c>
      <c r="H3692" s="2" t="n">
        <v>377</v>
      </c>
      <c r="I3692" s="2" t="inlineStr"/>
      <c r="J3692" s="2" t="inlineStr"/>
      <c r="K3692" s="3" t="inlineStr">
        <is>
          <t>Первый телеспектакль трилогии о супругах Кузнецовых, в которую входят еще два «Часы с кукушкой» (1978) и «Осторожно, ремонт!» (1979) .
По мотивам одноименной комедии Анны Родионовой. Комедия о молодых супругах, которые поссорились и сгоряча развелись, но вынуждены жить в одной квартире. Проходит время, и после ряда смешных перипетий они понимают, что не могут друг без друга.</t>
        </is>
      </c>
      <c r="L3692" s="2" t="inlineStr">
        <is>
          <t>https://www.kino-teatr.ru/teatr/movie/16152/annot/</t>
        </is>
      </c>
      <c r="M3692" s="2">
        <f>HYPERLINK("https://ru.wikipedia.org/w/index.php?search=%D0%9A%D0%BE%D1%88%D0%BA%D0%B0%20%D0%BD%D0%B0%20%D1%80%D0%B0%D0%B4%D0%B8%D0%B0%D1%82%D0%BE%D1%80%D0%B5%201977%20%D1%84%D0%B8%D0%BB%D1%8C%D0%BC","искать")</f>
        <v/>
      </c>
      <c r="N3692" s="3" t="n"/>
      <c r="O3692" s="2" t="n"/>
    </row>
    <row r="3693">
      <c r="A3693" s="2" t="n">
        <v>3692</v>
      </c>
      <c r="B3693" s="2" t="inlineStr"/>
      <c r="C3693" s="2" t="n">
        <v>8201</v>
      </c>
      <c r="D3693" s="3" t="inlineStr">
        <is>
          <t>Приключения Буратино</t>
        </is>
      </c>
      <c r="E3693" s="2" t="n">
        <v>1975</v>
      </c>
      <c r="F3693" s="2" t="inlineStr">
        <is>
          <t>телефильм</t>
        </is>
      </c>
      <c r="G3693" s="2" t="n"/>
      <c r="H3693" s="2" t="n">
        <v>378</v>
      </c>
      <c r="I3693" s="2" t="inlineStr"/>
      <c r="J3693" s="2" t="inlineStr"/>
      <c r="K3693" s="3" t="inlineStr">
        <is>
          <t>По мотивам сказки Алексея Толстого. На дурака не нужен нож: ему немного подпоешь - и делай с ним, что хошь! Деревянный человечек, которого Папа Карло выстругал из полена, получился веселым, дерзким, шумным и доверчивым. Лиса Алиса и Кот Базилио завели его в Страну дураков, но мудрая Черепаха Тортилла помогла Буратино найти Золотой Ключик, потому что он был ужасно обаятельным.</t>
        </is>
      </c>
      <c r="L3693" s="2" t="inlineStr">
        <is>
          <t>Кино_СССР сводный каталог.xlsx: список телефильмов</t>
        </is>
      </c>
      <c r="M3693" s="2">
        <f>HYPERLINK("https://ru.wikipedia.org/w/index.php?search=%D0%9F%D1%80%D0%B8%D0%BA%D0%BB%D1%8E%D1%87%D0%B5%D0%BD%D0%B8%D1%8F%20%D0%91%D1%83%D1%80%D0%B0%D1%82%D0%B8%D0%BD%D0%BE%201975%20%D1%84%D0%B8%D0%BB%D1%8C%D0%BC","искать")</f>
        <v/>
      </c>
      <c r="N3693" s="3" t="n"/>
      <c r="O3693" s="2" t="n"/>
    </row>
    <row r="3694">
      <c r="A3694" s="2" t="n">
        <v>3693</v>
      </c>
      <c r="B3694" s="2" t="inlineStr"/>
      <c r="C3694" s="2" t="n">
        <v>8559</v>
      </c>
      <c r="D3694" s="3" t="inlineStr">
        <is>
          <t>Четверо из Чорсанга</t>
        </is>
      </c>
      <c r="E3694" s="2" t="n">
        <v>1972</v>
      </c>
      <c r="F3694" s="2" t="inlineStr">
        <is>
          <t>телефильм</t>
        </is>
      </c>
      <c r="G3694" s="2" t="n"/>
      <c r="H3694" s="2" t="n">
        <v>378</v>
      </c>
      <c r="I3694" s="2" t="inlineStr"/>
      <c r="J3694" s="2" t="inlineStr"/>
      <c r="K3694" s="3" t="inlineStr">
        <is>
          <t>О судьбах четырех друзей: Давлята, Наима, Хайдара и Гульшан, выросших в одном таджикском кишлаке. Их дружба проходит испытание временем и жизненными обстоятельствами. Так, они спасают от брака с нелюбимым богачом Гульшан, невесту Давлята, увезя ее в город. Спустя несколько лет вызволяют самого Давлята, который оказывается в числе пленных басмачей, работающих на строительстве.</t>
        </is>
      </c>
      <c r="L3694" s="2" t="inlineStr">
        <is>
          <t>Кино_СССР сводный каталог.xlsx: список телефильмов</t>
        </is>
      </c>
      <c r="M3694" s="2">
        <f>HYPERLINK("https://ru.wikipedia.org/w/index.php?search=%D0%A7%D0%B5%D1%82%D0%B2%D0%B5%D1%80%D0%BE%20%D0%B8%D0%B7%20%D0%A7%D0%BE%D1%80%D1%81%D0%B0%D0%BD%D0%B3%D0%B0%201972%20%D1%84%D0%B8%D0%BB%D1%8C%D0%BC","искать")</f>
        <v/>
      </c>
      <c r="N3694" s="3" t="n"/>
      <c r="O3694" s="2" t="n"/>
    </row>
    <row r="3695">
      <c r="A3695" s="2" t="n">
        <v>3694</v>
      </c>
      <c r="B3695" s="2" t="inlineStr"/>
      <c r="C3695" s="2" t="n">
        <v>8804</v>
      </c>
      <c r="D3695" s="3" t="inlineStr">
        <is>
          <t>Любовь на острове смерти</t>
        </is>
      </c>
      <c r="E3695" s="2" t="n">
        <v>1991</v>
      </c>
      <c r="F3695" s="2" t="inlineStr">
        <is>
          <t>кинофильм</t>
        </is>
      </c>
      <c r="G3695" s="2" t="n"/>
      <c r="H3695" s="2" t="n">
        <v>378</v>
      </c>
      <c r="I3695" s="2" t="inlineStr"/>
      <c r="J3695" s="2" t="inlineStr"/>
      <c r="K3695" s="3" t="inlineStr">
        <is>
          <t>Стив и Марина, пара влюбленных ученых-исследователей, проводящих подводные археологические раскопки где-то в Средиземном море, попадают на небольшой остров, на котором обосновался некий инфернальный профессор-биолог Эрвин Бернер. Он занимается изготовлением супермощного наркотика, сырье для которого добывают профессору жестоко посаженные "на иглу" наивные туземцы-островитяне.</t>
        </is>
      </c>
      <c r="L3695" s="2" t="inlineStr">
        <is>
          <t>Кино_СССР сводный каталог.xlsx: список фильмов (доп.)</t>
        </is>
      </c>
      <c r="M3695" s="2">
        <f>HYPERLINK("https://ru.wikipedia.org/w/index.php?search=%D0%9B%D1%8E%D0%B1%D0%BE%D0%B2%D1%8C%20%D0%BD%D0%B0%20%D0%BE%D1%81%D1%82%D1%80%D0%BE%D0%B2%D0%B5%20%D1%81%D0%BC%D0%B5%D1%80%D1%82%D0%B8%201991%20%D1%84%D0%B8%D0%BB%D1%8C%D0%BC","искать")</f>
        <v/>
      </c>
      <c r="N3695" s="3" t="n"/>
      <c r="O3695" s="2" t="n"/>
    </row>
    <row r="3696">
      <c r="A3696" s="2" t="n">
        <v>3695</v>
      </c>
      <c r="B3696" s="2" t="inlineStr"/>
      <c r="C3696" s="2" t="n">
        <v>9104</v>
      </c>
      <c r="D3696" s="3" t="inlineStr">
        <is>
          <t>Только воскресенье</t>
        </is>
      </c>
      <c r="E3696" s="2" t="n">
        <v>1990</v>
      </c>
      <c r="F3696" s="2" t="inlineStr">
        <is>
          <t>кинофильм</t>
        </is>
      </c>
      <c r="G3696" s="2" t="n"/>
      <c r="H3696" s="2" t="n">
        <v>378</v>
      </c>
      <c r="I3696" s="2" t="inlineStr"/>
      <c r="J3696" s="2" t="inlineStr"/>
      <c r="K3696" s="3" t="inlineStr">
        <is>
          <t>1954 год. Тихий эстонский городок. После долгой разлуки в родительском доме встретились два брата. Младший, Ильмар, в прошлом способный художник, только что освободился по амнистии из лагеря, куда попал за какую-то юношескую выходку. Старший брат Алекс, по своей натуре человек более сдержанный, предпочитающий находить компромиссные решения, - полная противоположность Ильмару.</t>
        </is>
      </c>
      <c r="L3696" s="2" t="inlineStr">
        <is>
          <t>Кино_СССР сводный каталог.xlsx: список фильмов (доп.)</t>
        </is>
      </c>
      <c r="M3696" s="2">
        <f>HYPERLINK("https://ru.wikipedia.org/w/index.php?search=%D0%A2%D0%BE%D0%BB%D1%8C%D0%BA%D0%BE%20%D0%B2%D0%BE%D1%81%D0%BA%D1%80%D0%B5%D1%81%D0%B5%D0%BD%D1%8C%D0%B5%201990%20%D1%84%D0%B8%D0%BB%D1%8C%D0%BC","искать")</f>
        <v/>
      </c>
      <c r="N3696" s="3" t="n"/>
      <c r="O3696" s="2" t="n"/>
    </row>
    <row r="3697">
      <c r="A3697" s="2" t="n">
        <v>3696</v>
      </c>
      <c r="B3697" s="2" t="inlineStr"/>
      <c r="C3697" s="2" t="n">
        <v>9585</v>
      </c>
      <c r="D3697" s="3" t="inlineStr">
        <is>
          <t>Приговорённый</t>
        </is>
      </c>
      <c r="E3697" s="2" t="n">
        <v>1989</v>
      </c>
      <c r="F3697" s="2" t="inlineStr">
        <is>
          <t>кинофильм</t>
        </is>
      </c>
      <c r="G3697" s="2" t="n"/>
      <c r="H3697" s="2" t="n">
        <v>378</v>
      </c>
      <c r="I3697" s="2" t="inlineStr"/>
      <c r="J3697" s="2" t="inlineStr"/>
      <c r="K3697" s="3" t="inlineStr">
        <is>
          <t>Отслужив в Афганистане, Павел поехал к другу и устроился шофером в колонну, где работали и бывшие уголовники. Однажды он встретил девушку Зою, которая попросилась к нему в машину, но так уж вышло, что подвезти ее не смог, а позволил пересесть к друзьям: те гнали свою машину по наикратчайшему пути. Когда Павел нашел Зою и понял, что они с ней сделали, то сам решил вершить суд.</t>
        </is>
      </c>
      <c r="L3697" s="2" t="inlineStr">
        <is>
          <t>Кино_СССР сводный каталог.xlsx: список фильмов (доп.)</t>
        </is>
      </c>
      <c r="M3697" s="2">
        <f>HYPERLINK("https://ru.wikipedia.org/w/index.php?search=%D0%9F%D1%80%D0%B8%D0%B3%D0%BE%D0%B2%D0%BE%D1%80%D1%91%D0%BD%D0%BD%D1%8B%D0%B9%201989%20%D1%84%D0%B8%D0%BB%D1%8C%D0%BC","искать")</f>
        <v/>
      </c>
      <c r="N3697" s="3" t="n"/>
      <c r="O3697" s="2" t="n"/>
    </row>
    <row r="3698">
      <c r="A3698" s="2" t="n">
        <v>3697</v>
      </c>
      <c r="B3698" s="2" t="inlineStr"/>
      <c r="C3698" s="2" t="n">
        <v>10422</v>
      </c>
      <c r="D3698" s="3" t="inlineStr">
        <is>
          <t>Театральная ночь</t>
        </is>
      </c>
      <c r="E3698" s="2" t="n">
        <v>1971</v>
      </c>
      <c r="F3698" s="2" t="inlineStr">
        <is>
          <t>фильм-спектакль</t>
        </is>
      </c>
      <c r="G3698" s="2" t="inlineStr">
        <is>
          <t>Эстонское телевидение</t>
        </is>
      </c>
      <c r="H3698" s="2" t="n">
        <v>378</v>
      </c>
      <c r="I3698" s="2" t="inlineStr"/>
      <c r="J3698" s="2" t="inlineStr"/>
      <c r="K3698" s="3" t="inlineStr">
        <is>
          <t>Фильм посвящен солистке театра "Эстония", актрисе оперы и оперетты Хельги Салло.
В музыкальном фильме в блестящем исполнении Хельги Салло звучат сцены из мюзиклов и оперетт театра "Эстония", такие как" Пеппи Длинный чулок"," Мадмуазель Нитуш", "Звонкая музыка", "Венская кровь " и другие. В отрывках участвуют сценические партнеры разных ролей, эстонский оркестр, хор и танцоры.</t>
        </is>
      </c>
      <c r="L3698" s="2" t="inlineStr">
        <is>
          <t>https://www.kino-teatr.ru/teatr/movie/136736/annot/</t>
        </is>
      </c>
      <c r="M3698" s="2">
        <f>HYPERLINK("https://ru.wikipedia.org/w/index.php?search=%D0%A2%D0%B5%D0%B0%D1%82%D1%80%D0%B0%D0%BB%D1%8C%D0%BD%D0%B0%D1%8F%20%D0%BD%D0%BE%D1%87%D1%8C%201971%20%D1%84%D0%B8%D0%BB%D1%8C%D0%BC","искать")</f>
        <v/>
      </c>
      <c r="N3698" s="3" t="n"/>
      <c r="O3698" s="2" t="n"/>
    </row>
    <row r="3699">
      <c r="A3699" s="2" t="n">
        <v>3698</v>
      </c>
      <c r="B3699" s="2" t="inlineStr"/>
      <c r="C3699" s="2" t="n">
        <v>7745</v>
      </c>
      <c r="D3699" s="3" t="inlineStr">
        <is>
          <t>Комедия ошибок</t>
        </is>
      </c>
      <c r="E3699" s="2" t="n">
        <v>1978</v>
      </c>
      <c r="F3699" s="2" t="inlineStr">
        <is>
          <t>телефильм</t>
        </is>
      </c>
      <c r="G3699" s="2" t="n"/>
      <c r="H3699" s="2" t="n">
        <v>379</v>
      </c>
      <c r="I3699" s="2" t="inlineStr"/>
      <c r="J3699" s="2" t="inlineStr"/>
      <c r="K3699" s="3" t="inlineStr">
        <is>
          <t>Телефильм по пьесе Уильяма Шекспира "Комедия ошибок". Молодой красивый господин со своим слугой - шалопаем отправляется в Сиракузы. Его появление в этом городе вносит суматоху в жизнь домочадцев почтенного семейства. После многочисленных забавных приключений и путаницы выяснилось, что именно здесь живёт его брат - близнец, у которого к тому же слуга - копия слуги нашего героя.</t>
        </is>
      </c>
      <c r="L3699" s="2" t="inlineStr">
        <is>
          <t>Кино_СССР сводный каталог.xlsx: список телефильмов</t>
        </is>
      </c>
      <c r="M3699" s="2">
        <f>HYPERLINK("https://ru.wikipedia.org/w/index.php?search=%D0%9A%D0%BE%D0%BC%D0%B5%D0%B4%D0%B8%D1%8F%20%D0%BE%D1%88%D0%B8%D0%B1%D0%BE%D0%BA%201978%20%D1%84%D0%B8%D0%BB%D1%8C%D0%BC","искать")</f>
        <v/>
      </c>
      <c r="N3699" s="3" t="n"/>
      <c r="O3699" s="2" t="n"/>
    </row>
    <row r="3700">
      <c r="A3700" s="2" t="n">
        <v>3699</v>
      </c>
      <c r="B3700" s="2" t="inlineStr"/>
      <c r="C3700" s="2" t="n">
        <v>7789</v>
      </c>
      <c r="D3700" s="3" t="inlineStr">
        <is>
          <t>Легенда о волчьей невесте</t>
        </is>
      </c>
      <c r="E3700" s="2" t="n">
        <v>1979</v>
      </c>
      <c r="F3700" s="2" t="inlineStr">
        <is>
          <t>телефильм</t>
        </is>
      </c>
      <c r="G3700" s="2" t="n"/>
      <c r="H3700" s="2" t="n">
        <v>379</v>
      </c>
      <c r="I3700" s="2" t="inlineStr"/>
      <c r="J3700" s="2" t="inlineStr"/>
      <c r="K3700" s="3" t="inlineStr">
        <is>
          <t>Вольная телеэкранизация повести "Невеста волка", вышедшей из-под пера известной эстонско-финской писательницы Айно Каллас. Постановко посвящена 100-летию со дня рождения Каллас. Проникновенный рассказ о молодой женщине, которая заключила договор с лешим, чтобы стать оборотнем. Превращение - это своеобразная метафора многообразия женских чувств и желаний, пробуждения её чувств.</t>
        </is>
      </c>
      <c r="L3700" s="2" t="inlineStr">
        <is>
          <t>Кино_СССР сводный каталог.xlsx: список телефильмов</t>
        </is>
      </c>
      <c r="M3700" s="2">
        <f>HYPERLINK("https://ru.wikipedia.org/w/index.php?search=%D0%9B%D0%B5%D0%B3%D0%B5%D0%BD%D0%B4%D0%B0%20%D0%BE%20%D0%B2%D0%BE%D0%BB%D1%87%D1%8C%D0%B5%D0%B9%20%D0%BD%D0%B5%D0%B2%D0%B5%D1%81%D1%82%D0%B5%201979%20%D1%84%D0%B8%D0%BB%D1%8C%D0%BC","искать")</f>
        <v/>
      </c>
      <c r="N3700" s="3" t="n"/>
      <c r="O3700" s="2" t="n"/>
    </row>
    <row r="3701">
      <c r="A3701" s="2" t="n">
        <v>3700</v>
      </c>
      <c r="B3701" s="2" t="inlineStr"/>
      <c r="C3701" s="2" t="n">
        <v>8683</v>
      </c>
      <c r="D3701" s="3" t="inlineStr">
        <is>
          <t>Город</t>
        </is>
      </c>
      <c r="E3701" s="2" t="n">
        <v>1990</v>
      </c>
      <c r="F3701" s="2" t="inlineStr">
        <is>
          <t>кинофильм</t>
        </is>
      </c>
      <c r="G3701" s="2" t="inlineStr">
        <is>
          <t>Интердет</t>
        </is>
      </c>
      <c r="H3701" s="2" t="n">
        <v>379</v>
      </c>
      <c r="I3701" s="2" t="inlineStr"/>
      <c r="J3701" s="2" t="inlineStr"/>
      <c r="K3701" s="3" t="inlineStr">
        <is>
          <t>Приехав в Ленинград, чтобы поступать в Академию художеств, Володя встречает Алевтину, которая уже вошла в богемную среду. Энергичная и более непосредственная, чем он, она берет шефство над Владимиром, обустраивая его быт. Любовь разменивается на преодоление трудностей жизни. В конечном итоге, она становится валютной проституткой, а он продолжает свой творческий путь живописца.</t>
        </is>
      </c>
      <c r="L3701" s="2" t="inlineStr">
        <is>
          <t>Кино_СССР сводный каталог.xlsx: список фильмов (доп.)</t>
        </is>
      </c>
      <c r="M3701" s="2">
        <f>HYPERLINK("https://ru.wikipedia.org/w/index.php?search=%D0%93%D0%BE%D1%80%D0%BE%D0%B4%201990%20%D1%84%D0%B8%D0%BB%D1%8C%D0%BC","искать")</f>
        <v/>
      </c>
      <c r="N3701" s="3" t="n"/>
      <c r="O3701" s="2" t="n"/>
    </row>
    <row r="3702">
      <c r="A3702" s="2" t="n">
        <v>3701</v>
      </c>
      <c r="B3702" s="2" t="inlineStr"/>
      <c r="C3702" s="2" t="n">
        <v>9358</v>
      </c>
      <c r="D3702" s="3" t="inlineStr">
        <is>
          <t>Женщина для всех</t>
        </is>
      </c>
      <c r="E3702" s="2" t="n">
        <v>1991</v>
      </c>
      <c r="F3702" s="2" t="inlineStr">
        <is>
          <t>кинофильм</t>
        </is>
      </c>
      <c r="G3702" s="2" t="n"/>
      <c r="H3702" s="2" t="n">
        <v>379</v>
      </c>
      <c r="I3702" s="2" t="inlineStr"/>
      <c r="J3702" s="2" t="inlineStr"/>
      <c r="K3702" s="3" t="inlineStr">
        <is>
          <t>Драматическая история двух бывших одноклассниц, живущих в одном подъезде. Анна - одинокая разведенная женщина. У Марии тоже нет мужа, но есть двое детей. Воспитывая двух детей без мужа, Мария несчастна. Она любит Николая. Но он женат и не может остаться с ней навсегда из-за больной дочери. После долгого отсутствия Николай, не подозревая о том, что Мария умерла, уходит от жены.</t>
        </is>
      </c>
      <c r="L3702" s="2" t="inlineStr">
        <is>
          <t>Кино_СССР сводный каталог.xlsx: список фильмов (доп.)</t>
        </is>
      </c>
      <c r="M3702" s="2">
        <f>HYPERLINK("https://ru.wikipedia.org/w/index.php?search=%D0%96%D0%B5%D0%BD%D1%89%D0%B8%D0%BD%D0%B0%20%D0%B4%D0%BB%D1%8F%20%D0%B2%D1%81%D0%B5%D1%85%201991%20%D1%84%D0%B8%D0%BB%D1%8C%D0%BC","искать")</f>
        <v/>
      </c>
      <c r="N3702" s="3" t="n"/>
      <c r="O3702" s="2" t="n"/>
    </row>
    <row r="3703">
      <c r="A3703" s="2" t="n">
        <v>3702</v>
      </c>
      <c r="B3703" s="2" t="inlineStr"/>
      <c r="C3703" s="2" t="n">
        <v>9737</v>
      </c>
      <c r="D3703" s="3" t="inlineStr">
        <is>
          <t>Храм воздуха</t>
        </is>
      </c>
      <c r="E3703" s="2" t="n">
        <v>1989</v>
      </c>
      <c r="F3703" s="2" t="inlineStr">
        <is>
          <t>кинофильм</t>
        </is>
      </c>
      <c r="G3703" s="2" t="n"/>
      <c r="H3703" s="2" t="n">
        <v>379</v>
      </c>
      <c r="I3703" s="2" t="inlineStr"/>
      <c r="J3703" s="2" t="inlineStr"/>
      <c r="K3703" s="3" t="inlineStr">
        <is>
          <t>Кончилась война. Не дожидаясь демобилизации, Юсиф спешит в Баку. Его арестовывают и сажают в тюрьму. Через год он возвращается в родной город не как герой, а как человек, запятнавший свою честь. Юсиф узнает, что отец, несправедливо обвиненный в воровстве, умер в лагере; любимая девушка вышла замуж. На работу по специальности его — инвалида, отсидевшего срок — никто не возьмет.</t>
        </is>
      </c>
      <c r="L3703" s="2" t="inlineStr">
        <is>
          <t>Кино_СССР сводный каталог.xlsx: список фильмов (доп.)</t>
        </is>
      </c>
      <c r="M3703" s="2">
        <f>HYPERLINK("https://ru.wikipedia.org/w/index.php?search=%D0%A5%D1%80%D0%B0%D0%BC%20%D0%B2%D0%BE%D0%B7%D0%B4%D1%83%D1%85%D0%B0%201989%20%D1%84%D0%B8%D0%BB%D1%8C%D0%BC","искать")</f>
        <v/>
      </c>
      <c r="N3703" s="3" t="n"/>
      <c r="O3703" s="2" t="n"/>
    </row>
    <row r="3704">
      <c r="A3704" s="2" t="n">
        <v>3703</v>
      </c>
      <c r="B3704" s="2" t="inlineStr"/>
      <c r="C3704" s="2" t="n">
        <v>9755</v>
      </c>
      <c r="D3704" s="3" t="inlineStr">
        <is>
          <t>Чиора</t>
        </is>
      </c>
      <c r="E3704" s="2" t="n">
        <v>1984</v>
      </c>
      <c r="F3704" s="2" t="inlineStr">
        <is>
          <t>кинофильм</t>
        </is>
      </c>
      <c r="G3704" s="2" t="n"/>
      <c r="H3704" s="2" t="n">
        <v>379</v>
      </c>
      <c r="I3704" s="2" t="inlineStr"/>
      <c r="J3704" s="2" t="inlineStr"/>
      <c r="K3704" s="3" t="inlineStr">
        <is>
          <t>ჩიორა Выпускники школы Ника и Мари тайком от родителей уезжают к морю. Здесь ребята знакомятся с деревенским пареньком Чиорой, который берет на себя заботу об их дальнейшем существовании. Неожиданная смерть Чиоры, невольными виновниками которой были Ника и Мари, становится проверкой их отношений, впервые влюбленные задумываются об ответственности за каждый свой шаг и поступок.</t>
        </is>
      </c>
      <c r="L3704" s="2" t="inlineStr">
        <is>
          <t>Кино_СССР сводный каталог.xlsx: список фильмов (доп.)</t>
        </is>
      </c>
      <c r="M3704" s="2">
        <f>HYPERLINK("https://ru.wikipedia.org/w/index.php?search=%D0%A7%D0%B8%D0%BE%D1%80%D0%B0%201984%20%D1%84%D0%B8%D0%BB%D1%8C%D0%BC","искать")</f>
        <v/>
      </c>
      <c r="N3704" s="3" t="n"/>
      <c r="O3704" s="2" t="n"/>
    </row>
    <row r="3705">
      <c r="A3705" s="2" t="n">
        <v>3704</v>
      </c>
      <c r="B3705" s="2" t="inlineStr"/>
      <c r="C3705" s="2" t="n">
        <v>9817</v>
      </c>
      <c r="D3705" s="3" t="inlineStr">
        <is>
          <t>День рождения</t>
        </is>
      </c>
      <c r="E3705" s="2" t="n">
        <v>1961</v>
      </c>
      <c r="F3705" s="2" t="inlineStr">
        <is>
          <t>кинофильм</t>
        </is>
      </c>
      <c r="G3705" s="2" t="inlineStr">
        <is>
          <t>Минская студия научно-популярных и хроникально-документальных фильмов</t>
        </is>
      </c>
      <c r="H3705" s="2" t="n">
        <v>379</v>
      </c>
      <c r="I3705" s="2" t="inlineStr"/>
      <c r="J3705" s="2" t="inlineStr"/>
      <c r="K3705" s="3" t="inlineStr">
        <is>
          <t>Закончен трудовой день. Сегодня на заводе выдают заработную плату. Получает деньги и мастер Андрей Кузьмич Виноградов. С женой они договорились купить дочке на день рождения дорогой подарок, а нужной суммы не достает. На помощь приходит Сберегательная касса. Сберегательные кассы помогают более правильно строить личный бюджет...
Фильм пропагандирует услуги Сберегательной кассы.</t>
        </is>
      </c>
      <c r="L3705" s="2" t="inlineStr">
        <is>
          <t>https://www.kino-teatr.ru/short/movie/sov/106685/annot/</t>
        </is>
      </c>
      <c r="M3705" s="2">
        <f>HYPERLINK("https://ru.wikipedia.org/w/index.php?search=%D0%94%D0%B5%D0%BD%D1%8C%20%D1%80%D0%BE%D0%B6%D0%B4%D0%B5%D0%BD%D0%B8%D1%8F%201961%20%D1%84%D0%B8%D0%BB%D1%8C%D0%BC","искать")</f>
        <v/>
      </c>
      <c r="N3705" s="3" t="n"/>
      <c r="O3705" s="2" t="n"/>
    </row>
    <row r="3706">
      <c r="A3706" s="2" t="n">
        <v>3705</v>
      </c>
      <c r="B3706" s="2" t="inlineStr"/>
      <c r="C3706" s="2" t="n">
        <v>10233</v>
      </c>
      <c r="D3706" s="3" t="inlineStr">
        <is>
          <t>В гостях у московской милиции</t>
        </is>
      </c>
      <c r="E3706" s="2" t="n">
        <v>1968</v>
      </c>
      <c r="F3706" s="2" t="inlineStr">
        <is>
          <t>фильм-спектакль</t>
        </is>
      </c>
      <c r="G3706" s="2" t="inlineStr">
        <is>
          <t>Центральное телевидение</t>
        </is>
      </c>
      <c r="H3706" s="2" t="n">
        <v>379</v>
      </c>
      <c r="I3706" s="2" t="inlineStr"/>
      <c r="J3706" s="2" t="inlineStr"/>
      <c r="K3706" s="3" t="inlineStr">
        <is>
          <t>Большой телевизионный праздник по случаю Дня советской милиции 1968 года.
Во встрече артистов с работниками московской милиции принимают участие Ольга Воронец, Гелена Великанова, Аида Ведищева, квартет «Камертон», Олег Попов, Эдуард Хиль, Валерий Ободзинский, Лидия Притуляк, хор московской милиции, эстрадный оркестр милиции п/у В. Полякова, ансамбль ОРУД (ГАИ) п/у Н. Солодова.</t>
        </is>
      </c>
      <c r="L3706" s="2" t="inlineStr">
        <is>
          <t>https://www.kino-teatr.ru/teatr/movie/103869/annot/</t>
        </is>
      </c>
      <c r="M3706" s="2">
        <f>HYPERLINK("https://ru.wikipedia.org/w/index.php?search=%D0%92%20%D0%B3%D0%BE%D1%81%D1%82%D1%8F%D1%85%20%D1%83%20%D0%BC%D0%BE%D1%81%D0%BA%D0%BE%D0%B2%D1%81%D0%BA%D0%BE%D0%B9%20%D0%BC%D0%B8%D0%BB%D0%B8%D1%86%D0%B8%D0%B8%201968%20%D1%84%D0%B8%D0%BB%D1%8C%D0%BC","искать")</f>
        <v/>
      </c>
      <c r="N3706" s="3" t="n"/>
      <c r="O3706" s="2" t="n"/>
    </row>
    <row r="3707">
      <c r="A3707" s="2" t="n">
        <v>3706</v>
      </c>
      <c r="B3707" s="2" t="inlineStr"/>
      <c r="C3707" s="2" t="n">
        <v>10939</v>
      </c>
      <c r="D3707" s="3" t="inlineStr">
        <is>
          <t>Дом</t>
        </is>
      </c>
      <c r="E3707" s="2" t="n">
        <v>1982</v>
      </c>
      <c r="F3707" s="2" t="inlineStr">
        <is>
          <t>фильм-спектакль</t>
        </is>
      </c>
      <c r="G3707" s="2" t="inlineStr">
        <is>
          <t>Лентелефильм</t>
        </is>
      </c>
      <c r="H3707" s="2" t="n">
        <v>379</v>
      </c>
      <c r="I3707" s="2" t="inlineStr"/>
      <c r="J3707" s="2" t="inlineStr"/>
      <c r="K3707" s="3" t="inlineStr">
        <is>
          <t>Спектакль Ленинградского Государственного Малого драматического театра.
По одноименному роману Федора Абрамова.
Это уже мирное время. Уходят старики, спиваются бывшие фронтовики, погибает Лизавета Пряслина, а брат-отец Михаил Пряслин, хозяин и труженик, ничего не может сделать с мнимым благополучием на фоне всеобщего распада, ничего не может сделать с разрушением Дома. Почему?</t>
        </is>
      </c>
      <c r="L3707" s="2" t="inlineStr">
        <is>
          <t>https://www.kino-teatr.ru/teatr/movie/10068/annot/</t>
        </is>
      </c>
      <c r="M3707" s="2">
        <f>HYPERLINK("https://ru.wikipedia.org/w/index.php?search=%D0%94%D0%BE%D0%BC%201982%20%D1%84%D0%B8%D0%BB%D1%8C%D0%BC","искать")</f>
        <v/>
      </c>
      <c r="N3707" s="3" t="n"/>
      <c r="O3707" s="2" t="n"/>
    </row>
    <row r="3708">
      <c r="A3708" s="2" t="n">
        <v>3707</v>
      </c>
      <c r="B3708" s="2" t="inlineStr"/>
      <c r="C3708" s="2" t="n">
        <v>11169</v>
      </c>
      <c r="D3708" s="3" t="inlineStr">
        <is>
          <t>Мегрэ у министра</t>
        </is>
      </c>
      <c r="E3708" s="2" t="n">
        <v>1987</v>
      </c>
      <c r="F3708" s="2" t="inlineStr">
        <is>
          <t>фильм-спектакль</t>
        </is>
      </c>
      <c r="G3708" s="2" t="inlineStr">
        <is>
          <t>Главная редакция литературно-драматических программ ЦТ</t>
        </is>
      </c>
      <c r="H3708" s="2" t="n">
        <v>379</v>
      </c>
      <c r="I3708" s="2" t="inlineStr"/>
      <c r="J3708" s="2" t="inlineStr"/>
      <c r="K3708" s="3" t="inlineStr">
        <is>
          <t>По роману Жоржа Сименона (перевод Э.Космаш).
Однажды вечером в доме комиссара Мегрэ раздается звонок. Министр строительства Пуан просит комиссара срочно приехать к нему на квартиру, сохраняя эту просьбу в тайне от полицейского начальства. При встрече выясняется, что из квартиры министра исчез доклад, с которым Пуан должен был через два дня выступать на заседании правительства.</t>
        </is>
      </c>
      <c r="L3708" s="2" t="inlineStr">
        <is>
          <t>https://www.kino-teatr.ru/teatr/movie/3786/annot/</t>
        </is>
      </c>
      <c r="M3708" s="2">
        <f>HYPERLINK("https://ru.wikipedia.org/w/index.php?search=%D0%9C%D0%B5%D0%B3%D1%80%D1%8D%20%D1%83%20%D0%BC%D0%B8%D0%BD%D0%B8%D1%81%D1%82%D1%80%D0%B0%201987%20%D1%84%D0%B8%D0%BB%D1%8C%D0%BC","искать")</f>
        <v/>
      </c>
      <c r="N3708" s="3" t="n"/>
      <c r="O3708" s="2" t="n"/>
    </row>
    <row r="3709">
      <c r="A3709" s="2" t="n">
        <v>3708</v>
      </c>
      <c r="B3709" s="2" t="inlineStr"/>
      <c r="C3709" s="2" t="n">
        <v>7244</v>
      </c>
      <c r="D3709" s="3" t="inlineStr">
        <is>
          <t>Белые вороны</t>
        </is>
      </c>
      <c r="E3709" s="2" t="n">
        <v>1988</v>
      </c>
      <c r="F3709" s="2" t="inlineStr">
        <is>
          <t>телефильм</t>
        </is>
      </c>
      <c r="G3709" s="2" t="n"/>
      <c r="H3709" s="2" t="n">
        <v>380</v>
      </c>
      <c r="I3709" s="2" t="inlineStr"/>
      <c r="J3709" s="2" t="inlineStr"/>
      <c r="K3709" s="3" t="inlineStr">
        <is>
          <t>Солдаты Васильев и Прохоров, вернувшиеся из Афганистана, узнают, что невеста Васильева изнасилована. Надругался над ней Половняк - шофер секретаря горкома. Последний, зная, что Половняк осведомлен о его должностных преступлениях, просит следователя Пронину, с которой состоит в интимных отношениях, повести следствие по ложному пути, заставить потерпевшую отказаться от показаний.</t>
        </is>
      </c>
      <c r="L3709" s="2" t="inlineStr">
        <is>
          <t>Кино_СССР сводный каталог.xlsx: список телефильмов</t>
        </is>
      </c>
      <c r="M3709" s="2">
        <f>HYPERLINK("https://ru.wikipedia.org/w/index.php?search=%D0%91%D0%B5%D0%BB%D1%8B%D0%B5%20%D0%B2%D0%BE%D1%80%D0%BE%D0%BD%D1%8B%201988%20%D1%84%D0%B8%D0%BB%D1%8C%D0%BC","искать")</f>
        <v/>
      </c>
      <c r="N3709" s="3" t="n"/>
      <c r="O3709" s="2" t="n"/>
    </row>
    <row r="3710">
      <c r="A3710" s="2" t="n">
        <v>3709</v>
      </c>
      <c r="B3710" s="2" t="inlineStr"/>
      <c r="C3710" s="2" t="n">
        <v>8241</v>
      </c>
      <c r="D3710" s="3" t="inlineStr">
        <is>
          <t>Прошлогодняя кадриль</t>
        </is>
      </c>
      <c r="E3710" s="2" t="n">
        <v>1978</v>
      </c>
      <c r="F3710" s="2" t="inlineStr">
        <is>
          <t>телефильм</t>
        </is>
      </c>
      <c r="G3710" s="2" t="n"/>
      <c r="H3710" s="2" t="n">
        <v>380</v>
      </c>
      <c r="I3710" s="2" t="inlineStr"/>
      <c r="J3710" s="2" t="inlineStr"/>
      <c r="K3710" s="3" t="inlineStr">
        <is>
          <t>По мотивам повести Н.Сухановой «Кадриль». Студенты-энергетики Юра, Леня и Жанна проходят практику в деревне. На танцах в доме культуры ребята замечают симпатичную девушку Тоню, которая прекрасно танцует кадриль, и начинают ухаживать за ней на спор — чья возьмет. Тоне явно нравится Леня. И Леня наверняка бы выиграл спор, если бы о нем не забыл, потому что действительно влюбился.</t>
        </is>
      </c>
      <c r="L3710" s="2" t="inlineStr">
        <is>
          <t>Кино_СССР сводный каталог.xlsx: список телефильмов</t>
        </is>
      </c>
      <c r="M3710" s="2">
        <f>HYPERLINK("https://ru.wikipedia.org/w/index.php?search=%D0%9F%D1%80%D0%BE%D1%88%D0%BB%D0%BE%D0%B3%D0%BE%D0%B4%D0%BD%D1%8F%D1%8F%20%D0%BA%D0%B0%D0%B4%D1%80%D0%B8%D0%BB%D1%8C%201978%20%D1%84%D0%B8%D0%BB%D1%8C%D0%BC","искать")</f>
        <v/>
      </c>
      <c r="N3710" s="3" t="n"/>
      <c r="O3710" s="2" t="n"/>
    </row>
    <row r="3711">
      <c r="A3711" s="2" t="n">
        <v>3710</v>
      </c>
      <c r="B3711" s="2" t="inlineStr"/>
      <c r="C3711" s="2" t="n">
        <v>8370</v>
      </c>
      <c r="D3711" s="3" t="inlineStr">
        <is>
          <t>Снегурочку вызывали?</t>
        </is>
      </c>
      <c r="E3711" s="2" t="n">
        <v>1985</v>
      </c>
      <c r="F3711" s="2" t="inlineStr">
        <is>
          <t>телефильм</t>
        </is>
      </c>
      <c r="G3711" s="2" t="n"/>
      <c r="H3711" s="2" t="n">
        <v>380</v>
      </c>
      <c r="I3711" s="2" t="inlineStr"/>
      <c r="J3711" s="2" t="inlineStr"/>
      <c r="K3711" s="3" t="inlineStr">
        <is>
          <t>Лирическая история происходит в канун Нового года: водитель микроавтобуса соглашается заменить заболевшего актера и сыграть роль Деда Мороза. Оказывается не без тайного умысла: он хочет поздравить с Новым Годом своего сына, с которым ему не разрешает встречаться его бывшая жена. Он знакомится со Снегурочкой - одинокой, как и он сам, не слишком удачливой в личной жизни актрисой.</t>
        </is>
      </c>
      <c r="L3711" s="2" t="inlineStr">
        <is>
          <t>Кино_СССР сводный каталог.xlsx: список телефильмов</t>
        </is>
      </c>
      <c r="M3711" s="2">
        <f>HYPERLINK("https://ru.wikipedia.org/w/index.php?search=%D0%A1%D0%BD%D0%B5%D0%B3%D1%83%D1%80%D0%BE%D1%87%D0%BA%D1%83%20%D0%B2%D1%8B%D0%B7%D1%8B%D0%B2%D0%B0%D0%BB%D0%B8%3F%201985%20%D1%84%D0%B8%D0%BB%D1%8C%D0%BC","искать")</f>
        <v/>
      </c>
      <c r="N3711" s="3" t="n"/>
      <c r="O3711" s="2" t="n"/>
    </row>
    <row r="3712">
      <c r="A3712" s="2" t="n">
        <v>3711</v>
      </c>
      <c r="B3712" s="2" t="inlineStr"/>
      <c r="C3712" s="2" t="n">
        <v>8808</v>
      </c>
      <c r="D3712" s="3" t="inlineStr">
        <is>
          <t>Люди добрые</t>
        </is>
      </c>
      <c r="E3712" s="2" t="n">
        <v>1983</v>
      </c>
      <c r="F3712" s="2" t="inlineStr">
        <is>
          <t>кинофильм</t>
        </is>
      </c>
      <c r="G3712" s="2" t="n"/>
      <c r="H3712" s="2" t="n">
        <v>380</v>
      </c>
      <c r="I3712" s="2" t="inlineStr"/>
      <c r="J3712" s="2" t="inlineStr"/>
      <c r="K3712" s="3" t="inlineStr">
        <is>
          <t>У Владимира и Ольги полон дом гостей. Шумная компания что-то отмечает. Очередному гостю не хватило стула и хозяин отправляется на поиски к соседям. Мальчик Витя из квартиры напротив предлагает табуретку. Владимир заходит в квартиру и понимает, что сегодня не у всех праздник. В комнате спит пьяная мать, а в полуразрушенной кухне, мальчик варит рассольник из оловянных солдатиков.</t>
        </is>
      </c>
      <c r="L3712" s="2" t="inlineStr">
        <is>
          <t>Кино_СССР сводный каталог.xlsx: список фильмов (доп.)</t>
        </is>
      </c>
      <c r="M3712" s="2">
        <f>HYPERLINK("https://ru.wikipedia.org/w/index.php?search=%D0%9B%D1%8E%D0%B4%D0%B8%20%D0%B4%D0%BE%D0%B1%D1%80%D1%8B%D0%B5%201983%20%D1%84%D0%B8%D0%BB%D1%8C%D0%BC","искать")</f>
        <v/>
      </c>
      <c r="N3712" s="3" t="n"/>
      <c r="O3712" s="2" t="n"/>
    </row>
    <row r="3713">
      <c r="A3713" s="2" t="n">
        <v>3712</v>
      </c>
      <c r="B3713" s="2" t="inlineStr"/>
      <c r="C3713" s="2" t="n">
        <v>9378</v>
      </c>
      <c r="D3713" s="3" t="inlineStr">
        <is>
          <t>Зеленинский погост</t>
        </is>
      </c>
      <c r="E3713" s="2" t="n">
        <v>1989</v>
      </c>
      <c r="F3713" s="2" t="inlineStr">
        <is>
          <t>кинофильм</t>
        </is>
      </c>
      <c r="G3713" s="2" t="n"/>
      <c r="H3713" s="2" t="n">
        <v>380</v>
      </c>
      <c r="I3713" s="2" t="inlineStr"/>
      <c r="J3713" s="2" t="inlineStr"/>
      <c r="K3713" s="3" t="inlineStr">
        <is>
          <t>Виктор приезжает в деревню, чтобы поставить памятник деду. Не найдя в доме нужной фотографии, он обращается за помощью к деревенскому "коллекционеру". Фильм - о бессмысленной попытке героя обрести душевный покой там, где прошло его детство. Фон, на котором разворачивается действие - разоренная российская деревня с брошенными домами, невозделанными пашнями, разграбленным храмом.</t>
        </is>
      </c>
      <c r="L3713" s="2" t="inlineStr">
        <is>
          <t>Кино_СССР сводный каталог.xlsx: список фильмов (доп.)</t>
        </is>
      </c>
      <c r="M3713" s="2">
        <f>HYPERLINK("https://ru.wikipedia.org/w/index.php?search=%D0%97%D0%B5%D0%BB%D0%B5%D0%BD%D0%B8%D0%BD%D1%81%D0%BA%D0%B8%D0%B9%20%D0%BF%D0%BE%D0%B3%D0%BE%D1%81%D1%82%201989%20%D1%84%D0%B8%D0%BB%D1%8C%D0%BC","искать")</f>
        <v/>
      </c>
      <c r="N3713" s="3" t="n"/>
      <c r="O3713" s="2" t="n"/>
    </row>
    <row r="3714">
      <c r="A3714" s="2" t="n">
        <v>3713</v>
      </c>
      <c r="B3714" s="2" t="inlineStr"/>
      <c r="C3714" s="2" t="n">
        <v>9919</v>
      </c>
      <c r="D3714" s="3" t="inlineStr">
        <is>
          <t>Лето в зоопарке</t>
        </is>
      </c>
      <c r="E3714" s="2" t="n">
        <v>1976</v>
      </c>
      <c r="F3714" s="2" t="inlineStr">
        <is>
          <t>кинофильм</t>
        </is>
      </c>
      <c r="G3714" s="2" t="inlineStr">
        <is>
          <t>"Казахфильм"</t>
        </is>
      </c>
      <c r="H3714" s="2" t="n">
        <v>380</v>
      </c>
      <c r="I3714" s="2" t="inlineStr"/>
      <c r="J3714" s="2" t="inlineStr"/>
      <c r="K3714" s="3" t="inlineStr">
        <is>
          <t>Айгуль занимается в кружке юных зоологов и ведет наблюдение за животными. Девочка всей душой привязалась к слепой ламе по кличке Гордый. Слепота животного стала угрожать жизни окружающих, и тогда руководство зоопарка приняло решение списать животное. Однако Айгуль сумела всех убедить, что при ласковом общении лама не опасна. Так благодаря девочке Гордый остался жить в зоопарке.</t>
        </is>
      </c>
      <c r="L3714" s="2" t="inlineStr">
        <is>
          <t>https://www.kino-teatr.ru/short/movie/sov/15894/annot/</t>
        </is>
      </c>
      <c r="M3714" s="2">
        <f>HYPERLINK("https://ru.wikipedia.org/w/index.php?search=%D0%9B%D0%B5%D1%82%D0%BE%20%D0%B2%20%D0%B7%D0%BE%D0%BE%D0%BF%D0%B0%D1%80%D0%BA%D0%B5%201976%20%D1%84%D0%B8%D0%BB%D1%8C%D0%BC","искать")</f>
        <v/>
      </c>
      <c r="N3714" s="3" t="n"/>
      <c r="O3714" s="2" t="n"/>
    </row>
    <row r="3715">
      <c r="A3715" s="2" t="n">
        <v>3714</v>
      </c>
      <c r="B3715" s="2" t="inlineStr"/>
      <c r="C3715" s="2" t="n">
        <v>11042</v>
      </c>
      <c r="D3715" s="3" t="inlineStr">
        <is>
          <t>Сильфида (фильм-балет)</t>
        </is>
      </c>
      <c r="E3715" s="2" t="n">
        <v>1984</v>
      </c>
      <c r="F3715" s="2" t="inlineStr">
        <is>
          <t>фильм-спектакль</t>
        </is>
      </c>
      <c r="G3715" s="2" t="inlineStr">
        <is>
          <t>Лентелефильм</t>
        </is>
      </c>
      <c r="H3715" s="2" t="n">
        <v>380</v>
      </c>
      <c r="I3715" s="2" t="inlineStr"/>
      <c r="J3715" s="2" t="inlineStr"/>
      <c r="K3715" s="3" t="inlineStr">
        <is>
          <t>Герой балета, молодой крестьянин Джеймс встретил неземное воплощение своей мечты - Сильфиду, девушку-призрак - и влюбился в нее. История их взаимоотношений рассказана в рисунках на старинных гравюрах, которые открывают фильм.
В спектакле заняты артисты балета Ленинградского Академического театра оперы балета имени С.Кирова.
Музыка Х.Левенскьолда. Хореография Августа Бурнонвиля.</t>
        </is>
      </c>
      <c r="L3715" s="2" t="inlineStr">
        <is>
          <t>https://www.kino-teatr.ru/teatr/movie/93783/annot/</t>
        </is>
      </c>
      <c r="M3715" s="2">
        <f>HYPERLINK("https://ru.wikipedia.org/w/index.php?search=%D0%A1%D0%B8%D0%BB%D1%8C%D1%84%D0%B8%D0%B4%D0%B0%20%28%D1%84%D0%B8%D0%BB%D1%8C%D0%BC-%D0%B1%D0%B0%D0%BB%D0%B5%D1%82%29%201984%20%D1%84%D0%B8%D0%BB%D1%8C%D0%BC","искать")</f>
        <v/>
      </c>
      <c r="N3715" s="3" t="n"/>
      <c r="O3715" s="2" t="n"/>
    </row>
    <row r="3716">
      <c r="A3716" s="2" t="n">
        <v>3715</v>
      </c>
      <c r="B3716" s="2" t="inlineStr"/>
      <c r="C3716" s="2" t="n">
        <v>7775</v>
      </c>
      <c r="D3716" s="3" t="inlineStr">
        <is>
          <t>Криминальный талант</t>
        </is>
      </c>
      <c r="E3716" s="2" t="n">
        <v>1988</v>
      </c>
      <c r="F3716" s="2" t="inlineStr">
        <is>
          <t>телефильм</t>
        </is>
      </c>
      <c r="G3716" s="2" t="n"/>
      <c r="H3716" s="2" t="n">
        <v>381</v>
      </c>
      <c r="I3716" s="2" t="inlineStr"/>
      <c r="J3716" s="2" t="inlineStr"/>
      <c r="K3716" s="3" t="inlineStr">
        <is>
          <t>По мотивам одноименной повести Станислава Родионова. В городе совершается несколько преступлений, схожих по почерку и настолько необычных, что следственная группа предполагает наличие у преступника, точнее преступницы, своего рода криминального таланта. Психологический поединок следователя Рябинина и молодой авантюристки Александры Рукояткиной, имеющей редкий дар перевоплощения.</t>
        </is>
      </c>
      <c r="L3716" s="2" t="inlineStr">
        <is>
          <t>Кино_СССР сводный каталог.xlsx: список телефильмов</t>
        </is>
      </c>
      <c r="M3716" s="2">
        <f>HYPERLINK("https://ru.wikipedia.org/w/index.php?search=%D0%9A%D1%80%D0%B8%D0%BC%D0%B8%D0%BD%D0%B0%D0%BB%D1%8C%D0%BD%D1%8B%D0%B9%20%D1%82%D0%B0%D0%BB%D0%B0%D0%BD%D1%82%201988%20%D1%84%D0%B8%D0%BB%D1%8C%D0%BC","искать")</f>
        <v/>
      </c>
      <c r="N3716" s="3" t="n"/>
      <c r="O3716" s="2" t="n"/>
    </row>
    <row r="3717">
      <c r="A3717" s="2" t="n">
        <v>3716</v>
      </c>
      <c r="B3717" s="2" t="inlineStr"/>
      <c r="C3717" s="2" t="n">
        <v>8715</v>
      </c>
      <c r="D3717" s="3" t="inlineStr">
        <is>
          <t>Духов день</t>
        </is>
      </c>
      <c r="E3717" s="2" t="n">
        <v>1990</v>
      </c>
      <c r="F3717" s="2" t="inlineStr">
        <is>
          <t>кинофильм</t>
        </is>
      </c>
      <c r="G3717" s="2" t="inlineStr">
        <is>
          <t>Ленфильм</t>
        </is>
      </c>
      <c r="H3717" s="2" t="n">
        <v>381</v>
      </c>
      <c r="I3717" s="2" t="inlineStr"/>
      <c r="J3717" s="2" t="inlineStr"/>
      <c r="K3717" s="3" t="inlineStr">
        <is>
          <t>В самом начале фильма Иван Христофоров, обладающий способностью предчувствовать взрывы, даёт интервью журналистам. Чуть позже взрывается не выключенный соседом газ, что и было предсказано. Затем Иван начинает рассказ о себе. Мы узнаем историю героя, особенности развития его творческой личности, уникальную связь с окружающим миром посредством озарений, свойственных ему с детства.</t>
        </is>
      </c>
      <c r="L3717" s="2" t="inlineStr">
        <is>
          <t>Кино_СССР сводный каталог.xlsx: список фильмов (доп.)</t>
        </is>
      </c>
      <c r="M3717" s="2">
        <f>HYPERLINK("https://ru.wikipedia.org/w/index.php?search=%D0%94%D1%83%D1%85%D0%BE%D0%B2%20%D0%B4%D0%B5%D0%BD%D1%8C%201990%20%D1%84%D0%B8%D0%BB%D1%8C%D0%BC","искать")</f>
        <v/>
      </c>
      <c r="N3717" s="3" t="n"/>
      <c r="O3717" s="2" t="n"/>
    </row>
    <row r="3718">
      <c r="A3718" s="2" t="n">
        <v>3717</v>
      </c>
      <c r="B3718" s="2" t="inlineStr"/>
      <c r="C3718" s="2" t="n">
        <v>9686</v>
      </c>
      <c r="D3718" s="3" t="inlineStr">
        <is>
          <t>Танец мотылька</t>
        </is>
      </c>
      <c r="E3718" s="2" t="n">
        <v>1971</v>
      </c>
      <c r="F3718" s="2" t="inlineStr">
        <is>
          <t>кинофильм</t>
        </is>
      </c>
      <c r="G3718" s="2" t="n"/>
      <c r="H3718" s="2" t="n">
        <v>381</v>
      </c>
      <c r="I3718" s="2" t="inlineStr"/>
      <c r="J3718" s="2" t="inlineStr"/>
      <c r="K3718" s="3" t="inlineStr">
        <is>
          <t>Талантливый человек, Харий Маурс, в погоне за успехом готов идти на любую сделку со своей совестью. Занятия спортом и выступления в музыкальном ансамбле не сулят близкой выгоды, и он легко порывает с ними. Случай сводит его с Нино — женой приехавшего в Ригу на съёмки известного режиссёра. Не стесняясь, он использует своё знакомство для утверждения в новом для себя амплуа актёра.</t>
        </is>
      </c>
      <c r="L3718" s="2" t="inlineStr">
        <is>
          <t>Кино_СССР сводный каталог.xlsx: список фильмов (доп.)</t>
        </is>
      </c>
      <c r="M3718" s="2">
        <f>HYPERLINK("https://ru.wikipedia.org/w/index.php?search=%D0%A2%D0%B0%D0%BD%D0%B5%D1%86%20%D0%BC%D0%BE%D1%82%D1%8B%D0%BB%D1%8C%D0%BA%D0%B0%201971%20%D1%84%D0%B8%D0%BB%D1%8C%D0%BC","искать")</f>
        <v/>
      </c>
      <c r="N3718" s="3" t="n"/>
      <c r="O3718" s="2" t="n"/>
    </row>
    <row r="3719">
      <c r="A3719" s="2" t="n">
        <v>3718</v>
      </c>
      <c r="B3719" s="2" t="inlineStr"/>
      <c r="C3719" s="2" t="n">
        <v>9728</v>
      </c>
      <c r="D3719" s="3" t="inlineStr">
        <is>
          <t>Фуфло</t>
        </is>
      </c>
      <c r="E3719" s="2" t="n">
        <v>1990</v>
      </c>
      <c r="F3719" s="2" t="inlineStr">
        <is>
          <t>кинофильм</t>
        </is>
      </c>
      <c r="G3719" s="2" t="n"/>
      <c r="H3719" s="2" t="n">
        <v>381</v>
      </c>
      <c r="I3719" s="2" t="inlineStr"/>
      <c r="J3719" s="2" t="inlineStr"/>
      <c r="K3719" s="3" t="inlineStr">
        <is>
          <t>У героя картины есть внешность, способности, ум, но разменял он все по женщинам, принося им по большей части горе, обманывая их и вытягивая из тех, что постарше и побогаче, все что можно. Но вот раскусили его и выгнали балетмейстером в провинцию, где он буквально загибался. Там возникла закономерная, но противоестественная одновременно дружба-вражда с наркоманом по кличке Бурый.</t>
        </is>
      </c>
      <c r="L3719" s="2" t="inlineStr">
        <is>
          <t>Кино_СССР сводный каталог.xlsx: список фильмов (доп.)</t>
        </is>
      </c>
      <c r="M3719" s="2">
        <f>HYPERLINK("https://ru.wikipedia.org/w/index.php?search=%D0%A4%D1%83%D1%84%D0%BB%D0%BE%201990%20%D1%84%D0%B8%D0%BB%D1%8C%D0%BC","искать")</f>
        <v/>
      </c>
      <c r="N3719" s="3" t="n"/>
      <c r="O3719" s="2" t="n"/>
    </row>
    <row r="3720">
      <c r="A3720" s="2" t="n">
        <v>3719</v>
      </c>
      <c r="B3720" s="2" t="inlineStr"/>
      <c r="C3720" s="2" t="n">
        <v>10106</v>
      </c>
      <c r="D3720" s="3" t="inlineStr">
        <is>
          <t>Верните плату за обучение</t>
        </is>
      </c>
      <c r="E3720" s="2" t="n">
        <v>1963</v>
      </c>
      <c r="F3720" s="2" t="inlineStr">
        <is>
          <t>фильм-спектакль</t>
        </is>
      </c>
      <c r="G3720" s="2" t="inlineStr">
        <is>
          <t>Центральное телевидение</t>
        </is>
      </c>
      <c r="H3720" s="2" t="n">
        <v>381</v>
      </c>
      <c r="I3720" s="2" t="inlineStr"/>
      <c r="J3720" s="2" t="inlineStr"/>
      <c r="K3720" s="3" t="inlineStr">
        <is>
          <t>Телевизионный фильм по мотивам одноименного произведения венгерского писателя Фридьеша Каринти (1887-1938).
Бывший ученик частной гимназии через 18 лет приходит к директору, чтобы получить обратно деньги, отданные когда-то за обучение. По его мнению, он ничему в этой гимназии не научился. Учителя проводят переэкзаменовку, ставя ему отличные отметки, невзирая на качество ответов.</t>
        </is>
      </c>
      <c r="L3720" s="2" t="inlineStr">
        <is>
          <t>https://www.kino-teatr.ru/teatr/movie/15087/annot/</t>
        </is>
      </c>
      <c r="M3720" s="2">
        <f>HYPERLINK("https://ru.wikipedia.org/w/index.php?search=%D0%92%D0%B5%D1%80%D0%BD%D0%B8%D1%82%D0%B5%20%D0%BF%D0%BB%D0%B0%D1%82%D1%83%20%D0%B7%D0%B0%20%D0%BE%D0%B1%D1%83%D1%87%D0%B5%D0%BD%D0%B8%D0%B5%201963%20%D1%84%D0%B8%D0%BB%D1%8C%D0%BC","искать")</f>
        <v/>
      </c>
      <c r="N3720" s="3" t="n"/>
      <c r="O3720" s="2" t="n"/>
    </row>
    <row r="3721">
      <c r="A3721" s="2" t="n">
        <v>3720</v>
      </c>
      <c r="B3721" s="2" t="inlineStr"/>
      <c r="C3721" s="2" t="n">
        <v>10192</v>
      </c>
      <c r="D3721" s="3" t="inlineStr">
        <is>
          <t>Домик</t>
        </is>
      </c>
      <c r="E3721" s="2" t="n">
        <v>1967</v>
      </c>
      <c r="F3721" s="2" t="inlineStr">
        <is>
          <t>фильм-спектакль</t>
        </is>
      </c>
      <c r="G3721" s="2" t="inlineStr">
        <is>
          <t>Ленинградское ТВ</t>
        </is>
      </c>
      <c r="H3721" s="2" t="n">
        <v>381</v>
      </c>
      <c r="I3721" s="2" t="inlineStr"/>
      <c r="J3721" s="2" t="inlineStr"/>
      <c r="K3721" s="3" t="inlineStr">
        <is>
          <t>По комедии Валентина Катаева.
Действие происходит в 30-х годах, весной, летом и осенью, в вымышленном городе Конске. Директор местного парка культуры и отдыха Персюков, вообразивший, что в Конске бывал великий математик Лобачевский, решает воспользоваться этим обстоятельством. Бурная деятельность, которую развивает Персюков, в несколько месяцев меняет лицо заштатного райцентра..</t>
        </is>
      </c>
      <c r="L3721" s="2" t="inlineStr">
        <is>
          <t>https://www.kino-teatr.ru/teatr/movie/92846/annot/</t>
        </is>
      </c>
      <c r="M3721" s="2">
        <f>HYPERLINK("https://ru.wikipedia.org/w/index.php?search=%D0%94%D0%BE%D0%BC%D0%B8%D0%BA%201967%20%D1%84%D0%B8%D0%BB%D1%8C%D0%BC","искать")</f>
        <v/>
      </c>
      <c r="N3721" s="3" t="n"/>
      <c r="O3721" s="2" t="n"/>
    </row>
    <row r="3722">
      <c r="A3722" s="2" t="n">
        <v>3721</v>
      </c>
      <c r="B3722" s="2" t="inlineStr"/>
      <c r="C3722" s="2" t="n">
        <v>7297</v>
      </c>
      <c r="D3722" s="3" t="inlineStr">
        <is>
          <t>В поисках утраченного сокровища</t>
        </is>
      </c>
      <c r="E3722" s="2" t="n">
        <v>1987</v>
      </c>
      <c r="F3722" s="2" t="inlineStr">
        <is>
          <t>телефильм</t>
        </is>
      </c>
      <c r="G3722" s="2" t="n"/>
      <c r="H3722" s="2" t="n">
        <v>382</v>
      </c>
      <c r="I3722" s="2" t="inlineStr"/>
      <c r="J3722" s="2" t="inlineStr"/>
      <c r="K3722" s="3" t="inlineStr">
        <is>
          <t>Героико-приключенческий фильм о пламенной любви трех друзей к своему отчеству. Умирая, дед завещал своему внуку Луке верой и правдой служить герою Вамеху, который по народному поверию должен придти и освободить страну от гнета кровожадного визиря. Княжна Твалта тоже ждет прихода Вамеха - она должна передать ему семейную тайну - сокровище, благодаря которому Вамех станет неуязвим.</t>
        </is>
      </c>
      <c r="L3722" s="2" t="inlineStr">
        <is>
          <t>Кино_СССР сводный каталог.xlsx: список телефильмов</t>
        </is>
      </c>
      <c r="M3722" s="2">
        <f>HYPERLINK("https://ru.wikipedia.org/w/index.php?search=%D0%92%20%D0%BF%D0%BE%D0%B8%D1%81%D0%BA%D0%B0%D1%85%20%D1%83%D1%82%D1%80%D0%B0%D1%87%D0%B5%D0%BD%D0%BD%D0%BE%D0%B3%D0%BE%20%D1%81%D0%BE%D0%BA%D1%80%D0%BE%D0%B2%D0%B8%D1%89%D0%B0%201987%20%D1%84%D0%B8%D0%BB%D1%8C%D0%BC","искать")</f>
        <v/>
      </c>
      <c r="N3722" s="3" t="n"/>
      <c r="O3722" s="2" t="n"/>
    </row>
    <row r="3723">
      <c r="A3723" s="2" t="n">
        <v>3722</v>
      </c>
      <c r="B3723" s="2" t="inlineStr"/>
      <c r="C3723" s="2" t="n">
        <v>7309</v>
      </c>
      <c r="D3723" s="3" t="inlineStr">
        <is>
          <t>Варькина земля</t>
        </is>
      </c>
      <c r="E3723" s="2" t="n">
        <v>1969</v>
      </c>
      <c r="F3723" s="2" t="inlineStr">
        <is>
          <t>телефильм</t>
        </is>
      </c>
      <c r="G3723" s="2" t="inlineStr">
        <is>
          <t>к/с им. Довженко</t>
        </is>
      </c>
      <c r="H3723" s="2" t="n">
        <v>382</v>
      </c>
      <c r="I3723" s="2" t="inlineStr"/>
      <c r="J3723" s="2" t="inlineStr"/>
      <c r="K3723" s="3" t="inlineStr">
        <is>
          <t>Телевизионный сериал о молодежи, которая выбирает трудовой путь, о выборе профессии и места в жизни. Героиня фильма Варя Кравец после окончания школы остается в родном колхозе. Пришла к ней и первая любовь. Тем неожиданней для нее гибель любимого. Преодолеть кризис помогают односельчане. События фильма разворачиваются на фоне колхозного села с его повседневными заботами и делами.</t>
        </is>
      </c>
      <c r="L3723" s="2" t="inlineStr">
        <is>
          <t>Кино_СССР сводный каталог.xlsx: список телефильмов</t>
        </is>
      </c>
      <c r="M3723" s="2">
        <f>HYPERLINK("https://ru.wikipedia.org/w/index.php?search=%D0%92%D0%B0%D1%80%D1%8C%D0%BA%D0%B8%D0%BD%D0%B0%20%D0%B7%D0%B5%D0%BC%D0%BB%D1%8F%201969%20%D1%84%D0%B8%D0%BB%D1%8C%D0%BC","искать")</f>
        <v/>
      </c>
      <c r="N3723" s="3" t="n"/>
      <c r="O3723" s="2" t="n"/>
    </row>
    <row r="3724">
      <c r="A3724" s="2" t="n">
        <v>3723</v>
      </c>
      <c r="B3724" s="2" t="inlineStr"/>
      <c r="C3724" s="2" t="n">
        <v>7734</v>
      </c>
      <c r="D3724" s="3" t="inlineStr">
        <is>
          <t>Когда отзовется эхо</t>
        </is>
      </c>
      <c r="E3724" s="2" t="n">
        <v>1989</v>
      </c>
      <c r="F3724" s="2" t="inlineStr">
        <is>
          <t>телефильм</t>
        </is>
      </c>
      <c r="G3724" s="2" t="n"/>
      <c r="H3724" s="2" t="n">
        <v>382</v>
      </c>
      <c r="I3724" s="2" t="inlineStr"/>
      <c r="J3724" s="2" t="inlineStr"/>
      <c r="K3724" s="3" t="inlineStr">
        <is>
          <t>Осенью 1945 года в обезлюдевшее селение пробирается бывший фронтовик Умар Бадалов. Он честно выполнил свой воинский долг, теперь его комиссовали и вот он в своем ауле. Окрашенная трагизмом осенняя умирающая природа и разоренный аул, в котором он не встретил ни души, кроме одной мертвой собаки. Вечером патруль НКВД отвел его в милицейский участок, и Умар был отправлен в Казахстан.</t>
        </is>
      </c>
      <c r="L3724" s="2" t="inlineStr">
        <is>
          <t>Кино_СССР сводный каталог.xlsx: список телефильмов</t>
        </is>
      </c>
      <c r="M3724" s="2">
        <f>HYPERLINK("https://ru.wikipedia.org/w/index.php?search=%D0%9A%D0%BE%D0%B3%D0%B4%D0%B0%20%D0%BE%D1%82%D0%B7%D0%BE%D0%B2%D0%B5%D1%82%D1%81%D1%8F%20%D1%8D%D1%85%D0%BE%201989%20%D1%84%D0%B8%D0%BB%D1%8C%D0%BC","искать")</f>
        <v/>
      </c>
      <c r="N3724" s="3" t="n"/>
      <c r="O3724" s="2" t="n"/>
    </row>
    <row r="3725">
      <c r="A3725" s="2" t="n">
        <v>3724</v>
      </c>
      <c r="B3725" s="2" t="inlineStr"/>
      <c r="C3725" s="2" t="n">
        <v>8800</v>
      </c>
      <c r="D3725" s="3" t="inlineStr">
        <is>
          <t>Ловушка</t>
        </is>
      </c>
      <c r="E3725" s="2" t="n">
        <v>1990</v>
      </c>
      <c r="F3725" s="2" t="inlineStr">
        <is>
          <t>кинофильм</t>
        </is>
      </c>
      <c r="G3725" s="2" t="n"/>
      <c r="H3725" s="2" t="n">
        <v>382</v>
      </c>
      <c r="I3725" s="2" t="inlineStr"/>
      <c r="J3725" s="2" t="inlineStr"/>
      <c r="K3725" s="3" t="inlineStr">
        <is>
          <t>В одном из пригородов Баку экстремисты готовят взрыв строящихся домов для беженцев. Студент и его девушка становятся случайными свидетелями этой диверсии. Юноша снимает все подробности ночи на пленку. Этот материал кого-то оставляет равнодушным, а кого-то настораживает. В результате студент попадает под машину, а люди, находящиеся на строительной площадке во время взрыва, гибнут.</t>
        </is>
      </c>
      <c r="L3725" s="2" t="inlineStr">
        <is>
          <t>Кино_СССР сводный каталог.xlsx: список фильмов (доп.)</t>
        </is>
      </c>
      <c r="M3725" s="2">
        <f>HYPERLINK("https://ru.wikipedia.org/w/index.php?search=%D0%9B%D0%BE%D0%B2%D1%83%D1%88%D0%BA%D0%B0%201990%20%D1%84%D0%B8%D0%BB%D1%8C%D0%BC","искать")</f>
        <v/>
      </c>
      <c r="N3725" s="3" t="n"/>
      <c r="O3725" s="2" t="n"/>
    </row>
    <row r="3726">
      <c r="A3726" s="2" t="n">
        <v>3725</v>
      </c>
      <c r="B3726" s="2" t="inlineStr"/>
      <c r="C3726" s="2" t="n">
        <v>9709</v>
      </c>
      <c r="D3726" s="3" t="inlineStr">
        <is>
          <t>Украинская вендетта</t>
        </is>
      </c>
      <c r="E3726" s="2" t="n">
        <v>1990</v>
      </c>
      <c r="F3726" s="2" t="inlineStr">
        <is>
          <t>кинофильм</t>
        </is>
      </c>
      <c r="G3726" s="2" t="n"/>
      <c r="H3726" s="2" t="n">
        <v>382</v>
      </c>
      <c r="I3726" s="2" t="inlineStr"/>
      <c r="J3726" s="2" t="inlineStr"/>
      <c r="K3726" s="3" t="inlineStr">
        <is>
          <t>Фильм поставлен по одноимённой повести Анатолия Димарова. С фанатизмом, с которым Ульяна работала в поле с утра до вечера еще до войны, она начинает мстить за погибшего мужа и сына, которого до смерти забили полицаи. Один за другим от ее руки гибнут фашисты и предатели. От ее же руки погибает подросток, бывший одноклассник ее сына, а теперь, как и многие, завербованный в полицаи.</t>
        </is>
      </c>
      <c r="L3726" s="2" t="inlineStr">
        <is>
          <t>Кино_СССР сводный каталог.xlsx: список фильмов (доп.)</t>
        </is>
      </c>
      <c r="M3726" s="2">
        <f>HYPERLINK("https://ru.wikipedia.org/w/index.php?search=%D0%A3%D0%BA%D1%80%D0%B0%D0%B8%D0%BD%D1%81%D0%BA%D0%B0%D1%8F%20%D0%B2%D0%B5%D0%BD%D0%B4%D0%B5%D1%82%D1%82%D0%B0%201990%20%D1%84%D0%B8%D0%BB%D1%8C%D0%BC","искать")</f>
        <v/>
      </c>
      <c r="N3726" s="3" t="n"/>
      <c r="O3726" s="2" t="n"/>
    </row>
    <row r="3727">
      <c r="A3727" s="2" t="n">
        <v>3726</v>
      </c>
      <c r="B3727" s="2" t="inlineStr"/>
      <c r="C3727" s="2" t="n">
        <v>10329</v>
      </c>
      <c r="D3727" s="3" t="inlineStr">
        <is>
          <t>Сесиль умерла</t>
        </is>
      </c>
      <c r="E3727" s="2" t="n">
        <v>1969</v>
      </c>
      <c r="F3727" s="2" t="inlineStr">
        <is>
          <t>фильм-спектакль</t>
        </is>
      </c>
      <c r="G3727" s="2" t="inlineStr">
        <is>
          <t>Центральное телевидение</t>
        </is>
      </c>
      <c r="H3727" s="2" t="n">
        <v>382</v>
      </c>
      <c r="I3727" s="2" t="inlineStr"/>
      <c r="J3727" s="2" t="inlineStr"/>
      <c r="K3727" s="3" t="inlineStr">
        <is>
          <t>По роману Жоржа Сименона.
Сесиль Маршан неожиданно обнаруживает, что квартиру, где она живёт вместе с больной тёткой, посещает кто-то чужой. Полицейские, которым было поручено вести наблюдение за этой квартирой, ничего подозрительного не заметили. Однако вскоре Сесиль и её родственницу находят убитыми...
По состоянию на апрель 2017 года фильм «Сесиль умерла» считается утраченным.</t>
        </is>
      </c>
      <c r="L3727" s="2" t="inlineStr">
        <is>
          <t>https://www.kino-teatr.ru/teatr/movie/82127/annot/</t>
        </is>
      </c>
      <c r="M3727" s="2">
        <f>HYPERLINK("https://ru.wikipedia.org/w/index.php?search=%D0%A1%D0%B5%D1%81%D0%B8%D0%BB%D1%8C%20%D1%83%D0%BC%D0%B5%D1%80%D0%BB%D0%B0%201969%20%D1%84%D0%B8%D0%BB%D1%8C%D0%BC","искать")</f>
        <v/>
      </c>
      <c r="N3727" s="3" t="n"/>
      <c r="O3727" s="2" t="n"/>
    </row>
    <row r="3728">
      <c r="A3728" s="2" t="n">
        <v>3727</v>
      </c>
      <c r="B3728" s="2" t="inlineStr"/>
      <c r="C3728" s="2" t="n">
        <v>7626</v>
      </c>
      <c r="D3728" s="3" t="inlineStr">
        <is>
          <t>Записки юного врача</t>
        </is>
      </c>
      <c r="E3728" s="2" t="n">
        <v>1991</v>
      </c>
      <c r="F3728" s="2" t="inlineStr">
        <is>
          <t>телефильм</t>
        </is>
      </c>
      <c r="G3728" s="2" t="n"/>
      <c r="H3728" s="2" t="n">
        <v>383</v>
      </c>
      <c r="I3728" s="2" t="inlineStr"/>
      <c r="J3728" s="2" t="inlineStr"/>
      <c r="K3728" s="3" t="inlineStr">
        <is>
          <t>По мотивам ранних рассказов М. Булгакова. В 1916 году Булгаков окончил медицинский факультет Киевского университета, получив степень лекаря с отличием. После этого он 4 года проработал врачом. Медицинская практика писателя и была положена в основу цикла "Записки юного врача". Молодые врачи Бомгард и Поляков, после окончания университета отправляются работать в российскую глубинку.</t>
        </is>
      </c>
      <c r="L3728" s="2" t="inlineStr">
        <is>
          <t>Кино_СССР сводный каталог.xlsx: список телефильмов</t>
        </is>
      </c>
      <c r="M3728" s="2">
        <f>HYPERLINK("https://ru.wikipedia.org/w/index.php?search=%D0%97%D0%B0%D0%BF%D0%B8%D1%81%D0%BA%D0%B8%20%D1%8E%D0%BD%D0%BE%D0%B3%D0%BE%20%D0%B2%D1%80%D0%B0%D1%87%D0%B0%201991%20%D1%84%D0%B8%D0%BB%D1%8C%D0%BC","искать")</f>
        <v/>
      </c>
      <c r="N3728" s="3" t="n"/>
      <c r="O3728" s="2" t="n"/>
    </row>
    <row r="3729">
      <c r="A3729" s="2" t="n">
        <v>3728</v>
      </c>
      <c r="B3729" s="2" t="inlineStr"/>
      <c r="C3729" s="2" t="n">
        <v>8359</v>
      </c>
      <c r="D3729" s="3" t="inlineStr">
        <is>
          <t>Случай из газетной практики</t>
        </is>
      </c>
      <c r="E3729" s="2" t="n">
        <v>1987</v>
      </c>
      <c r="F3729" s="2" t="inlineStr">
        <is>
          <t>телефильм</t>
        </is>
      </c>
      <c r="G3729" s="2" t="n"/>
      <c r="H3729" s="2" t="n">
        <v>383</v>
      </c>
      <c r="I3729" s="2" t="inlineStr"/>
      <c r="J3729" s="2" t="inlineStr"/>
      <c r="K3729" s="3" t="inlineStr">
        <is>
          <t>Социальная драма по одноименной пьесе Константина Щербакова. Герой фильма, журналист Алексей Кривцов, проявляя интуицию и волю, пытается досконально разобраться, каким образом в Институте гуманитарных проблем во времена начавшейся перестройки дается оценка важным историческим событиям. В своем рвении к истине герой сразу же наживает себе врага в лице директора института Шороховой.</t>
        </is>
      </c>
      <c r="L3729" s="2" t="inlineStr">
        <is>
          <t>Кино_СССР сводный каталог.xlsx: список телефильмов</t>
        </is>
      </c>
      <c r="M3729" s="2">
        <f>HYPERLINK("https://ru.wikipedia.org/w/index.php?search=%D0%A1%D0%BB%D1%83%D1%87%D0%B0%D0%B9%20%D0%B8%D0%B7%20%D0%B3%D0%B0%D0%B7%D0%B5%D1%82%D0%BD%D0%BE%D0%B9%20%D0%BF%D1%80%D0%B0%D0%BA%D1%82%D0%B8%D0%BA%D0%B8%201987%20%D1%84%D0%B8%D0%BB%D1%8C%D0%BC","искать")</f>
        <v/>
      </c>
      <c r="N3729" s="3" t="n"/>
      <c r="O3729" s="2" t="n"/>
    </row>
    <row r="3730">
      <c r="A3730" s="2" t="n">
        <v>3729</v>
      </c>
      <c r="B3730" s="2" t="inlineStr"/>
      <c r="C3730" s="2" t="n">
        <v>9272</v>
      </c>
      <c r="D3730" s="3" t="inlineStr">
        <is>
          <t>Виктория</t>
        </is>
      </c>
      <c r="E3730" s="2" t="n">
        <v>1988</v>
      </c>
      <c r="F3730" s="2" t="inlineStr">
        <is>
          <t>кинофильм</t>
        </is>
      </c>
      <c r="G3730" s="2" t="n"/>
      <c r="H3730" s="2" t="n">
        <v>383</v>
      </c>
      <c r="I3730" s="2" t="inlineStr"/>
      <c r="J3730" s="2" t="inlineStr"/>
      <c r="K3730" s="3" t="inlineStr">
        <is>
          <t>По мотивам одноименного романа Кнута Гамсуна. С раннего детства сын мельника Юханнес любит дочь богача Викторию. Они росли вместе и не чувствовали социальной разницы. Когда приходит время для замужества Виктории, ее отец хочет, чтобы она вышла замуж за богатого человека. Потрясенный горем Юханнес начинает писать стихи, уезжает и через некоторое время возвращается известным поэтом.</t>
        </is>
      </c>
      <c r="L3730" s="2" t="inlineStr">
        <is>
          <t>Кино_СССР сводный каталог.xlsx: список фильмов (доп.)</t>
        </is>
      </c>
      <c r="M3730" s="2">
        <f>HYPERLINK("https://ru.wikipedia.org/w/index.php?search=%D0%92%D0%B8%D0%BA%D1%82%D0%BE%D1%80%D0%B8%D1%8F%201988%20%D1%84%D0%B8%D0%BB%D1%8C%D0%BC","искать")</f>
        <v/>
      </c>
      <c r="N3730" s="3" t="n"/>
      <c r="O3730" s="2" t="n"/>
    </row>
    <row r="3731">
      <c r="A3731" s="2" t="n">
        <v>3730</v>
      </c>
      <c r="B3731" s="2" t="inlineStr"/>
      <c r="C3731" s="2" t="n">
        <v>9390</v>
      </c>
      <c r="D3731" s="3" t="inlineStr">
        <is>
          <t>Измена</t>
        </is>
      </c>
      <c r="E3731" s="2" t="n">
        <v>1933</v>
      </c>
      <c r="F3731" s="2" t="inlineStr">
        <is>
          <t>кинофильм</t>
        </is>
      </c>
      <c r="G3731" s="2" t="n"/>
      <c r="H3731" s="2" t="n">
        <v>383</v>
      </c>
      <c r="I3731" s="2" t="inlineStr"/>
      <c r="J3731" s="2" t="inlineStr"/>
      <c r="K3731" s="3" t="inlineStr">
        <is>
          <t>Психологическая драма в традициях соцреализма. Действие фильма происходит в дни предполагаемой войны. Герой не в силах расстаться с молодой женой; воспользовавшись ошибкой медкомиссии, он остается с ней вместо того, чтобы идти на фронт. Но жена, узнав об этом, уходит от него, как от дезертира. Осознав всю степень своей вины, герой отправляется на фронт, чтобы искупить вину кровью.</t>
        </is>
      </c>
      <c r="L3731" s="2" t="inlineStr">
        <is>
          <t>Кино_СССР сводный каталог.xlsx: список фильмов (доп.)</t>
        </is>
      </c>
      <c r="M3731" s="2">
        <f>HYPERLINK("https://ru.wikipedia.org/w/index.php?search=%D0%98%D0%B7%D0%BC%D0%B5%D0%BD%D0%B0%201933%20%D1%84%D0%B8%D0%BB%D1%8C%D0%BC","искать")</f>
        <v/>
      </c>
      <c r="N3731" s="3" t="n"/>
      <c r="O3731" s="2" t="n"/>
    </row>
    <row r="3732">
      <c r="A3732" s="2" t="n">
        <v>3731</v>
      </c>
      <c r="B3732" s="2" t="inlineStr"/>
      <c r="C3732" s="2" t="n">
        <v>9665</v>
      </c>
      <c r="D3732" s="3" t="inlineStr">
        <is>
          <t>Софья Грушко</t>
        </is>
      </c>
      <c r="E3732" s="2" t="n">
        <v>1972</v>
      </c>
      <c r="F3732" s="2" t="inlineStr">
        <is>
          <t>кинофильм</t>
        </is>
      </c>
      <c r="G3732" s="2" t="n"/>
      <c r="H3732" s="2" t="n">
        <v>383</v>
      </c>
      <c r="I3732" s="2" t="inlineStr"/>
      <c r="J3732" s="2" t="inlineStr"/>
      <c r="K3732" s="3" t="inlineStr">
        <is>
          <t>Во время Великой Отечественной, ведя подпольную работу в оккупированном Киеве, медсестра Софья Грушко вынуждена пойти на службу к фашистам, стрелять в пленного советского офицера Семена Лихолая, которого потом сама же спасла и выходила после ранения. Спустя много лет они встретились в доме Софьи, и Семен, не зная всей правды, рассказал ее взрослым дочерям, что их мать — предатель.</t>
        </is>
      </c>
      <c r="L3732" s="2" t="inlineStr">
        <is>
          <t>Кино_СССР сводный каталог.xlsx: список фильмов (доп.)</t>
        </is>
      </c>
      <c r="M3732" s="2">
        <f>HYPERLINK("https://ru.wikipedia.org/w/index.php?search=%D0%A1%D0%BE%D1%84%D1%8C%D1%8F%20%D0%93%D1%80%D1%83%D1%88%D0%BA%D0%BE%201972%20%D1%84%D0%B8%D0%BB%D1%8C%D0%BC","искать")</f>
        <v/>
      </c>
      <c r="N3732" s="3" t="n"/>
      <c r="O3732" s="2" t="n"/>
    </row>
    <row r="3733">
      <c r="A3733" s="2" t="n">
        <v>3732</v>
      </c>
      <c r="B3733" s="2" t="inlineStr"/>
      <c r="C3733" s="2" t="n">
        <v>7653</v>
      </c>
      <c r="D3733" s="3" t="inlineStr">
        <is>
          <t>Золотая стрела</t>
        </is>
      </c>
      <c r="E3733" s="2" t="n">
        <v>1980</v>
      </c>
      <c r="F3733" s="2" t="inlineStr">
        <is>
          <t>телефильм</t>
        </is>
      </c>
      <c r="G3733" s="2" t="n"/>
      <c r="H3733" s="2" t="n">
        <v>384</v>
      </c>
      <c r="I3733" s="2" t="inlineStr"/>
      <c r="J3733" s="2" t="inlineStr"/>
      <c r="K3733" s="3" t="inlineStr">
        <is>
          <t>Телефильм. Режиссерский дебют в кино Сайдо Курбанова. О легенде таджикского спорта, абсолютной чемпионке мира по стрельбе из лука и призере Олимпийских игр, Зебунисо Рустамовой. Студентка Анор завоевала звание чемпионки страны по стрельбе из лука. В этом немалая заслуга ее тренера. Чтобы прийти к победе, ей многое пришлось преодолеть в непросто складывающихся отношениях между ними.</t>
        </is>
      </c>
      <c r="L3733" s="2" t="inlineStr">
        <is>
          <t>Кино_СССР сводный каталог.xlsx: список телефильмов</t>
        </is>
      </c>
      <c r="M3733" s="2">
        <f>HYPERLINK("https://ru.wikipedia.org/w/index.php?search=%D0%97%D0%BE%D0%BB%D0%BE%D1%82%D0%B0%D1%8F%20%D1%81%D1%82%D1%80%D0%B5%D0%BB%D0%B0%201980%20%D1%84%D0%B8%D0%BB%D1%8C%D0%BC","искать")</f>
        <v/>
      </c>
      <c r="N3733" s="3" t="n"/>
      <c r="O3733" s="2" t="n"/>
    </row>
    <row r="3734">
      <c r="A3734" s="2" t="n">
        <v>3733</v>
      </c>
      <c r="B3734" s="2" t="inlineStr"/>
      <c r="C3734" s="2" t="n">
        <v>8544</v>
      </c>
      <c r="D3734" s="3" t="inlineStr">
        <is>
          <t>Частное лицо</t>
        </is>
      </c>
      <c r="E3734" s="2" t="n">
        <v>1980</v>
      </c>
      <c r="F3734" s="2" t="inlineStr">
        <is>
          <t>телефильм</t>
        </is>
      </c>
      <c r="G3734" s="2" t="n"/>
      <c r="H3734" s="2" t="n">
        <v>384</v>
      </c>
      <c r="I3734" s="2" t="inlineStr"/>
      <c r="J3734" s="2" t="inlineStr"/>
      <c r="K3734" s="3" t="inlineStr">
        <is>
          <t>Полковник МВД - Лукьянов - едет с женой на отдых в курортный городок, где живет его друг, сотрудник местной милиции майор Алексеев. При встрече старые друзья договариваются увидеться на следующий день, при этом Алексеев явно озабочен каким-то делом, которое, по его словам, следует закончить. Ночью Алексеев один отправляется на задание, в ходе выполнения которого его сбивает машина.</t>
        </is>
      </c>
      <c r="L3734" s="2" t="inlineStr">
        <is>
          <t>Кино_СССР сводный каталог.xlsx: список телефильмов</t>
        </is>
      </c>
      <c r="M3734" s="2">
        <f>HYPERLINK("https://ru.wikipedia.org/w/index.php?search=%D0%A7%D0%B0%D1%81%D1%82%D0%BD%D0%BE%D0%B5%20%D0%BB%D0%B8%D1%86%D0%BE%201980%20%D1%84%D0%B8%D0%BB%D1%8C%D0%BC","искать")</f>
        <v/>
      </c>
      <c r="N3734" s="3" t="n"/>
      <c r="O3734" s="2" t="n"/>
    </row>
    <row r="3735">
      <c r="A3735" s="2" t="n">
        <v>3734</v>
      </c>
      <c r="B3735" s="2" t="inlineStr"/>
      <c r="C3735" s="2" t="n">
        <v>9263</v>
      </c>
      <c r="D3735" s="3" t="inlineStr">
        <is>
          <t>Валентина</t>
        </is>
      </c>
      <c r="E3735" s="2" t="n">
        <v>1980</v>
      </c>
      <c r="F3735" s="2" t="inlineStr">
        <is>
          <t>кинофильм</t>
        </is>
      </c>
      <c r="G3735" s="2" t="n"/>
      <c r="H3735" s="2" t="n">
        <v>384</v>
      </c>
      <c r="I3735" s="2" t="inlineStr"/>
      <c r="J3735" s="2" t="inlineStr"/>
      <c r="K3735" s="3" t="inlineStr">
        <is>
          <t>По пьесе А.В.Вампилова "Прошлым летом в Чулимске". Небольшой таёжный поселок. Здесь всё на виду. И Валентине - 18-летней буфетчице - не скрыть своей любви к приехавшему следователю. Она и не скрывает, а потому и покоряет его жёсткий и неуживчивый характер. Но на пути к их счастью - безнадежно влюблённый в неё Павел, который насильно овладевает ею, надеясь, что она станет его женой.</t>
        </is>
      </c>
      <c r="L3735" s="2" t="inlineStr">
        <is>
          <t>Кино_СССР сводный каталог.xlsx: список фильмов (доп.)</t>
        </is>
      </c>
      <c r="M3735" s="2">
        <f>HYPERLINK("https://ru.wikipedia.org/w/index.php?search=%D0%92%D0%B0%D0%BB%D0%B5%D0%BD%D1%82%D0%B8%D0%BD%D0%B0%201980%20%D1%84%D0%B8%D0%BB%D1%8C%D0%BC","искать")</f>
        <v/>
      </c>
      <c r="N3735" s="3" t="n"/>
      <c r="O3735" s="2" t="n"/>
    </row>
    <row r="3736">
      <c r="A3736" s="2" t="n">
        <v>3735</v>
      </c>
      <c r="B3736" s="2" t="inlineStr"/>
      <c r="C3736" s="2" t="n">
        <v>11338</v>
      </c>
      <c r="D3736" s="3" t="inlineStr">
        <is>
          <t>Женитьба</t>
        </is>
      </c>
      <c r="E3736" s="2" t="n">
        <v>1991</v>
      </c>
      <c r="F3736" s="2" t="inlineStr">
        <is>
          <t>фильм-спектакль</t>
        </is>
      </c>
      <c r="G3736" s="2" t="inlineStr">
        <is>
          <t>Главная редакция литературно-художественных программ ЦТ</t>
        </is>
      </c>
      <c r="H3736" s="2" t="n">
        <v>384</v>
      </c>
      <c r="I3736" s="2" t="inlineStr"/>
      <c r="J3736" s="2" t="inlineStr"/>
      <c r="K3736" s="3" t="inlineStr">
        <is>
          <t>По одноименной комедии Н.В. Гоголя в постановке Воронежского академического драматического театра имени А.В. Кольцова.
Надворный советник Подколесин намерен жениться, но, несмотря на помощь свахи, никак не может довести дело до финала. На помощь ему приходит друг Кочкарев, который умело плетет интриги, сводит своего подопечного с невестой и попутно отваживает от нее других женихов.</t>
        </is>
      </c>
      <c r="L3736" s="2" t="inlineStr">
        <is>
          <t>https://www.kino-teatr.ru/teatr/movie/107632/annot/</t>
        </is>
      </c>
      <c r="M3736" s="2">
        <f>HYPERLINK("https://ru.wikipedia.org/w/index.php?search=%D0%96%D0%B5%D0%BD%D0%B8%D1%82%D1%8C%D0%B1%D0%B0%201991%20%D1%84%D0%B8%D0%BB%D1%8C%D0%BC","искать")</f>
        <v/>
      </c>
      <c r="N3736" s="3" t="n"/>
      <c r="O3736" s="2" t="n"/>
    </row>
    <row r="3737">
      <c r="A3737" s="2" t="n">
        <v>3736</v>
      </c>
      <c r="B3737" s="2" t="inlineStr"/>
      <c r="C3737" s="2" t="n">
        <v>7550</v>
      </c>
      <c r="D3737" s="3" t="inlineStr">
        <is>
          <t>Дорога в ад</t>
        </is>
      </c>
      <c r="E3737" s="2" t="n">
        <v>1988</v>
      </c>
      <c r="F3737" s="2" t="inlineStr">
        <is>
          <t>телефильм</t>
        </is>
      </c>
      <c r="G3737" s="2" t="n"/>
      <c r="H3737" s="2" t="n">
        <v>385</v>
      </c>
      <c r="I3737" s="2" t="inlineStr"/>
      <c r="J3737" s="2" t="inlineStr"/>
      <c r="K3737" s="3" t="inlineStr">
        <is>
          <t>"Дорогой в ад" стала жизнь молодых людей Марины и ее брата Олега, пристрастившихся к наркотикам. За их сломанными судьбами стоят люди, которых молодые люди считают своими благодетелями. Наркоторговцы не останавливаются ни перед чем, чтобы расширять рынки сбыта. Угрожая физической расправой, они пытаются втянуть в свой бизнес лаборантку Катю и ее друга водителя-дальнобойщика Алексея.</t>
        </is>
      </c>
      <c r="L3737" s="2" t="inlineStr">
        <is>
          <t>Кино_СССР сводный каталог.xlsx: список телефильмов</t>
        </is>
      </c>
      <c r="M3737" s="2">
        <f>HYPERLINK("https://ru.wikipedia.org/w/index.php?search=%D0%94%D0%BE%D1%80%D0%BE%D0%B3%D0%B0%20%D0%B2%20%D0%B0%D0%B4%201988%20%D1%84%D0%B8%D0%BB%D1%8C%D0%BC","искать")</f>
        <v/>
      </c>
      <c r="N3737" s="3" t="n"/>
      <c r="O3737" s="2" t="n"/>
    </row>
    <row r="3738">
      <c r="A3738" s="2" t="n">
        <v>3737</v>
      </c>
      <c r="B3738" s="2" t="inlineStr"/>
      <c r="C3738" s="2" t="n">
        <v>8156</v>
      </c>
      <c r="D3738" s="3" t="inlineStr">
        <is>
          <t>Полигон</t>
        </is>
      </c>
      <c r="E3738" s="2" t="n">
        <v>1982</v>
      </c>
      <c r="F3738" s="2" t="inlineStr">
        <is>
          <t>телефильм</t>
        </is>
      </c>
      <c r="G3738" s="2" t="n"/>
      <c r="H3738" s="2" t="n">
        <v>385</v>
      </c>
      <c r="I3738" s="2" t="inlineStr"/>
      <c r="J3738" s="2" t="inlineStr"/>
      <c r="K3738" s="3" t="inlineStr">
        <is>
          <t>По мотивам повести А.Жука "Звезды над полигоном". Командир дивизии Лукошин назначает командиром офицерских сборов подполковника Белова, давно заслужившего славу умелого наставника молодежи. На сборы прибывают лейтенанты запаса, призванные в армию на два года после окончания вуза. Белов учит молодых офицеров быть сильными, выносливыми, чтобы они могли выйти живыми из любого сражения.</t>
        </is>
      </c>
      <c r="L3738" s="2" t="inlineStr">
        <is>
          <t>Кино_СССР сводный каталог.xlsx: список телефильмов</t>
        </is>
      </c>
      <c r="M3738" s="2">
        <f>HYPERLINK("https://ru.wikipedia.org/w/index.php?search=%D0%9F%D0%BE%D0%BB%D0%B8%D0%B3%D0%BE%D0%BD%201982%20%D1%84%D0%B8%D0%BB%D1%8C%D0%BC","искать")</f>
        <v/>
      </c>
      <c r="N3738" s="3" t="n"/>
      <c r="O3738" s="2" t="n"/>
    </row>
    <row r="3739">
      <c r="A3739" s="2" t="n">
        <v>3738</v>
      </c>
      <c r="B3739" s="2" t="inlineStr"/>
      <c r="C3739" s="2" t="n">
        <v>8489</v>
      </c>
      <c r="D3739" s="3" t="inlineStr">
        <is>
          <t>Труффальдино из Бергамо</t>
        </is>
      </c>
      <c r="E3739" s="2" t="n">
        <v>1976</v>
      </c>
      <c r="F3739" s="2" t="inlineStr">
        <is>
          <t>телефильм</t>
        </is>
      </c>
      <c r="G3739" s="2" t="n"/>
      <c r="H3739" s="2" t="n">
        <v>385</v>
      </c>
      <c r="I3739" s="2" t="inlineStr"/>
      <c r="J3739" s="2" t="inlineStr"/>
      <c r="K3739" s="3" t="inlineStr">
        <is>
          <t>Телефильм. Еще никто не мог служить двум господам одновременно, но ловкий и изворотливый плут Труффальдино с легкостью опровергает это в блестящей музыкальной комедии по мотивам пьесы Карло Гольдони "Слуга двух господ". Обаятельный мошенник в феерическом исполнении Константина Райкина умудряется с выгодой для своего кармана устроить личное счастье своих господ и своё, конечно, тоже.</t>
        </is>
      </c>
      <c r="L3739" s="2" t="inlineStr">
        <is>
          <t>Кино_СССР сводный каталог.xlsx: список телефильмов</t>
        </is>
      </c>
      <c r="M3739" s="2">
        <f>HYPERLINK("https://ru.wikipedia.org/w/index.php?search=%D0%A2%D1%80%D1%83%D1%84%D1%84%D0%B0%D0%BB%D1%8C%D0%B4%D0%B8%D0%BD%D0%BE%20%D0%B8%D0%B7%20%D0%91%D0%B5%D1%80%D0%B3%D0%B0%D0%BC%D0%BE%201976%20%D1%84%D0%B8%D0%BB%D1%8C%D0%BC","искать")</f>
        <v/>
      </c>
      <c r="N3739" s="3" t="n"/>
      <c r="O3739" s="2" t="n"/>
    </row>
    <row r="3740">
      <c r="A3740" s="2" t="n">
        <v>3739</v>
      </c>
      <c r="B3740" s="2" t="inlineStr"/>
      <c r="C3740" s="2" t="n">
        <v>8593</v>
      </c>
      <c r="D3740" s="3" t="inlineStr">
        <is>
          <t>Эта мужская дружба</t>
        </is>
      </c>
      <c r="E3740" s="2" t="n">
        <v>1982</v>
      </c>
      <c r="F3740" s="2" t="inlineStr">
        <is>
          <t>телефильм</t>
        </is>
      </c>
      <c r="G3740" s="2" t="n"/>
      <c r="H3740" s="2" t="n">
        <v>385</v>
      </c>
      <c r="I3740" s="2" t="inlineStr"/>
      <c r="J3740" s="2" t="inlineStr"/>
      <c r="K3740" s="3" t="inlineStr">
        <is>
          <t>Старые друзья, бывшие фронтовики, не на шутку вдруг повздорили: начальник строительства коврового комбината Петр Сорбу вполне искренне считает, что вначале надо строить комбинат, а городок для работников — дело второе; архитектор Антон Греку так же искренно не понимает, как люди будут выполнять план, если им негде жить, и в конце концов отстаивает приоритетное строительство городка.</t>
        </is>
      </c>
      <c r="L3740" s="2" t="inlineStr">
        <is>
          <t>Кино_СССР сводный каталог.xlsx: список телефильмов</t>
        </is>
      </c>
      <c r="M3740" s="2">
        <f>HYPERLINK("https://ru.wikipedia.org/w/index.php?search=%D0%AD%D1%82%D0%B0%20%D0%BC%D1%83%D0%B6%D1%81%D0%BA%D0%B0%D1%8F%20%D0%B4%D1%80%D1%83%D0%B6%D0%B1%D0%B0%201982%20%D1%84%D0%B8%D0%BB%D1%8C%D0%BC","искать")</f>
        <v/>
      </c>
      <c r="N3740" s="3" t="n"/>
      <c r="O3740" s="2" t="n"/>
    </row>
    <row r="3741">
      <c r="A3741" s="2" t="n">
        <v>3740</v>
      </c>
      <c r="B3741" s="2" t="inlineStr"/>
      <c r="C3741" s="2" t="n">
        <v>10129</v>
      </c>
      <c r="D3741" s="3" t="inlineStr">
        <is>
          <t>Совесть не прощает</t>
        </is>
      </c>
      <c r="E3741" s="2" t="n">
        <v>1964</v>
      </c>
      <c r="F3741" s="2" t="inlineStr">
        <is>
          <t>фильм-спектакль</t>
        </is>
      </c>
      <c r="G3741" s="2" t="inlineStr">
        <is>
          <t>Центральное телевидение / Ленинградская студия телевидения</t>
        </is>
      </c>
      <c r="H3741" s="2" t="n">
        <v>385</v>
      </c>
      <c r="I3741" s="2" t="inlineStr"/>
      <c r="J3741" s="2" t="inlineStr"/>
      <c r="K3741" s="3" t="inlineStr">
        <is>
          <t>По пьесе Токтоболота Абдомаму́нова "Обжалованию не подлежит".
Телеспектакль посвящен вопросам морали, рассказывает об испытаниях любви и дружбы.
Главный герой Нурдин - человек, не сумевший защитить дружбу и любовь, отступивший перед коварством и лицемерием. Доброжелательного зрителя олицетворяет Старик - персонаж, стоящий как бы вне сюжета. Нурдин рассказывает Старику о своей жизни.</t>
        </is>
      </c>
      <c r="L3741" s="2" t="inlineStr">
        <is>
          <t>https://www.kino-teatr.ru/teatr/movie/8284/annot/</t>
        </is>
      </c>
      <c r="M3741" s="2">
        <f>HYPERLINK("https://ru.wikipedia.org/w/index.php?search=%D0%A1%D0%BE%D0%B2%D0%B5%D1%81%D1%82%D1%8C%20%D0%BD%D0%B5%20%D0%BF%D1%80%D0%BE%D1%89%D0%B0%D0%B5%D1%82%201964%20%D1%84%D0%B8%D0%BB%D1%8C%D0%BC","искать")</f>
        <v/>
      </c>
      <c r="N3741" s="3" t="n"/>
      <c r="O3741" s="2" t="n"/>
    </row>
    <row r="3742">
      <c r="A3742" s="2" t="n">
        <v>3741</v>
      </c>
      <c r="B3742" s="2" t="inlineStr"/>
      <c r="C3742" s="2" t="n">
        <v>7711</v>
      </c>
      <c r="D3742" s="3" t="inlineStr">
        <is>
          <t>Капитан Немо</t>
        </is>
      </c>
      <c r="E3742" s="2" t="n">
        <v>1975</v>
      </c>
      <c r="F3742" s="2" t="inlineStr">
        <is>
          <t>телефильм</t>
        </is>
      </c>
      <c r="G3742" s="2" t="n"/>
      <c r="H3742" s="2" t="n">
        <v>386</v>
      </c>
      <c r="I3742" s="2" t="inlineStr"/>
      <c r="J3742" s="2" t="inlineStr"/>
      <c r="K3742" s="3" t="inlineStr">
        <is>
          <t>Телесериал снят по мотивам романов Жюля Верна "20000 лье под водой" и "Паровой дом". Морское чудовище уничтожает военные корабли, и знаменитый профессор Аронакс отправляется в карательную экспедицию. После неудачного сражения с чудовищем корабль идет ко дну, а профессор, его слуга Консель и китобой Нед Лэнд попадают на подводный корабль и совершают удивительное путешествие под водой.</t>
        </is>
      </c>
      <c r="L3742" s="2" t="inlineStr">
        <is>
          <t>Кино_СССР сводный каталог.xlsx: список телефильмов</t>
        </is>
      </c>
      <c r="M3742" s="2">
        <f>HYPERLINK("https://ru.wikipedia.org/w/index.php?search=%D0%9A%D0%B0%D0%BF%D0%B8%D1%82%D0%B0%D0%BD%20%D0%9D%D0%B5%D0%BC%D0%BE%201975%20%D1%84%D0%B8%D0%BB%D1%8C%D0%BC","искать")</f>
        <v/>
      </c>
      <c r="N3742" s="3" t="n"/>
      <c r="O3742" s="2" t="n"/>
    </row>
    <row r="3743">
      <c r="A3743" s="2" t="n">
        <v>3742</v>
      </c>
      <c r="B3743" s="2" t="inlineStr"/>
      <c r="C3743" s="2" t="n">
        <v>11174</v>
      </c>
      <c r="D3743" s="3" t="inlineStr">
        <is>
          <t>Недоросль</t>
        </is>
      </c>
      <c r="E3743" s="2" t="n">
        <v>1987</v>
      </c>
      <c r="F3743" s="2" t="inlineStr">
        <is>
          <t>фильм-спектакль</t>
        </is>
      </c>
      <c r="G3743" s="2" t="inlineStr">
        <is>
          <t>ТО "Экран"</t>
        </is>
      </c>
      <c r="H3743" s="2" t="n">
        <v>386</v>
      </c>
      <c r="I3743" s="2" t="inlineStr"/>
      <c r="J3743" s="2" t="inlineStr"/>
      <c r="K3743" s="3" t="inlineStr">
        <is>
          <t>По одноименной пьесе Д.И.Фонвизина.
В основе — спектакль Малого театра СССР.
Помещичья усадьба. Семейство Простаковых. Здесь все подчинено воле полновластной хозяйки, опекающей и не дозволяющей вольности не только своим дворовым, но и родным. Единственная радость и отрада материнскому сердцу - любимый сыночек Митрофанушка, для которого не жалко ничего, в том числе и наемных учителей.</t>
        </is>
      </c>
      <c r="L3743" s="2" t="inlineStr">
        <is>
          <t>https://www.kino-teatr.ru/teatr/movie/4365/annot/</t>
        </is>
      </c>
      <c r="M3743" s="2">
        <f>HYPERLINK("https://ru.wikipedia.org/w/index.php?search=%D0%9D%D0%B5%D0%B4%D0%BE%D1%80%D0%BE%D1%81%D0%BB%D1%8C%201987%20%D1%84%D0%B8%D0%BB%D1%8C%D0%BC","искать")</f>
        <v/>
      </c>
      <c r="N3743" s="3" t="n"/>
      <c r="O3743" s="2" t="n"/>
    </row>
    <row r="3744">
      <c r="A3744" s="2" t="n">
        <v>3743</v>
      </c>
      <c r="B3744" s="2" t="inlineStr"/>
      <c r="C3744" s="2" t="n">
        <v>7215</v>
      </c>
      <c r="D3744" s="3" t="inlineStr">
        <is>
          <t>Апрельские сны</t>
        </is>
      </c>
      <c r="E3744" s="2" t="n">
        <v>1980</v>
      </c>
      <c r="F3744" s="2" t="inlineStr">
        <is>
          <t>телефильм</t>
        </is>
      </c>
      <c r="G3744" s="2" t="inlineStr">
        <is>
          <t>Таджикфильм</t>
        </is>
      </c>
      <c r="H3744" s="2" t="n">
        <v>387</v>
      </c>
      <c r="I3744" s="2" t="inlineStr"/>
      <c r="J3744" s="2" t="inlineStr"/>
      <c r="K3744" s="3" t="inlineStr">
        <is>
          <t>Телефильм. О дружбе русского и таджикского юношей. Зоотехник зоопарка Коля срочно уезжает к невесте. Заботу о его питомце - медвежонке - берет на себя Анвар. Медвежонок вовлекает Анвара в самые невероятные, смешные и грустные истории. Но где бы они ни оказались: в небольшом городке солнечного Таджикистана или далеко на Севере, - всюду они ощущают доброту и участие окружающих их людей.</t>
        </is>
      </c>
      <c r="L3744" s="2" t="inlineStr">
        <is>
          <t>Кино_СССР сводный каталог.xlsx: список телефильмов</t>
        </is>
      </c>
      <c r="M3744" s="2">
        <f>HYPERLINK("https://ru.wikipedia.org/w/index.php?search=%D0%90%D0%BF%D1%80%D0%B5%D0%BB%D1%8C%D1%81%D0%BA%D0%B8%D0%B5%20%D1%81%D0%BD%D1%8B%201980%20%D1%84%D0%B8%D0%BB%D1%8C%D0%BC","искать")</f>
        <v/>
      </c>
      <c r="N3744" s="3" t="n"/>
      <c r="O3744" s="2" t="n"/>
    </row>
    <row r="3745">
      <c r="A3745" s="2" t="n">
        <v>3744</v>
      </c>
      <c r="B3745" s="2" t="inlineStr"/>
      <c r="C3745" s="2" t="n">
        <v>7784</v>
      </c>
      <c r="D3745" s="3" t="inlineStr">
        <is>
          <t>Купальская ночь</t>
        </is>
      </c>
      <c r="E3745" s="2" t="n">
        <v>1982</v>
      </c>
      <c r="F3745" s="2" t="inlineStr">
        <is>
          <t>телефильм</t>
        </is>
      </c>
      <c r="G3745" s="2" t="n"/>
      <c r="H3745" s="2" t="n">
        <v>387</v>
      </c>
      <c r="I3745" s="2" t="inlineStr"/>
      <c r="J3745" s="2" t="inlineStr"/>
      <c r="K3745" s="3" t="inlineStr">
        <is>
          <t>Василий и Зося любят друг друга, но родители против их брака. Приближается праздник Ивана Купалы. В ночь можно узнать свою дальнейшую судьбу, можно очиститься от всего худого, набраться сил и здоровья. В эту волшебную ночь не спят, жгут костры, поют песни. В эту ночь происходят разные забавные приключения, веселые розыгрыши, а кому-то доведется испытать силу и очарование первой любви.</t>
        </is>
      </c>
      <c r="L3745" s="2" t="inlineStr">
        <is>
          <t>Кино_СССР сводный каталог.xlsx: список телефильмов</t>
        </is>
      </c>
      <c r="M3745" s="2">
        <f>HYPERLINK("https://ru.wikipedia.org/w/index.php?search=%D0%9A%D1%83%D0%BF%D0%B0%D0%BB%D1%8C%D1%81%D0%BA%D0%B0%D1%8F%20%D0%BD%D0%BE%D1%87%D1%8C%201982%20%D1%84%D0%B8%D0%BB%D1%8C%D0%BC","искать")</f>
        <v/>
      </c>
      <c r="N3745" s="3" t="n"/>
      <c r="O3745" s="2" t="n"/>
    </row>
    <row r="3746">
      <c r="A3746" s="2" t="n">
        <v>3745</v>
      </c>
      <c r="B3746" s="2" t="inlineStr"/>
      <c r="C3746" s="2" t="n">
        <v>8696</v>
      </c>
      <c r="D3746" s="3" t="inlineStr">
        <is>
          <t>День казни</t>
        </is>
      </c>
      <c r="E3746" s="2" t="n">
        <v>1990</v>
      </c>
      <c r="F3746" s="2" t="inlineStr">
        <is>
          <t>кинофильм</t>
        </is>
      </c>
      <c r="G3746" s="2" t="n"/>
      <c r="H3746" s="2" t="n">
        <v>387</v>
      </c>
      <c r="I3746" s="2" t="inlineStr"/>
      <c r="J3746" s="2" t="inlineStr"/>
      <c r="K3746" s="3" t="inlineStr">
        <is>
          <t>По мотивам одноименного романа Юсифа Самедоглу. Литературовед, найдя рукопись азербайджанского писателя Сади-эффенди, репрессированного в 30-е годы и давно уже реабилитированного, безуспешно пытается ее опубликовать. Время не терпит, к тому же литературовед серьезно болен. Светлая цель возбуждает воображение литератора — и он начинает писать книгу о Сади-эффенди и неправедном времени.</t>
        </is>
      </c>
      <c r="L3746" s="2" t="inlineStr">
        <is>
          <t>Кино_СССР сводный каталог.xlsx: список фильмов (доп.)</t>
        </is>
      </c>
      <c r="M3746" s="2">
        <f>HYPERLINK("https://ru.wikipedia.org/w/index.php?search=%D0%94%D0%B5%D0%BD%D1%8C%20%D0%BA%D0%B0%D0%B7%D0%BD%D0%B8%201990%20%D1%84%D0%B8%D0%BB%D1%8C%D0%BC","искать")</f>
        <v/>
      </c>
      <c r="N3746" s="3" t="n"/>
      <c r="O3746" s="2" t="n"/>
    </row>
    <row r="3747">
      <c r="A3747" s="2" t="n">
        <v>3746</v>
      </c>
      <c r="B3747" s="2" t="inlineStr"/>
      <c r="C3747" s="2" t="n">
        <v>9553</v>
      </c>
      <c r="D3747" s="3" t="inlineStr">
        <is>
          <t>По 206-й...</t>
        </is>
      </c>
      <c r="E3747" s="2" t="n">
        <v>1990</v>
      </c>
      <c r="F3747" s="2" t="inlineStr">
        <is>
          <t>кинофильм</t>
        </is>
      </c>
      <c r="G3747" s="2" t="n"/>
      <c r="H3747" s="2" t="n">
        <v>387</v>
      </c>
      <c r="I3747" s="2" t="inlineStr"/>
      <c r="J3747" s="2" t="inlineStr"/>
      <c r="K3747" s="3" t="inlineStr">
        <is>
          <t>По одноименному произведению Василия Белова. Законы пишут люди, по законам живут люди, законы исполняют люди. Но закон - не значит справедливость, если его можно повернуть в разные стороны. И тогда за совершенный пустяк вполне возможно искорежить судьбу человека... Сельский тракторист Костя Смагин совершил мелкое хулиганство, но попал под очередную кампанию, на этот раз перестроечную.</t>
        </is>
      </c>
      <c r="L3747" s="2" t="inlineStr">
        <is>
          <t>Кино_СССР сводный каталог.xlsx: список фильмов (доп.)</t>
        </is>
      </c>
      <c r="M3747" s="2">
        <f>HYPERLINK("https://ru.wikipedia.org/w/index.php?search=%D0%9F%D0%BE%20206-%D0%B9...%201990%20%D1%84%D0%B8%D0%BB%D1%8C%D0%BC","искать")</f>
        <v/>
      </c>
      <c r="N3747" s="3" t="n"/>
      <c r="O3747" s="2" t="n"/>
    </row>
    <row r="3748">
      <c r="A3748" s="2" t="n">
        <v>3747</v>
      </c>
      <c r="B3748" s="2" t="inlineStr"/>
      <c r="C3748" s="2" t="n">
        <v>9590</v>
      </c>
      <c r="D3748" s="3" t="inlineStr">
        <is>
          <t>Приходи свободным</t>
        </is>
      </c>
      <c r="E3748" s="2" t="n">
        <v>1984</v>
      </c>
      <c r="F3748" s="2" t="inlineStr">
        <is>
          <t>кинофильм</t>
        </is>
      </c>
      <c r="G3748" s="2" t="n"/>
      <c r="H3748" s="2" t="n">
        <v>387</v>
      </c>
      <c r="I3748" s="2" t="inlineStr"/>
      <c r="J3748" s="2" t="inlineStr"/>
      <c r="K3748" s="3" t="inlineStr">
        <is>
          <t>Широкоформатный фильм. 1918 год. Северный Кавказ, гражданская война. После революционного подъема, во время которого удалось собрать Первый съезд народов Терской области, наступил временный спад. Деникинские войска зверствуют - и партия уходит в подполье, продолжая свою революционную деятельность. Появление в городе большевика Асланбека замечают деникинцы и начинают слежку за связным.</t>
        </is>
      </c>
      <c r="L3748" s="2" t="inlineStr">
        <is>
          <t>Кино_СССР сводный каталог.xlsx: список фильмов (доп.)</t>
        </is>
      </c>
      <c r="M3748" s="2">
        <f>HYPERLINK("https://ru.wikipedia.org/w/index.php?search=%D0%9F%D1%80%D0%B8%D1%85%D0%BE%D0%B4%D0%B8%20%D1%81%D0%B2%D0%BE%D0%B1%D0%BE%D0%B4%D0%BD%D1%8B%D0%BC%201984%20%D1%84%D0%B8%D0%BB%D1%8C%D0%BC","искать")</f>
        <v/>
      </c>
      <c r="N3748" s="3" t="n"/>
      <c r="O3748" s="2" t="n"/>
    </row>
    <row r="3749">
      <c r="A3749" s="2" t="n">
        <v>3748</v>
      </c>
      <c r="B3749" s="2" t="inlineStr"/>
      <c r="C3749" s="2" t="n">
        <v>9747</v>
      </c>
      <c r="D3749" s="3" t="inlineStr">
        <is>
          <t>Человек из чёрной "Волги"</t>
        </is>
      </c>
      <c r="E3749" s="2" t="n">
        <v>1990</v>
      </c>
      <c r="F3749" s="2" t="inlineStr">
        <is>
          <t>кинофильм</t>
        </is>
      </c>
      <c r="G3749" s="2" t="n"/>
      <c r="H3749" s="2" t="n">
        <v>387</v>
      </c>
      <c r="I3749" s="2" t="inlineStr"/>
      <c r="J3749" s="2" t="inlineStr"/>
      <c r="K3749" s="3" t="inlineStr">
        <is>
          <t>По мотивам романа А. Молчанова "Новый год в октябре". О молодом ученом - обаятельном и целеустремлённом приспособленце и карьеристе новейшего, перестроечного образца, - который ради карьеры идет на обман, мошенничество и убийство... Стараясь максимально использовать служебное положение отца - крупного учёного, директора института, он всячески стремится "застолбить" своё место в науке.</t>
        </is>
      </c>
      <c r="L3749" s="2" t="inlineStr">
        <is>
          <t>Кино_СССР сводный каталог.xlsx: список фильмов (доп.)</t>
        </is>
      </c>
      <c r="M3749" s="2">
        <f>HYPERLINK("https://ru.wikipedia.org/w/index.php?search=%D0%A7%D0%B5%D0%BB%D0%BE%D0%B2%D0%B5%D0%BA%20%D0%B8%D0%B7%20%D1%87%D1%91%D1%80%D0%BD%D0%BE%D0%B9%20%22%D0%92%D0%BE%D0%BB%D0%B3%D0%B8%22%201990%20%D1%84%D0%B8%D0%BB%D1%8C%D0%BC","искать")</f>
        <v/>
      </c>
      <c r="N3749" s="3" t="n"/>
      <c r="O3749" s="2" t="n"/>
    </row>
    <row r="3750">
      <c r="A3750" s="2" t="n">
        <v>3749</v>
      </c>
      <c r="B3750" s="2" t="inlineStr"/>
      <c r="C3750" s="2" t="n">
        <v>10821</v>
      </c>
      <c r="D3750" s="3" t="inlineStr">
        <is>
          <t>Униженные и оскорблённые</t>
        </is>
      </c>
      <c r="E3750" s="2" t="n">
        <v>1979</v>
      </c>
      <c r="F3750" s="2" t="inlineStr">
        <is>
          <t>фильм-спектакль</t>
        </is>
      </c>
      <c r="G3750" s="2" t="n"/>
      <c r="H3750" s="2" t="n">
        <v>387</v>
      </c>
      <c r="I3750" s="2" t="inlineStr"/>
      <c r="J3750" s="2" t="inlineStr"/>
      <c r="K3750" s="3" t="inlineStr">
        <is>
          <t>Экранизация одноименного романа Ф.М. Достоевского.
В основе телепостановки — спектакль Малого театра (Москва, 1976).
Мечтательный писатель Иван Петрович любит девушку — Наташу Ихменеву — и видит в любви к ней все счастье своей жизни. Она же, хотя и понимает высоту его души, отдает предпочтение человеку, гораздо менее достойному, — ветреному, бесхарактерному красавцу Алеше Валковскому.</t>
        </is>
      </c>
      <c r="L3750" s="2" t="inlineStr">
        <is>
          <t>https://www.kino-teatr.ru/teatr/movie/80053/annot/</t>
        </is>
      </c>
      <c r="M3750" s="2">
        <f>HYPERLINK("https://ru.wikipedia.org/w/index.php?search=%D0%A3%D0%BD%D0%B8%D0%B6%D0%B5%D0%BD%D0%BD%D1%8B%D0%B5%20%D0%B8%20%D0%BE%D1%81%D0%BA%D0%BE%D1%80%D0%B1%D0%BB%D1%91%D0%BD%D0%BD%D1%8B%D0%B5%201979%20%D1%84%D0%B8%D0%BB%D1%8C%D0%BC","искать")</f>
        <v/>
      </c>
      <c r="N3750" s="3" t="n"/>
      <c r="O3750" s="2" t="n"/>
    </row>
    <row r="3751">
      <c r="A3751" s="2" t="n">
        <v>3750</v>
      </c>
      <c r="B3751" s="2" t="inlineStr"/>
      <c r="C3751" s="2" t="n">
        <v>8189</v>
      </c>
      <c r="D3751" s="3" t="inlineStr">
        <is>
          <t>Премьера</t>
        </is>
      </c>
      <c r="E3751" s="2" t="n">
        <v>1991</v>
      </c>
      <c r="F3751" s="2" t="inlineStr">
        <is>
          <t>телефильм</t>
        </is>
      </c>
      <c r="G3751" s="2" t="n"/>
      <c r="H3751" s="2" t="n">
        <v>388</v>
      </c>
      <c r="I3751" s="2" t="inlineStr"/>
      <c r="J3751" s="2" t="inlineStr"/>
      <c r="K3751" s="3" t="inlineStr">
        <is>
          <t>В старой тбилисской квартире собирается большая семья: Марго - в прошлом прекрасная актриса, Ада - ее несчастная тридцатилетняя дочь, брат Марго - Ираклий - великий грузинский актер и его молодая жена Нелли. Они постоянно что-то говорят, но, как в театре абсурда, не слышат друг друга. Все ждут премьеру нового спектакля Ираклия, единственного цветного эпизода во всем черно-белом фильме.</t>
        </is>
      </c>
      <c r="L3751" s="2" t="inlineStr">
        <is>
          <t>Кино_СССР сводный каталог.xlsx: список телефильмов</t>
        </is>
      </c>
      <c r="M3751" s="2">
        <f>HYPERLINK("https://ru.wikipedia.org/w/index.php?search=%D0%9F%D1%80%D0%B5%D0%BC%D1%8C%D0%B5%D1%80%D0%B0%201991%20%D1%84%D0%B8%D0%BB%D1%8C%D0%BC","искать")</f>
        <v/>
      </c>
      <c r="N3751" s="3" t="n"/>
      <c r="O3751" s="2" t="n"/>
    </row>
    <row r="3752">
      <c r="A3752" s="2" t="n">
        <v>3751</v>
      </c>
      <c r="B3752" s="2" t="inlineStr"/>
      <c r="C3752" s="2" t="n">
        <v>8915</v>
      </c>
      <c r="D3752" s="3" t="inlineStr">
        <is>
          <t>Палач</t>
        </is>
      </c>
      <c r="E3752" s="2" t="n">
        <v>1990</v>
      </c>
      <c r="F3752" s="2" t="inlineStr">
        <is>
          <t>кинофильм</t>
        </is>
      </c>
      <c r="G3752" s="2" t="inlineStr">
        <is>
          <t>Русское видео; Ладога; Ленфильм</t>
        </is>
      </c>
      <c r="H3752" s="2" t="n">
        <v>388</v>
      </c>
      <c r="I3752" s="2" t="inlineStr"/>
      <c r="J3752" s="2" t="inlineStr"/>
      <c r="K3752" s="3" t="inlineStr">
        <is>
          <t>Молодая женщина становится жертвой изнасилования. Чтобы отомстить насильникам, она нанимает бандита. Её цель — наказать этих типов, но не убивать их. У исполнителя заказа есть своя точка зрения на это дело. Он склонен к радикальным мерам, а она уже готова простить их. Случается невероятное событие — жертва влюбляется в одного из насильников и пытается остановить цепную реакцию насилия.</t>
        </is>
      </c>
      <c r="L3752" s="2" t="inlineStr">
        <is>
          <t>Кино_СССР сводный каталог.xlsx: список фильмов (доп.)</t>
        </is>
      </c>
      <c r="M3752" s="2">
        <f>HYPERLINK("https://ru.wikipedia.org/w/index.php?search=%D0%9F%D0%B0%D0%BB%D0%B0%D1%87%201990%20%D1%84%D0%B8%D0%BB%D1%8C%D0%BC","искать")</f>
        <v/>
      </c>
      <c r="N3752" s="3" t="n"/>
      <c r="O3752" s="2" t="n"/>
    </row>
    <row r="3753">
      <c r="A3753" s="2" t="n">
        <v>3752</v>
      </c>
      <c r="B3753" s="2" t="inlineStr"/>
      <c r="C3753" s="2" t="n">
        <v>9254</v>
      </c>
      <c r="D3753" s="3" t="inlineStr">
        <is>
          <t>Брызги шампанского</t>
        </is>
      </c>
      <c r="E3753" s="2" t="n">
        <v>1989</v>
      </c>
      <c r="F3753" s="2" t="inlineStr">
        <is>
          <t>кинофильм</t>
        </is>
      </c>
      <c r="G3753" s="2" t="inlineStr">
        <is>
          <t>Мосфильм, ТО «Круг»</t>
        </is>
      </c>
      <c r="H3753" s="2" t="n">
        <v>388</v>
      </c>
      <c r="I3753" s="2" t="inlineStr"/>
      <c r="J3753" s="2" t="inlineStr"/>
      <c r="K3753" s="3" t="inlineStr">
        <is>
          <t>В основе картины повесть писателя-фронтовика Вячеслава Кондратьева "Отпуск по ранению". История нескольких недель, которые провел после лечения в госпитале молодой лейтенант Володя в Москве летом 42-го года. Только он приехал, как узнаёт, что его любимая девушка тоже собирается идти на фронт, а войне еще не видно конца, рядом гибнут люди - и от этого совсем не радостно его возвращение.</t>
        </is>
      </c>
      <c r="L3753" s="2" t="inlineStr">
        <is>
          <t>Кино_СССР сводный каталог.xlsx: список фильмов (доп.)</t>
        </is>
      </c>
      <c r="M3753" s="2">
        <f>HYPERLINK("https://ru.wikipedia.org/w/index.php?search=%D0%91%D1%80%D1%8B%D0%B7%D0%B3%D0%B8%20%D1%88%D0%B0%D0%BC%D0%BF%D0%B0%D0%BD%D1%81%D0%BA%D0%BE%D0%B3%D0%BE%201989%20%D1%84%D0%B8%D0%BB%D1%8C%D0%BC","искать")</f>
        <v/>
      </c>
      <c r="N3753" s="3" t="n"/>
      <c r="O3753" s="2" t="n"/>
    </row>
    <row r="3754">
      <c r="A3754" s="2" t="n">
        <v>3753</v>
      </c>
      <c r="B3754" s="2" t="inlineStr"/>
      <c r="C3754" s="2" t="n">
        <v>10150</v>
      </c>
      <c r="D3754" s="3" t="inlineStr">
        <is>
          <t>Обыкновенный человек</t>
        </is>
      </c>
      <c r="E3754" s="2" t="n">
        <v>1965</v>
      </c>
      <c r="F3754" s="2" t="inlineStr">
        <is>
          <t>фильм-спектакль</t>
        </is>
      </c>
      <c r="G3754" s="2" t="inlineStr">
        <is>
          <t>Гл. ред. лит-драм программ</t>
        </is>
      </c>
      <c r="H3754" s="2" t="n">
        <v>388</v>
      </c>
      <c r="I3754" s="2" t="inlineStr"/>
      <c r="J3754" s="2" t="inlineStr"/>
      <c r="K3754" s="3" t="inlineStr">
        <is>
          <t>Телеспектакль Театра Сатиры по одноименной комедии сербского писателя Бранислава Нушича (перевод Д.Жукова).
Дочь состоятельных родителей — Зорка — влюблена в поэта Домяновича, которого она никогда не видела. Когда же он появляется в доме ее родителей под чужим именем, Зорка долго не может примириться с тем, что поэт оказывается самым обычным и простым человеком... Но любовь взяла свое.</t>
        </is>
      </c>
      <c r="L3754" s="2" t="inlineStr">
        <is>
          <t>https://www.kino-teatr.ru/teatr/movie/17147/annot/</t>
        </is>
      </c>
      <c r="M3754" s="2">
        <f>HYPERLINK("https://ru.wikipedia.org/w/index.php?search=%D0%9E%D0%B1%D1%8B%D0%BA%D0%BD%D0%BE%D0%B2%D0%B5%D0%BD%D0%BD%D1%8B%D0%B9%20%D1%87%D0%B5%D0%BB%D0%BE%D0%B2%D0%B5%D0%BA%201965%20%D1%84%D0%B8%D0%BB%D1%8C%D0%BC","искать")</f>
        <v/>
      </c>
      <c r="N3754" s="3" t="n"/>
      <c r="O3754" s="2" t="n"/>
    </row>
    <row r="3755">
      <c r="A3755" s="2" t="n">
        <v>3754</v>
      </c>
      <c r="B3755" s="2" t="inlineStr"/>
      <c r="C3755" s="2" t="n">
        <v>10574</v>
      </c>
      <c r="D3755" s="3" t="inlineStr">
        <is>
          <t>Ночь ошибок</t>
        </is>
      </c>
      <c r="E3755" s="2" t="n">
        <v>1974</v>
      </c>
      <c r="F3755" s="2" t="inlineStr">
        <is>
          <t>фильм-спектакль</t>
        </is>
      </c>
      <c r="G3755" s="2" t="inlineStr">
        <is>
          <t>Центральное телевидение</t>
        </is>
      </c>
      <c r="H3755" s="2" t="n">
        <v>388</v>
      </c>
      <c r="I3755" s="2" t="inlineStr"/>
      <c r="J3755" s="2" t="inlineStr"/>
      <c r="K3755" s="3" t="inlineStr">
        <is>
          <t>По мотивам комедии английского писателя Оливера Голдсмита "Ночь ошибок, или унижение паче гордости".
С приездом Чарли Марлоу с другом суматошная неразбериха установилась в доме достопочтенного мистера Харткестля, где жили его дочь, воспитанница и приемный сын. Кто из молодых людей в кого влюблен? Кто кого ненавидит?
Но "ночь ошибок" прошла, а утро и любовь все расставили на свои места.</t>
        </is>
      </c>
      <c r="L3755" s="2" t="inlineStr">
        <is>
          <t>https://www.kino-teatr.ru/teatr/movie/4562/annot/</t>
        </is>
      </c>
      <c r="M3755" s="2">
        <f>HYPERLINK("https://ru.wikipedia.org/w/index.php?search=%D0%9D%D0%BE%D1%87%D1%8C%20%D0%BE%D1%88%D0%B8%D0%B1%D0%BE%D0%BA%201974%20%D1%84%D0%B8%D0%BB%D1%8C%D0%BC","искать")</f>
        <v/>
      </c>
      <c r="N3755" s="3" t="n"/>
      <c r="O3755" s="2" t="n"/>
    </row>
    <row r="3756">
      <c r="A3756" s="2" t="n">
        <v>3755</v>
      </c>
      <c r="B3756" s="2" t="inlineStr"/>
      <c r="C3756" s="2" t="n">
        <v>7644</v>
      </c>
      <c r="D3756" s="3" t="inlineStr">
        <is>
          <t>Земля-кормилица</t>
        </is>
      </c>
      <c r="E3756" s="2" t="n">
        <v>1977</v>
      </c>
      <c r="F3756" s="2" t="inlineStr">
        <is>
          <t>телефильм</t>
        </is>
      </c>
      <c r="G3756" s="2" t="n"/>
      <c r="H3756" s="2" t="n">
        <v>389</v>
      </c>
      <c r="I3756" s="2" t="inlineStr"/>
      <c r="J3756" s="2" t="inlineStr"/>
      <c r="K3756" s="3" t="inlineStr">
        <is>
          <t>Фильм поставлен по одноименному роману Пятраса Цвирки. Главный герой - крестьянин Юрас Тарутис принимает участие в борьбе за независимую Литву и в избирательной кампании в сейм, болезненно переживает фашистский переворот в 1926 году. Сначала он свято верит в земельную реформу и только после тяжёлых испытаний - смерти сына и торгов - разочаровывается в реформе и в самом буржуазном строе.</t>
        </is>
      </c>
      <c r="L3756" s="2" t="inlineStr">
        <is>
          <t>Кино_СССР сводный каталог.xlsx: список телефильмов</t>
        </is>
      </c>
      <c r="M3756" s="2">
        <f>HYPERLINK("https://ru.wikipedia.org/w/index.php?search=%D0%97%D0%B5%D0%BC%D0%BB%D1%8F-%D0%BA%D0%BE%D1%80%D0%BC%D0%B8%D0%BB%D0%B8%D1%86%D0%B0%201977%20%D1%84%D0%B8%D0%BB%D1%8C%D0%BC","искать")</f>
        <v/>
      </c>
      <c r="N3756" s="3" t="n"/>
      <c r="O3756" s="2" t="n"/>
    </row>
    <row r="3757">
      <c r="A3757" s="2" t="n">
        <v>3756</v>
      </c>
      <c r="B3757" s="2" t="inlineStr"/>
      <c r="C3757" s="2" t="n">
        <v>8774</v>
      </c>
      <c r="D3757" s="3" t="inlineStr">
        <is>
          <t>Конь, ружьё и вольный ветер</t>
        </is>
      </c>
      <c r="E3757" s="2" t="n">
        <v>1975</v>
      </c>
      <c r="F3757" s="2" t="inlineStr">
        <is>
          <t>кинофильм</t>
        </is>
      </c>
      <c r="G3757" s="2" t="n"/>
      <c r="H3757" s="2" t="n">
        <v>389</v>
      </c>
      <c r="I3757" s="2" t="inlineStr"/>
      <c r="J3757" s="2" t="inlineStr"/>
      <c r="K3757" s="3" t="inlineStr">
        <is>
          <t>В XVIII веке молдавская земля находилась под игом иноземных захватчиков и гнетом местных бояр. В стране развернулась национально-освободительная борьба, в которой активное участие принимали гайдуки под предводительством атамана Бадиу. Боярину Мане с помощью наемников удалось захватить его в плен. Но дочь боярина, любившая Бадиу, собрала отряд гайдуков, которые освободили своего атамана.</t>
        </is>
      </c>
      <c r="L3757" s="2" t="inlineStr">
        <is>
          <t>Кино_СССР сводный каталог.xlsx: список фильмов (доп.)</t>
        </is>
      </c>
      <c r="M3757" s="2">
        <f>HYPERLINK("https://ru.wikipedia.org/w/index.php?search=%D0%9A%D0%BE%D0%BD%D1%8C%2C%20%D1%80%D1%83%D0%B6%D1%8C%D1%91%20%D0%B8%20%D0%B2%D0%BE%D0%BB%D1%8C%D0%BD%D1%8B%D0%B9%20%D0%B2%D0%B5%D1%82%D0%B5%D1%80%201975%20%D1%84%D0%B8%D0%BB%D1%8C%D0%BC","искать")</f>
        <v/>
      </c>
      <c r="N3757" s="3" t="n"/>
      <c r="O3757" s="2" t="n"/>
    </row>
    <row r="3758">
      <c r="A3758" s="2" t="n">
        <v>3757</v>
      </c>
      <c r="B3758" s="2" t="inlineStr"/>
      <c r="C3758" s="2" t="n">
        <v>9118</v>
      </c>
      <c r="D3758" s="3" t="inlineStr">
        <is>
          <t>Убийство в ночном поезде</t>
        </is>
      </c>
      <c r="E3758" s="2" t="n">
        <v>1990</v>
      </c>
      <c r="F3758" s="2" t="inlineStr">
        <is>
          <t>кинофильм</t>
        </is>
      </c>
      <c r="G3758" s="2" t="n"/>
      <c r="H3758" s="2" t="n">
        <v>389</v>
      </c>
      <c r="I3758" s="2" t="inlineStr"/>
      <c r="J3758" s="2" t="inlineStr"/>
      <c r="K3758" s="3" t="inlineStr">
        <is>
          <t>Вернувшись из Афганистана, Рустам попадает в банду Нагиева, которая специализируется на перевозках сомнительных грузов. В одну из поездок его останавливает патруль — и в скором времени он оказывается за решеткой. Нагиев и тут дает ему знать о себе, продолжая выплачивать зарплату. Освободившись, Рустам осознает преступность своей деятельности, но раскаяние приходит к нему слишком поздно.</t>
        </is>
      </c>
      <c r="L3758" s="2" t="inlineStr">
        <is>
          <t>Кино_СССР сводный каталог.xlsx: список фильмов (доп.)</t>
        </is>
      </c>
      <c r="M3758" s="2">
        <f>HYPERLINK("https://ru.wikipedia.org/w/index.php?search=%D0%A3%D0%B1%D0%B8%D0%B9%D1%81%D1%82%D0%B2%D0%BE%20%D0%B2%20%D0%BD%D0%BE%D1%87%D0%BD%D0%BE%D0%BC%20%D0%BF%D0%BE%D0%B5%D0%B7%D0%B4%D0%B5%201990%20%D1%84%D0%B8%D0%BB%D1%8C%D0%BC","искать")</f>
        <v/>
      </c>
      <c r="N3758" s="3" t="n"/>
      <c r="O3758" s="2" t="n"/>
    </row>
    <row r="3759">
      <c r="A3759" s="2" t="n">
        <v>3758</v>
      </c>
      <c r="B3759" s="2" t="inlineStr"/>
      <c r="C3759" s="2" t="n">
        <v>7727</v>
      </c>
      <c r="D3759" s="3" t="inlineStr">
        <is>
          <t>Квартира</t>
        </is>
      </c>
      <c r="E3759" s="2" t="n">
        <v>1989</v>
      </c>
      <c r="F3759" s="2" t="inlineStr">
        <is>
          <t>телефильм</t>
        </is>
      </c>
      <c r="G3759" s="2" t="n"/>
      <c r="H3759" s="2" t="n">
        <v>390</v>
      </c>
      <c r="I3759" s="2" t="inlineStr"/>
      <c r="J3759" s="2" t="inlineStr"/>
      <c r="K3759" s="3" t="inlineStr">
        <is>
          <t>Сентиментальная история, случившаяся на окраине Империи накануне ее распада. О трех друзьях из разных социальных слоев, выросших вместе. Комната с игрушками, вид из окна на фонтан одного из них были образцом жизненного благополучия и счастья для другого. Став взрослым и встретив любовь, он рассказывает своей возлюбленной об этой квартире, обещает ей счастье, о котором мечтал с детства и.</t>
        </is>
      </c>
      <c r="L3759" s="2" t="inlineStr">
        <is>
          <t>Кино_СССР сводный каталог.xlsx: список телефильмов</t>
        </is>
      </c>
      <c r="M3759" s="2">
        <f>HYPERLINK("https://ru.wikipedia.org/w/index.php?search=%D0%9A%D0%B2%D0%B0%D1%80%D1%82%D0%B8%D1%80%D0%B0%201989%20%D1%84%D0%B8%D0%BB%D1%8C%D0%BC","искать")</f>
        <v/>
      </c>
      <c r="N3759" s="3" t="n"/>
      <c r="O3759" s="2" t="n"/>
    </row>
    <row r="3760">
      <c r="A3760" s="2" t="n">
        <v>3759</v>
      </c>
      <c r="B3760" s="2" t="inlineStr"/>
      <c r="C3760" s="2" t="n">
        <v>8982</v>
      </c>
      <c r="D3760" s="3" t="inlineStr">
        <is>
          <t>Продавец снов</t>
        </is>
      </c>
      <c r="E3760" s="2" t="n">
        <v>1990</v>
      </c>
      <c r="F3760" s="2" t="inlineStr">
        <is>
          <t>кинофильм</t>
        </is>
      </c>
      <c r="G3760" s="2" t="n"/>
      <c r="H3760" s="2" t="n">
        <v>390</v>
      </c>
      <c r="I3760" s="2" t="inlineStr"/>
      <c r="J3760" s="2" t="inlineStr"/>
      <c r="K3760" s="3" t="inlineStr">
        <is>
          <t>Школьник Карим, увлекающийся электроникой, неожиданно попадает в сказочную страну, в лабораторию волшебника Огимы, который давно искал способного ученика. Огима придумывает сны - сладкие и веселые, будучи уверен, что делает благо для простых людкй. Оказывается нужно чтобы больше двух людей встали в круг вокруг волшебного зеркала и взялись за руки — тогда всё о чём помечтаешь, исполнится.</t>
        </is>
      </c>
      <c r="L3760" s="2" t="inlineStr">
        <is>
          <t>Кино_СССР сводный каталог.xlsx: список фильмов (доп.)</t>
        </is>
      </c>
      <c r="M3760" s="2">
        <f>HYPERLINK("https://ru.wikipedia.org/w/index.php?search=%D0%9F%D1%80%D0%BE%D0%B4%D0%B0%D0%B2%D0%B5%D1%86%20%D1%81%D0%BD%D0%BE%D0%B2%201990%20%D1%84%D0%B8%D0%BB%D1%8C%D0%BC","искать")</f>
        <v/>
      </c>
      <c r="N3760" s="3" t="n"/>
      <c r="O3760" s="2" t="n"/>
    </row>
    <row r="3761">
      <c r="A3761" s="2" t="n">
        <v>3760</v>
      </c>
      <c r="B3761" s="2" t="inlineStr"/>
      <c r="C3761" s="2" t="n">
        <v>9351</v>
      </c>
      <c r="D3761" s="3" t="inlineStr">
        <is>
          <t>Дыхание</t>
        </is>
      </c>
      <c r="E3761" s="2" t="n">
        <v>1988</v>
      </c>
      <c r="F3761" s="2" t="inlineStr">
        <is>
          <t>кинофильм</t>
        </is>
      </c>
      <c r="G3761" s="2" t="n"/>
      <c r="H3761" s="2" t="n">
        <v>390</v>
      </c>
      <c r="I3761" s="2" t="inlineStr"/>
      <c r="J3761" s="2" t="inlineStr"/>
      <c r="K3761" s="3" t="inlineStr">
        <is>
          <t>Когда-то в Араратской долине был спешно построен промышленный комбинат — с нарушением санитарных и экологических норм. Прошли годы и теперь общественность требует закрыть вредные цеха и прекратить сброс отравленных вод в близлежащее озеро. Председатель комитета Арам, в ведении которого находится комбинат, понимает, что окружающая природа гибнет, но не решается на конфликт с руководством.</t>
        </is>
      </c>
      <c r="L3761" s="2" t="inlineStr">
        <is>
          <t>Кино_СССР сводный каталог.xlsx: список фильмов (доп.)</t>
        </is>
      </c>
      <c r="M3761" s="2">
        <f>HYPERLINK("https://ru.wikipedia.org/w/index.php?search=%D0%94%D1%8B%D1%85%D0%B0%D0%BD%D0%B8%D0%B5%201988%20%D1%84%D0%B8%D0%BB%D1%8C%D0%BC","искать")</f>
        <v/>
      </c>
      <c r="N3761" s="3" t="n"/>
      <c r="O3761" s="2" t="n"/>
    </row>
    <row r="3762">
      <c r="A3762" s="2" t="n">
        <v>3761</v>
      </c>
      <c r="B3762" s="2" t="inlineStr"/>
      <c r="C3762" s="2" t="n">
        <v>9822</v>
      </c>
      <c r="D3762" s="3" t="inlineStr">
        <is>
          <t>Остров Ольховый</t>
        </is>
      </c>
      <c r="E3762" s="2" t="n">
        <v>1962</v>
      </c>
      <c r="F3762" s="2" t="inlineStr">
        <is>
          <t>телефильм</t>
        </is>
      </c>
      <c r="G3762" s="2" t="inlineStr">
        <is>
          <t>Мосфильм</t>
        </is>
      </c>
      <c r="H3762" s="2" t="n">
        <v>390</v>
      </c>
      <c r="I3762" s="2" t="inlineStr"/>
      <c r="J3762" s="2" t="inlineStr"/>
      <c r="K3762" s="3" t="inlineStr">
        <is>
          <t>Телефильм. Много лет назад геолог Илья вместе со своим другом Петром приехал на остров Ольховый близ Сахалина. Здесь они вели поиск железной руды. Петр погиб во время изыскательских работ, а Илья успешно продолжил поиск. Прошли годы. Начальник геологоразведочной партии Илья из-за внезапной болезни был вынужден навсегда покинуть остров. И тогда дело, начатое друзьями, продолжил сын Петра.</t>
        </is>
      </c>
      <c r="L3762" s="2" t="inlineStr">
        <is>
          <t>https://www.kino-teatr.ru/short/movie/sov/4843/annot/</t>
        </is>
      </c>
      <c r="M3762" s="2">
        <f>HYPERLINK("https://ru.wikipedia.org/w/index.php?search=%D0%9E%D1%81%D1%82%D1%80%D0%BE%D0%B2%20%D0%9E%D0%BB%D1%8C%D1%85%D0%BE%D0%B2%D1%8B%D0%B9%201962%20%D1%84%D0%B8%D0%BB%D1%8C%D0%BC","искать")</f>
        <v/>
      </c>
      <c r="N3762" s="3" t="n"/>
      <c r="O3762" s="2" t="n"/>
    </row>
    <row r="3763">
      <c r="A3763" s="2" t="n">
        <v>3762</v>
      </c>
      <c r="B3763" s="2" t="inlineStr"/>
      <c r="C3763" s="2" t="n">
        <v>10036</v>
      </c>
      <c r="D3763" s="3" t="inlineStr">
        <is>
          <t>В Альдебаран!</t>
        </is>
      </c>
      <c r="E3763" s="2" t="n">
        <v>1989</v>
      </c>
      <c r="F3763" s="2" t="inlineStr">
        <is>
          <t>телефильм</t>
        </is>
      </c>
      <c r="G3763" s="2" t="inlineStr">
        <is>
          <t>Одесская киностудия по заказу Гостелерадио СССР</t>
        </is>
      </c>
      <c r="H3763" s="2" t="n">
        <v>390</v>
      </c>
      <c r="I3763" s="2" t="inlineStr"/>
      <c r="J3763" s="2" t="inlineStr"/>
      <c r="K3763" s="3" t="inlineStr">
        <is>
          <t>По мотивам пьесы А.Сударева. Однажды в квартире скромного конструктора Пересухина появляется Неизвестный, который предлагает ему стать правителем планеты Альдебаран. Но для того, чтобы перейти в другое пространственное измерение, герой фильма должен расстаться с жизнью, спрыгнув с третьего этажа. И Пересухин предпочитает привычное существование искушению стать диктатором далекой планеты.</t>
        </is>
      </c>
      <c r="L3763" s="2" t="inlineStr">
        <is>
          <t>https://www.kino-teatr.ru/short/movie/sov/86542/annot/</t>
        </is>
      </c>
      <c r="M3763" s="2">
        <f>HYPERLINK("https://ru.wikipedia.org/w/index.php?search=%D0%92%20%D0%90%D0%BB%D1%8C%D0%B4%D0%B5%D0%B1%D0%B0%D1%80%D0%B0%D0%BD%21%201989%20%D1%84%D0%B8%D0%BB%D1%8C%D0%BC","искать")</f>
        <v/>
      </c>
      <c r="N3763" s="3" t="n"/>
      <c r="O3763" s="2" t="n"/>
    </row>
    <row r="3764">
      <c r="A3764" s="2" t="n">
        <v>3763</v>
      </c>
      <c r="B3764" s="2" t="inlineStr"/>
      <c r="C3764" s="2" t="n">
        <v>10835</v>
      </c>
      <c r="D3764" s="3" t="inlineStr">
        <is>
          <t>В порядке исключения</t>
        </is>
      </c>
      <c r="E3764" s="2" t="n">
        <v>1980</v>
      </c>
      <c r="F3764" s="2" t="inlineStr">
        <is>
          <t>фильм-спектакль</t>
        </is>
      </c>
      <c r="G3764" s="2" t="inlineStr">
        <is>
          <t>Центральное телевидение</t>
        </is>
      </c>
      <c r="H3764" s="2" t="n">
        <v>390</v>
      </c>
      <c r="I3764" s="2" t="inlineStr"/>
      <c r="J3764" s="2" t="inlineStr"/>
      <c r="K3764" s="3" t="inlineStr">
        <is>
          <t>По пьесе Ю. Виноградова в постановке Московского театра им. М.Н. Ермоловой.
Дочь генерала ракетных войск решила доказать, что современная девушка может служить в армии не хуже мужчины. Командир батареи и его подчиненная, героиня спектакля, полюбили друг друга. Только в финальном эпизоде в воинской части узнают, что рядовая-телефонистка - дочь командующего крупным воинским подразделением.</t>
        </is>
      </c>
      <c r="L3764" s="2" t="inlineStr">
        <is>
          <t>https://www.kino-teatr.ru/teatr/movie/92993/annot/</t>
        </is>
      </c>
      <c r="M3764" s="2">
        <f>HYPERLINK("https://ru.wikipedia.org/w/index.php?search=%D0%92%20%D0%BF%D0%BE%D1%80%D1%8F%D0%B4%D0%BA%D0%B5%20%D0%B8%D1%81%D0%BA%D0%BB%D1%8E%D1%87%D0%B5%D0%BD%D0%B8%D1%8F%201980%20%D1%84%D0%B8%D0%BB%D1%8C%D0%BC","искать")</f>
        <v/>
      </c>
      <c r="N3764" s="3" t="n"/>
      <c r="O3764" s="2" t="n"/>
    </row>
    <row r="3765">
      <c r="A3765" s="2" t="n">
        <v>3764</v>
      </c>
      <c r="B3765" s="2" t="inlineStr"/>
      <c r="C3765" s="2" t="n">
        <v>7298</v>
      </c>
      <c r="D3765" s="3" t="inlineStr">
        <is>
          <t>В связи с переходом на другую работу</t>
        </is>
      </c>
      <c r="E3765" s="2" t="n">
        <v>1988</v>
      </c>
      <c r="F3765" s="2" t="inlineStr">
        <is>
          <t>телефильм</t>
        </is>
      </c>
      <c r="G3765" s="2" t="n"/>
      <c r="H3765" s="2" t="n">
        <v>391</v>
      </c>
      <c r="I3765" s="2" t="inlineStr"/>
      <c r="J3765" s="2" t="inlineStr"/>
      <c r="K3765" s="3" t="inlineStr">
        <is>
          <t>Председатель райисполкома Голощапов, жестокий и беспринципный человек, узнаёт, что занимавшего высокое служебное положение Выборнова должны отправить на пенсию. Больше угодничать перед ним не нужно, решает он, и по-хамски обращается с Выборновым. Однако выясняется, что слухи об уходе на пенсию Выборнова ошибочны, и тогда Голощапов, опасаясь за собственную карьеру, организует его убийство.</t>
        </is>
      </c>
      <c r="L3765" s="2" t="inlineStr">
        <is>
          <t>Кино_СССР сводный каталог.xlsx: список телефильмов</t>
        </is>
      </c>
      <c r="M3765" s="2">
        <f>HYPERLINK("https://ru.wikipedia.org/w/index.php?search=%D0%92%20%D1%81%D0%B2%D1%8F%D0%B7%D0%B8%20%D1%81%20%D0%BF%D0%B5%D1%80%D0%B5%D1%85%D0%BE%D0%B4%D0%BE%D0%BC%20%D0%BD%D0%B0%20%D0%B4%D1%80%D1%83%D0%B3%D1%83%D1%8E%20%D1%80%D0%B0%D0%B1%D0%BE%D1%82%D1%83%201988%20%D1%84%D0%B8%D0%BB%D1%8C%D0%BC","искать")</f>
        <v/>
      </c>
      <c r="N3765" s="3" t="n"/>
      <c r="O3765" s="2" t="n"/>
    </row>
    <row r="3766">
      <c r="A3766" s="2" t="n">
        <v>3765</v>
      </c>
      <c r="B3766" s="2" t="inlineStr"/>
      <c r="C3766" s="2" t="n">
        <v>7779</v>
      </c>
      <c r="D3766" s="3" t="inlineStr">
        <is>
          <t>Кто поедет в Трускавец?</t>
        </is>
      </c>
      <c r="E3766" s="2" t="n">
        <v>1977</v>
      </c>
      <c r="F3766" s="2" t="inlineStr">
        <is>
          <t>телефильм</t>
        </is>
      </c>
      <c r="G3766" s="2" t="n"/>
      <c r="H3766" s="2" t="n">
        <v>391</v>
      </c>
      <c r="I3766" s="2" t="inlineStr"/>
      <c r="J3766" s="2" t="inlineStr"/>
      <c r="K3766" s="3" t="inlineStr">
        <is>
          <t>Телеэкранизация одноименной повести Максуда Ибрагимбекова. Герой фильма в поликлинике знакомится с молодой женщиной. Их отношения складываются весьма банально. Оба не придают им достаточно серьезного значения, и порой даже кажется, что они делают все, чтобы поскорее расстаться. Но когда она уезжает в отпуск в Трускавец, герой вылетает туда же самолетом, чтобы встретить любимую на вокзале.</t>
        </is>
      </c>
      <c r="L3766" s="2" t="inlineStr">
        <is>
          <t>Кино_СССР сводный каталог.xlsx: список телефильмов</t>
        </is>
      </c>
      <c r="M3766" s="2">
        <f>HYPERLINK("https://ru.wikipedia.org/w/index.php?search=%D0%9A%D1%82%D0%BE%20%D0%BF%D0%BE%D0%B5%D0%B4%D0%B5%D1%82%20%D0%B2%20%D0%A2%D1%80%D1%83%D1%81%D0%BA%D0%B0%D0%B2%D0%B5%D1%86%3F%201977%20%D1%84%D0%B8%D0%BB%D1%8C%D0%BC","искать")</f>
        <v/>
      </c>
      <c r="N3766" s="3" t="n"/>
      <c r="O3766" s="2" t="n"/>
    </row>
    <row r="3767">
      <c r="A3767" s="2" t="n">
        <v>3766</v>
      </c>
      <c r="B3767" s="2" t="inlineStr"/>
      <c r="C3767" s="2" t="n">
        <v>8725</v>
      </c>
      <c r="D3767" s="3" t="inlineStr">
        <is>
          <t>Жильцы</t>
        </is>
      </c>
      <c r="E3767" s="2" t="n">
        <v>1989</v>
      </c>
      <c r="F3767" s="2" t="inlineStr">
        <is>
          <t>кинофильм</t>
        </is>
      </c>
      <c r="G3767" s="2" t="n"/>
      <c r="H3767" s="2" t="n">
        <v>391</v>
      </c>
      <c r="I3767" s="2" t="inlineStr"/>
      <c r="J3767" s="2" t="inlineStr"/>
      <c r="K3767" s="3" t="inlineStr">
        <is>
          <t>Герой фильма — Амиран — однажды принес в свой дом человека, потерявшего сознание. Затем появилась молодая дочь незнакомца, потом другая. Обе стали активно наводить порядок в доме, а ночью оказались в постели у Амирана. Когда наступило утро, квартиру навестили братья подруг. В фильме использованы мотивы грузинских народных сказок и произведений Кобо Абэ, Хулио Кортасара, Михаила Булгакова.</t>
        </is>
      </c>
      <c r="L3767" s="2" t="inlineStr">
        <is>
          <t>Кино_СССР сводный каталог.xlsx: список фильмов (доп.)</t>
        </is>
      </c>
      <c r="M3767" s="2">
        <f>HYPERLINK("https://ru.wikipedia.org/w/index.php?search=%D0%96%D0%B8%D0%BB%D1%8C%D1%86%D1%8B%201989%20%D1%84%D0%B8%D0%BB%D1%8C%D0%BC","искать")</f>
        <v/>
      </c>
      <c r="N3767" s="3" t="n"/>
      <c r="O3767" s="2" t="n"/>
    </row>
    <row r="3768">
      <c r="A3768" s="2" t="n">
        <v>3767</v>
      </c>
      <c r="B3768" s="2" t="inlineStr"/>
      <c r="C3768" s="2" t="n">
        <v>8842</v>
      </c>
      <c r="D3768" s="3" t="inlineStr">
        <is>
          <t>Мой милый</t>
        </is>
      </c>
      <c r="E3768" s="2" t="n">
        <v>1991</v>
      </c>
      <c r="F3768" s="2" t="inlineStr">
        <is>
          <t>кинофильм</t>
        </is>
      </c>
      <c r="G3768" s="2" t="n"/>
      <c r="H3768" s="2" t="n">
        <v>391</v>
      </c>
      <c r="I3768" s="2" t="inlineStr"/>
      <c r="J3768" s="2" t="inlineStr"/>
      <c r="K3768" s="3" t="inlineStr">
        <is>
          <t>Жесткое, местами пронзительно лирическое повествование о повседневной и порой безысходной жизни в казахской провинциальной глубинке. Через судьбы двух юных влюбленных подростков прослеживается социальная драма поколения. Разрушительные последствия взрывов на атомном, теперь уже опустевшем, полигоне не проходят бесследно для становления и формирования характера юного героя и его поколения.</t>
        </is>
      </c>
      <c r="L3768" s="2" t="inlineStr">
        <is>
          <t>Кино_СССР сводный каталог.xlsx: список фильмов (доп.)</t>
        </is>
      </c>
      <c r="M3768" s="2">
        <f>HYPERLINK("https://ru.wikipedia.org/w/index.php?search=%D0%9C%D0%BE%D0%B9%20%D0%BC%D0%B8%D0%BB%D1%8B%D0%B9%201991%20%D1%84%D0%B8%D0%BB%D1%8C%D0%BC","искать")</f>
        <v/>
      </c>
      <c r="N3768" s="3" t="n"/>
      <c r="O3768" s="2" t="n"/>
    </row>
    <row r="3769">
      <c r="A3769" s="2" t="n">
        <v>3768</v>
      </c>
      <c r="B3769" s="2" t="inlineStr"/>
      <c r="C3769" s="2" t="n">
        <v>8954</v>
      </c>
      <c r="D3769" s="3" t="inlineStr">
        <is>
          <t>Полтергейст-90</t>
        </is>
      </c>
      <c r="E3769" s="2" t="n">
        <v>1991</v>
      </c>
      <c r="F3769" s="2" t="inlineStr">
        <is>
          <t>кинофильм</t>
        </is>
      </c>
      <c r="G3769" s="2" t="n"/>
      <c r="H3769" s="2" t="n">
        <v>391</v>
      </c>
      <c r="I3769" s="2" t="inlineStr"/>
      <c r="J3769" s="2" t="inlineStr"/>
      <c r="K3769" s="3" t="inlineStr">
        <is>
          <t>Режиссёр снял фильм под названием "Мафия бессмертна", но он положен на полку, а создателю недвусмысленно угрожают. На его глазах воспламеняются несколько человек, начинают происходить странные вещи. Он решает провести собственное расследование вместе со своим другом, ученым (Баталов). Они находят подпольную лабораторию, генерирующую лучи, позволяющие на расстоянии воздействовать на людей.</t>
        </is>
      </c>
      <c r="L3769" s="2" t="inlineStr">
        <is>
          <t>Кино_СССР сводный каталог.xlsx: список фильмов (доп.)</t>
        </is>
      </c>
      <c r="M3769" s="2">
        <f>HYPERLINK("https://ru.wikipedia.org/w/index.php?search=%D0%9F%D0%BE%D0%BB%D1%82%D0%B5%D1%80%D0%B3%D0%B5%D0%B9%D1%81%D1%82-90%201991%20%D1%84%D0%B8%D0%BB%D1%8C%D0%BC","искать")</f>
        <v/>
      </c>
      <c r="N3769" s="3" t="n"/>
      <c r="O3769" s="2" t="n"/>
    </row>
    <row r="3770">
      <c r="A3770" s="2" t="n">
        <v>3769</v>
      </c>
      <c r="B3770" s="2" t="inlineStr"/>
      <c r="C3770" s="2" t="n">
        <v>9365</v>
      </c>
      <c r="D3770" s="3" t="inlineStr">
        <is>
          <t>Загадка колонии беглецов</t>
        </is>
      </c>
      <c r="E3770" s="2" t="n">
        <v>1981</v>
      </c>
      <c r="F3770" s="2" t="inlineStr">
        <is>
          <t>кинофильм</t>
        </is>
      </c>
      <c r="G3770" s="2" t="inlineStr">
        <is>
          <t>DEFA-Studio für Spielfilme; при участии Kinostudio EGO (Москва), ICAIC (Гавана)</t>
        </is>
      </c>
      <c r="H3770" s="2" t="n">
        <v>391</v>
      </c>
      <c r="I3770" s="2" t="inlineStr"/>
      <c r="J3770" s="2" t="inlineStr"/>
      <c r="K3770" s="3" t="inlineStr">
        <is>
          <t>Южная Америка, начало 80-х годов. Мария, молодая женщина, стала свидетелем убийства человека, которого убили преследователи из близлежащей фермы. Мария просит своего друга, журналиста Освальдо, чтобы расследовал это преступление. Освальдо узнаёт, что хозяева фермы - бывшие фашисты. Он решается на собственное расследование, но скоро понимает, что недооценил опасности, которая ему угрожает.</t>
        </is>
      </c>
      <c r="L3770" s="2" t="inlineStr">
        <is>
          <t>Кино_СССР сводный каталог.xlsx: список фильмов (доп.)</t>
        </is>
      </c>
      <c r="M3770" s="2">
        <f>HYPERLINK("https://ru.wikipedia.org/w/index.php?search=%D0%97%D0%B0%D0%B3%D0%B0%D0%B4%D0%BA%D0%B0%20%D0%BA%D0%BE%D0%BB%D0%BE%D0%BD%D0%B8%D0%B8%20%D0%B1%D0%B5%D0%B3%D0%BB%D0%B5%D1%86%D0%BE%D0%B2%201981%20%D1%84%D0%B8%D0%BB%D1%8C%D0%BC","искать")</f>
        <v/>
      </c>
      <c r="N3770" s="3" t="n"/>
      <c r="O3770" s="2" t="n"/>
    </row>
    <row r="3771">
      <c r="A3771" s="2" t="n">
        <v>3770</v>
      </c>
      <c r="B3771" s="2" t="inlineStr"/>
      <c r="C3771" s="2" t="n">
        <v>10510</v>
      </c>
      <c r="D3771" s="3" t="inlineStr">
        <is>
          <t>Память сердца</t>
        </is>
      </c>
      <c r="E3771" s="2" t="n">
        <v>1973</v>
      </c>
      <c r="F3771" s="2" t="inlineStr">
        <is>
          <t>фильм-спектакль</t>
        </is>
      </c>
      <c r="G3771" s="2" t="inlineStr">
        <is>
          <t>Главная редакция литературно-драматических программ</t>
        </is>
      </c>
      <c r="H3771" s="2" t="n">
        <v>391</v>
      </c>
      <c r="I3771" s="2" t="inlineStr"/>
      <c r="J3771" s="2" t="inlineStr"/>
      <c r="K3771" s="3" t="inlineStr">
        <is>
          <t>По одноименной пьесе А.Корнейчука в постановке Государственного академического театра имени Евг.Вахтангова. Из Италии в Киев приезжает Антонио Террачини, чтобы вновь встретить женщину, которую любил в годы войны. Здесь он узнает, что имеет взрослого сына. Однако у Террачини на родине - семья. И вновь расстаются герои пьесы, но память о прошлом остается в их сердцах. Постановка Е.Симонова.</t>
        </is>
      </c>
      <c r="L3771" s="2" t="inlineStr">
        <is>
          <t>https://www.kino-teatr.ru/teatr/movie/16415/annot/</t>
        </is>
      </c>
      <c r="M3771" s="2">
        <f>HYPERLINK("https://ru.wikipedia.org/w/index.php?search=%D0%9F%D0%B0%D0%BC%D1%8F%D1%82%D1%8C%20%D1%81%D0%B5%D1%80%D0%B4%D1%86%D0%B0%201973%20%D1%84%D0%B8%D0%BB%D1%8C%D0%BC","искать")</f>
        <v/>
      </c>
      <c r="N3771" s="3" t="n"/>
      <c r="O3771" s="2" t="n"/>
    </row>
    <row r="3772">
      <c r="A3772" s="2" t="n">
        <v>3771</v>
      </c>
      <c r="B3772" s="2" t="inlineStr"/>
      <c r="C3772" s="2" t="n">
        <v>10775</v>
      </c>
      <c r="D3772" s="3" t="inlineStr">
        <is>
          <t>Средство Макропулоса</t>
        </is>
      </c>
      <c r="E3772" s="2" t="n">
        <v>1978</v>
      </c>
      <c r="F3772" s="2" t="inlineStr">
        <is>
          <t>фильм-спектакль</t>
        </is>
      </c>
      <c r="G3772" s="2" t="inlineStr">
        <is>
          <t>Гл. ред. лит-драм программ</t>
        </is>
      </c>
      <c r="H3772" s="2" t="n">
        <v>391</v>
      </c>
      <c r="I3772" s="2" t="inlineStr"/>
      <c r="J3772" s="2" t="inlineStr"/>
      <c r="K3772" s="3" t="inlineStr">
        <is>
          <t>По одноимённой пьесе К. Чапека в постановке Государственного академического Малого театра СССР.
Средство Макропулоса – эликсир долголетия, возможность обладания которым становится для героев пьесы испытанием их человеческой состоятельности. Спектакль завершается несколько неожиданно: бессмертие, оказывается, не так уж заманчиво, и герои спектакля не отваживаются воспользоваться элексиром.</t>
        </is>
      </c>
      <c r="L3772" s="2" t="inlineStr">
        <is>
          <t>https://www.kino-teatr.ru/teatr/movie/6728/annot/</t>
        </is>
      </c>
      <c r="M3772" s="2">
        <f>HYPERLINK("https://ru.wikipedia.org/w/index.php?search=%D0%A1%D1%80%D0%B5%D0%B4%D1%81%D1%82%D0%B2%D0%BE%20%D0%9C%D0%B0%D0%BA%D1%80%D0%BE%D0%BF%D1%83%D0%BB%D0%BE%D1%81%D0%B0%201978%20%D1%84%D0%B8%D0%BB%D1%8C%D0%BC","искать")</f>
        <v/>
      </c>
      <c r="N3772" s="3" t="n"/>
      <c r="O3772" s="2" t="n"/>
    </row>
    <row r="3773">
      <c r="A3773" s="2" t="n">
        <v>3772</v>
      </c>
      <c r="B3773" s="2" t="inlineStr"/>
      <c r="C3773" s="2" t="n">
        <v>11224</v>
      </c>
      <c r="D3773" s="3" t="inlineStr">
        <is>
          <t>Ричард II</t>
        </is>
      </c>
      <c r="E3773" s="2" t="n">
        <v>1988</v>
      </c>
      <c r="F3773" s="2" t="inlineStr">
        <is>
          <t>фильм-спектакль</t>
        </is>
      </c>
      <c r="G3773" s="2" t="inlineStr">
        <is>
          <t>Главная редакция литературно-драматических программ ЦТ</t>
        </is>
      </c>
      <c r="H3773" s="2" t="n">
        <v>391</v>
      </c>
      <c r="I3773" s="2" t="inlineStr"/>
      <c r="J3773" s="2" t="inlineStr"/>
      <c r="K3773" s="3" t="inlineStr">
        <is>
          <t>По одноименной хронике Уильяма Шекспира в постановке Кироваканского (Ванадзорского) государственного драматического театра имени Ованеса Абеляна.
Историческая хроника, которая охватывает события 1399—1400 гг.; в её центре — низложение короля Ричарда II и захват власти его двоюродным братом Генрихом Болингброком — основателем дома Ланкастеров Генрихом IV, а затем убийство пленного Ричарда.</t>
        </is>
      </c>
      <c r="L3773" s="2" t="inlineStr">
        <is>
          <t>https://www.kino-teatr.ru/teatr/movie/81794/annot/</t>
        </is>
      </c>
      <c r="M3773" s="2">
        <f>HYPERLINK("https://ru.wikipedia.org/w/index.php?search=%D0%A0%D0%B8%D1%87%D0%B0%D1%80%D0%B4%20II%201988%20%D1%84%D0%B8%D0%BB%D1%8C%D0%BC","искать")</f>
        <v/>
      </c>
      <c r="N3773" s="3" t="n"/>
      <c r="O3773" s="2" t="n"/>
    </row>
    <row r="3774">
      <c r="A3774" s="2" t="n">
        <v>3773</v>
      </c>
      <c r="B3774" s="2" t="inlineStr"/>
      <c r="C3774" s="2" t="n">
        <v>8498</v>
      </c>
      <c r="D3774" s="3" t="inlineStr">
        <is>
          <t>Удивительный мальчик</t>
        </is>
      </c>
      <c r="E3774" s="2" t="n">
        <v>1970</v>
      </c>
      <c r="F3774" s="2" t="inlineStr">
        <is>
          <t>телефильм</t>
        </is>
      </c>
      <c r="G3774" s="2" t="n"/>
      <c r="H3774" s="2" t="n">
        <v>392</v>
      </c>
      <c r="I3774" s="2" t="inlineStr"/>
      <c r="J3774" s="2" t="inlineStr"/>
      <c r="K3774" s="3" t="inlineStr">
        <is>
          <t>Богач Бубнила, всеми способами выбивающий с горожан налоги, обнаруживает в лаборатории своего должника - Арта, профессора всяческих наук, механическую игрушку - мальчика с прозрачно-голубыми глазами. Он решает, что на этом изобретении он сможет заработать целое состояние. Но скоро у богача появляется конкурент - коварный доктор Капа, приказывающий своим бандитам отыскать и похитить робота.</t>
        </is>
      </c>
      <c r="L3774" s="2" t="inlineStr">
        <is>
          <t>Кино_СССР сводный каталог.xlsx: список телефильмов</t>
        </is>
      </c>
      <c r="M3774" s="2">
        <f>HYPERLINK("https://ru.wikipedia.org/w/index.php?search=%D0%A3%D0%B4%D0%B8%D0%B2%D0%B8%D1%82%D0%B5%D0%BB%D1%8C%D0%BD%D1%8B%D0%B9%20%D0%BC%D0%B0%D0%BB%D1%8C%D1%87%D0%B8%D0%BA%201970%20%D1%84%D0%B8%D0%BB%D1%8C%D0%BC","искать")</f>
        <v/>
      </c>
      <c r="N3774" s="3" t="n"/>
      <c r="O3774" s="2" t="n"/>
    </row>
    <row r="3775">
      <c r="A3775" s="2" t="n">
        <v>3774</v>
      </c>
      <c r="B3775" s="2" t="inlineStr"/>
      <c r="C3775" s="2" t="n">
        <v>9121</v>
      </c>
      <c r="D3775" s="3" t="inlineStr">
        <is>
          <t>Убить скорпиона</t>
        </is>
      </c>
      <c r="E3775" s="2" t="n">
        <v>1991</v>
      </c>
      <c r="F3775" s="2" t="inlineStr">
        <is>
          <t>кинофильм</t>
        </is>
      </c>
      <c r="G3775" s="2" t="n"/>
      <c r="H3775" s="2" t="n">
        <v>392</v>
      </c>
      <c r="I3775" s="2" t="inlineStr"/>
      <c r="J3775" s="2" t="inlineStr"/>
      <c r="K3775" s="3" t="inlineStr">
        <is>
          <t>В таежной глуши, на отечественном острове находится тюремная зона, где зэки добывают руду. В одной из пещер острова обнаруживают кости динозавров. Для их исследования приглашается столичный научный сотрудник, а в сопровождение ей выделяется бравый сержант срочной службы. Параллельно развиваются события с участием пахана Скорпиона и компании отмороженных зэков, которые готовят побег с зоны.</t>
        </is>
      </c>
      <c r="L3775" s="2" t="inlineStr">
        <is>
          <t>Кино_СССР сводный каталог.xlsx: список фильмов (доп.)</t>
        </is>
      </c>
      <c r="M3775" s="2">
        <f>HYPERLINK("https://ru.wikipedia.org/w/index.php?search=%D0%A3%D0%B1%D0%B8%D1%82%D1%8C%20%D1%81%D0%BA%D0%BE%D1%80%D0%BF%D0%B8%D0%BE%D0%BD%D0%B0%201991%20%D1%84%D0%B8%D0%BB%D1%8C%D0%BC","искать")</f>
        <v/>
      </c>
      <c r="N3775" s="3" t="n"/>
      <c r="O3775" s="2" t="n"/>
    </row>
    <row r="3776">
      <c r="A3776" s="2" t="n">
        <v>3775</v>
      </c>
      <c r="B3776" s="2" t="inlineStr"/>
      <c r="C3776" s="2" t="n">
        <v>9277</v>
      </c>
      <c r="D3776" s="3" t="inlineStr">
        <is>
          <t>Волки в зоне</t>
        </is>
      </c>
      <c r="E3776" s="2" t="n">
        <v>1990</v>
      </c>
      <c r="F3776" s="2" t="inlineStr">
        <is>
          <t>кинофильм</t>
        </is>
      </c>
      <c r="G3776" s="2" t="n"/>
      <c r="H3776" s="2" t="n">
        <v>392</v>
      </c>
      <c r="I3776" s="2" t="inlineStr"/>
      <c r="J3776" s="2" t="inlineStr"/>
      <c r="K3776" s="3" t="inlineStr">
        <is>
          <t>В основе фильма факты чернобыльской трагедии и ликвидации аварии. Герои этого фильма мародер Семен, сбывающий зараженную технику, его бывший сослуживец Стас, капитан милиции, в недавнем прошлом ликвидатор аварии и некий Человек-Зона, наблюдающий за событиями. Брошенные людьми вещи, драгоценности и техника становятся легкой добычей преступников, действующих под прикрытием властей и милиции.</t>
        </is>
      </c>
      <c r="L3776" s="2" t="inlineStr">
        <is>
          <t>Кино_СССР сводный каталог.xlsx: список фильмов (доп.)</t>
        </is>
      </c>
      <c r="M3776" s="2">
        <f>HYPERLINK("https://ru.wikipedia.org/w/index.php?search=%D0%92%D0%BE%D0%BB%D0%BA%D0%B8%20%D0%B2%20%D0%B7%D0%BE%D0%BD%D0%B5%201990%20%D1%84%D0%B8%D0%BB%D1%8C%D0%BC","искать")</f>
        <v/>
      </c>
      <c r="N3776" s="3" t="n"/>
      <c r="O3776" s="2" t="n"/>
    </row>
    <row r="3777">
      <c r="A3777" s="2" t="n">
        <v>3776</v>
      </c>
      <c r="B3777" s="2" t="inlineStr"/>
      <c r="C3777" s="2" t="n">
        <v>7870</v>
      </c>
      <c r="D3777" s="3" t="inlineStr">
        <is>
          <t>Место действия</t>
        </is>
      </c>
      <c r="E3777" s="2" t="n">
        <v>1983</v>
      </c>
      <c r="F3777" s="2" t="inlineStr">
        <is>
          <t>телефильм</t>
        </is>
      </c>
      <c r="G3777" s="2" t="n"/>
      <c r="H3777" s="2" t="n">
        <v>393</v>
      </c>
      <c r="I3777" s="2" t="inlineStr"/>
      <c r="J3777" s="2" t="inlineStr"/>
      <c r="K3777" s="3" t="inlineStr">
        <is>
          <t>Телефильм по мотивам одноименного романа Александра Проханова (1978). Действие фильма разворачивается на строительстве нефтехимического комбината в старинном городе Ядринске. Герой фильма Петр Константинович Пушкарев, директор комбината, привлекая местную интеллигенцию, искренне и горячо стремится к тому, чтобы индустриализация сибирского города не погубила исторические памятники и природу.</t>
        </is>
      </c>
      <c r="L3777" s="2" t="inlineStr">
        <is>
          <t>Кино_СССР сводный каталог.xlsx: список телефильмов</t>
        </is>
      </c>
      <c r="M3777" s="2">
        <f>HYPERLINK("https://ru.wikipedia.org/w/index.php?search=%D0%9C%D0%B5%D1%81%D1%82%D0%BE%20%D0%B4%D0%B5%D0%B9%D1%81%D1%82%D0%B2%D0%B8%D1%8F%201983%20%D1%84%D0%B8%D0%BB%D1%8C%D0%BC","искать")</f>
        <v/>
      </c>
      <c r="N3777" s="3" t="n"/>
      <c r="O3777" s="2" t="n"/>
    </row>
    <row r="3778">
      <c r="A3778" s="2" t="n">
        <v>3777</v>
      </c>
      <c r="B3778" s="2" t="inlineStr"/>
      <c r="C3778" s="2" t="n">
        <v>7925</v>
      </c>
      <c r="D3778" s="3" t="inlineStr">
        <is>
          <t>Мэри Поппинс, до свидания</t>
        </is>
      </c>
      <c r="E3778" s="2" t="n">
        <v>1983</v>
      </c>
      <c r="F3778" s="2" t="inlineStr">
        <is>
          <t>телефильм</t>
        </is>
      </c>
      <c r="G3778" s="2" t="n"/>
      <c r="H3778" s="2" t="n">
        <v>393</v>
      </c>
      <c r="I3778" s="2" t="inlineStr"/>
      <c r="J3778" s="2" t="inlineStr"/>
      <c r="K3778" s="3" t="inlineStr">
        <is>
          <t>Фантистическая история, некогда рассказанная П. Трэверс и заново изложенная в наши дни. В семье Бэнксов прямо из воздуха появилась няня, идеально отвечающая их строгим требованиям. Прекрасная, добрая, ни на кого не похожая. И все было так хорошо... пока добрую волшебницу не унесло ветром. Дети никак не хотели поверить в ее исчезновение, и Мэри Поппинс (а так ее звали) не могла не вернуться.</t>
        </is>
      </c>
      <c r="L3778" s="2" t="inlineStr">
        <is>
          <t>Кино_СССР сводный каталог.xlsx: список телефильмов</t>
        </is>
      </c>
      <c r="M3778" s="2">
        <f>HYPERLINK("https://ru.wikipedia.org/w/index.php?search=%D0%9C%D1%8D%D1%80%D0%B8%20%D0%9F%D0%BE%D0%BF%D0%BF%D0%B8%D0%BD%D1%81%2C%20%D0%B4%D0%BE%20%D1%81%D0%B2%D0%B8%D0%B4%D0%B0%D0%BD%D0%B8%D1%8F%201983%20%D1%84%D0%B8%D0%BB%D1%8C%D0%BC","искать")</f>
        <v/>
      </c>
      <c r="N3778" s="3" t="n"/>
      <c r="O3778" s="2" t="n"/>
    </row>
    <row r="3779">
      <c r="A3779" s="2" t="n">
        <v>3778</v>
      </c>
      <c r="B3779" s="2" t="inlineStr"/>
      <c r="C3779" s="2" t="n">
        <v>8135</v>
      </c>
      <c r="D3779" s="3" t="inlineStr">
        <is>
          <t>Под чужим именем</t>
        </is>
      </c>
      <c r="E3779" s="2" t="n">
        <v>1984</v>
      </c>
      <c r="F3779" s="2" t="inlineStr">
        <is>
          <t>телефильм</t>
        </is>
      </c>
      <c r="G3779" s="2" t="n"/>
      <c r="H3779" s="2" t="n">
        <v>393</v>
      </c>
      <c r="I3779" s="2" t="inlineStr"/>
      <c r="J3779" s="2" t="inlineStr"/>
      <c r="K3779" s="3" t="inlineStr">
        <is>
          <t>Телефильм исследует ситуацию, когда части эстонцев приходилось воевать против своей страны и своего народа. Кто-то служил фашистам, кто-то (как герой фильма Хэндрик Папалепа) - Советской власти.Его засылают в оккупированный немцами Таллин незадолго до прихода туда советских войск. Хэндрик выдает себя за своего погибшего одноклассника Мярта Куузика, который был сотрудником эстонской охранки.</t>
        </is>
      </c>
      <c r="L3779" s="2" t="inlineStr">
        <is>
          <t>Кино_СССР сводный каталог.xlsx: список телефильмов</t>
        </is>
      </c>
      <c r="M3779" s="2">
        <f>HYPERLINK("https://ru.wikipedia.org/w/index.php?search=%D0%9F%D0%BE%D0%B4%20%D1%87%D1%83%D0%B6%D0%B8%D0%BC%20%D0%B8%D0%BC%D0%B5%D0%BD%D0%B5%D0%BC%201984%20%D1%84%D0%B8%D0%BB%D1%8C%D0%BC","искать")</f>
        <v/>
      </c>
      <c r="N3779" s="3" t="n"/>
      <c r="O3779" s="2" t="n"/>
    </row>
    <row r="3780">
      <c r="A3780" s="2" t="n">
        <v>3779</v>
      </c>
      <c r="B3780" s="2" t="inlineStr"/>
      <c r="C3780" s="2" t="n">
        <v>9228</v>
      </c>
      <c r="D3780" s="3" t="inlineStr">
        <is>
          <t>Белая кость</t>
        </is>
      </c>
      <c r="E3780" s="2" t="n">
        <v>1988</v>
      </c>
      <c r="F3780" s="2" t="inlineStr">
        <is>
          <t>кинофильм</t>
        </is>
      </c>
      <c r="G3780" s="2" t="n"/>
      <c r="H3780" s="2" t="n">
        <v>393</v>
      </c>
      <c r="I3780" s="2" t="inlineStr"/>
      <c r="J3780" s="2" t="inlineStr"/>
      <c r="K3780" s="3" t="inlineStr">
        <is>
          <t>Пародия на милицейский детектив. Все начинается с того, что в магазинной котлете обнаруживается... милицейский погон. И тогда полковник с умным и усталым взглядом понимает, куда исчез его сотрудник, посланный с секретным заданием на мясокомбинат. Ему ничего не остается, как заслать в это змеиное гнездо расхитителей социалистической собственности любимого ученика - отважного капитана Гранта.</t>
        </is>
      </c>
      <c r="L3780" s="2" t="inlineStr">
        <is>
          <t>Кино_СССР сводный каталог.xlsx: список фильмов (доп.)</t>
        </is>
      </c>
      <c r="M3780" s="2">
        <f>HYPERLINK("https://ru.wikipedia.org/w/index.php?search=%D0%91%D0%B5%D0%BB%D0%B0%D1%8F%20%D0%BA%D0%BE%D1%81%D1%82%D1%8C%201988%20%D1%84%D0%B8%D0%BB%D1%8C%D0%BC","искать")</f>
        <v/>
      </c>
      <c r="N3780" s="3" t="n"/>
      <c r="O3780" s="2" t="n"/>
    </row>
    <row r="3781">
      <c r="A3781" s="2" t="n">
        <v>3780</v>
      </c>
      <c r="B3781" s="2" t="inlineStr"/>
      <c r="C3781" s="2" t="n">
        <v>11087</v>
      </c>
      <c r="D3781" s="3" t="inlineStr">
        <is>
          <t>Такой странный вечер в узком семейном кругу</t>
        </is>
      </c>
      <c r="E3781" s="2" t="n">
        <v>1985</v>
      </c>
      <c r="F3781" s="2" t="inlineStr">
        <is>
          <t>фильм-спектакль</t>
        </is>
      </c>
      <c r="G3781" s="2" t="inlineStr">
        <is>
          <t>Главная редакция литературно-драматических программ ЦТ</t>
        </is>
      </c>
      <c r="H3781" s="2" t="n">
        <v>393</v>
      </c>
      <c r="I3781" s="2" t="inlineStr"/>
      <c r="J3781" s="2" t="inlineStr"/>
      <c r="K3781" s="3" t="inlineStr">
        <is>
          <t>В основе телеспектакля лежат реальные события.
Героиня спектакля - Дина Александровна - в годы Великой Отечественной войны была радисткой в партизанском соединении, действовавшем на территории Чехословакии. Через 27 лет она посещает места былых боев, встречается с товарищами по совместной борьбе. Героиня пытается установить истинную причину гибели командира и комиссара партизанского отряда.</t>
        </is>
      </c>
      <c r="L3781" s="2" t="inlineStr">
        <is>
          <t>https://www.kino-teatr.ru/teatr/movie/10465/annot/</t>
        </is>
      </c>
      <c r="M3781" s="2">
        <f>HYPERLINK("https://ru.wikipedia.org/w/index.php?search=%D0%A2%D0%B0%D0%BA%D0%BE%D0%B9%20%D1%81%D1%82%D1%80%D0%B0%D0%BD%D0%BD%D1%8B%D0%B9%20%D0%B2%D0%B5%D1%87%D0%B5%D1%80%20%D0%B2%20%D1%83%D0%B7%D0%BA%D0%BE%D0%BC%20%D1%81%D0%B5%D0%BC%D0%B5%D0%B9%D0%BD%D0%BE%D0%BC%20%D0%BA%D1%80%D1%83%D0%B3%D1%83%201985%20%D1%84%D0%B8%D0%BB%D1%8C%D0%BC","искать")</f>
        <v/>
      </c>
      <c r="N3781" s="3" t="n"/>
      <c r="O3781" s="2" t="n"/>
    </row>
    <row r="3782">
      <c r="A3782" s="2" t="n">
        <v>3781</v>
      </c>
      <c r="B3782" s="2" t="inlineStr"/>
      <c r="C3782" s="2" t="n">
        <v>7969</v>
      </c>
      <c r="D3782" s="3" t="inlineStr">
        <is>
          <t>Небесные ласточки</t>
        </is>
      </c>
      <c r="E3782" s="2" t="n">
        <v>1976</v>
      </c>
      <c r="F3782" s="2" t="inlineStr">
        <is>
          <t>телефильм</t>
        </is>
      </c>
      <c r="G3782" s="2" t="inlineStr">
        <is>
          <t>Ленфильм</t>
        </is>
      </c>
      <c r="H3782" s="2" t="n">
        <v>394</v>
      </c>
      <c r="I3782" s="2" t="inlineStr"/>
      <c r="J3782" s="2" t="inlineStr"/>
      <c r="K3782" s="3" t="inlineStr">
        <is>
          <t>Телефильм по оперетте композитора Флоримона Эрве "Мадемуазель Нитуш" (либретто Анри Мельяк, Алббер Мийо). В живописном месте расположен пансион для благородных девиц, в котором преподает пение священник Селестен. Каждый раз, выходя на улицу, он преображается во Флоридора, который страстно влюблен в театр, сочиняет развеселые куплеты, сам пишет водевиль и мечтает стать известным композитором.</t>
        </is>
      </c>
      <c r="L3782" s="2" t="inlineStr">
        <is>
          <t>Кино_СССР сводный каталог.xlsx: список телефильмов</t>
        </is>
      </c>
      <c r="M3782" s="2">
        <f>HYPERLINK("https://ru.wikipedia.org/w/index.php?search=%D0%9D%D0%B5%D0%B1%D0%B5%D1%81%D0%BD%D1%8B%D0%B5%20%D0%BB%D0%B0%D1%81%D1%82%D0%BE%D1%87%D0%BA%D0%B8%201976%20%D1%84%D0%B8%D0%BB%D1%8C%D0%BC","искать")</f>
        <v/>
      </c>
      <c r="N3782" s="3" t="n"/>
      <c r="O3782" s="2" t="n"/>
    </row>
    <row r="3783">
      <c r="A3783" s="2" t="n">
        <v>3782</v>
      </c>
      <c r="B3783" s="2" t="inlineStr"/>
      <c r="C3783" s="2" t="n">
        <v>7605</v>
      </c>
      <c r="D3783" s="3" t="inlineStr">
        <is>
          <t>Жил-был Шишлов</t>
        </is>
      </c>
      <c r="E3783" s="2" t="n">
        <v>1987</v>
      </c>
      <c r="F3783" s="2" t="inlineStr">
        <is>
          <t>телефильм</t>
        </is>
      </c>
      <c r="G3783" s="2" t="inlineStr">
        <is>
          <t>к/с им. Довженко</t>
        </is>
      </c>
      <c r="H3783" s="2" t="n">
        <v>395</v>
      </c>
      <c r="I3783" s="2" t="inlineStr"/>
      <c r="J3783" s="2" t="inlineStr"/>
      <c r="K3783" s="3" t="inlineStr">
        <is>
          <t>По мотивам пьесы Афанасия Салынского «Молва». Действие телефильма происходит в послереволюционные годы в провинциальном городке Птюньки. В центре сюжета история телефониста Ивана Шишлова, молодого коммуниста, тяжело переживающего эпоху НЭПа. Запутавшийся в сложных переменах в жизни, обманутый недругами, Ваня несправедливо обвиняет свою любимую девушку, землеустроителя Алю, в получении взятки.</t>
        </is>
      </c>
      <c r="L3783" s="2" t="inlineStr">
        <is>
          <t>Кино_СССР сводный каталог.xlsx: список телефильмов</t>
        </is>
      </c>
      <c r="M3783" s="2">
        <f>HYPERLINK("https://ru.wikipedia.org/w/index.php?search=%D0%96%D0%B8%D0%BB-%D0%B1%D1%8B%D0%BB%20%D0%A8%D0%B8%D1%88%D0%BB%D0%BE%D0%B2%201987%20%D1%84%D0%B8%D0%BB%D1%8C%D0%BC","искать")</f>
        <v/>
      </c>
      <c r="N3783" s="3" t="n"/>
      <c r="O3783" s="2" t="n"/>
    </row>
    <row r="3784">
      <c r="A3784" s="2" t="n">
        <v>3783</v>
      </c>
      <c r="B3784" s="2" t="inlineStr"/>
      <c r="C3784" s="2" t="n">
        <v>8522</v>
      </c>
      <c r="D3784" s="3" t="inlineStr">
        <is>
          <t>Хождение по мукам</t>
        </is>
      </c>
      <c r="E3784" s="2" t="n">
        <v>1974</v>
      </c>
      <c r="F3784" s="2" t="inlineStr">
        <is>
          <t>телефильм</t>
        </is>
      </c>
      <c r="G3784" s="2" t="n"/>
      <c r="H3784" s="2" t="n">
        <v>395</v>
      </c>
      <c r="I3784" s="2" t="inlineStr"/>
      <c r="J3784" s="2" t="inlineStr"/>
      <c r="K3784" s="3" t="inlineStr">
        <is>
          <t>Телесериал по роману Алексея Толстого. История четырех представителей интеллигенции, ввергнутых в водоворот революции и гражданской войны. Петербург 1914 года, город мрачных рабочих окраин и яркой аристократической жизни. Героини фильма - сестры Катя и Даша Булавины. Старшая, Катя, жена либерального адвоката Смоковникова, уже долгое время живет в тоске и отчаянии от пустоты собственной жизни.</t>
        </is>
      </c>
      <c r="L3784" s="2" t="inlineStr">
        <is>
          <t>Кино_СССР сводный каталог.xlsx: список телефильмов</t>
        </is>
      </c>
      <c r="M3784" s="2">
        <f>HYPERLINK("https://ru.wikipedia.org/w/index.php?search=%D0%A5%D0%BE%D0%B6%D0%B4%D0%B5%D0%BD%D0%B8%D0%B5%20%D0%BF%D0%BE%20%D0%BC%D1%83%D0%BA%D0%B0%D0%BC%201974%20%D1%84%D0%B8%D0%BB%D1%8C%D0%BC","искать")</f>
        <v/>
      </c>
      <c r="N3784" s="3" t="n"/>
      <c r="O3784" s="2" t="n"/>
    </row>
    <row r="3785">
      <c r="A3785" s="2" t="n">
        <v>3784</v>
      </c>
      <c r="B3785" s="2" t="inlineStr"/>
      <c r="C3785" s="2" t="n">
        <v>8686</v>
      </c>
      <c r="D3785" s="3" t="inlineStr">
        <is>
          <t>Груз-300</t>
        </is>
      </c>
      <c r="E3785" s="2" t="n">
        <v>1989</v>
      </c>
      <c r="F3785" s="2" t="inlineStr">
        <is>
          <t>кинофильм</t>
        </is>
      </c>
      <c r="G3785" s="2" t="n"/>
      <c r="H3785" s="2" t="n">
        <v>395</v>
      </c>
      <c r="I3785" s="2" t="inlineStr"/>
      <c r="J3785" s="2" t="inlineStr"/>
      <c r="K3785" s="3" t="inlineStr">
        <is>
          <t>Военные действия в Афганистане. От границы в сторону Кабула по горной дороге движется колонна советской военной бронетехники. Путь колонны лежит через единственный в этих краях разборный мост. Об этом прекрасно осведомлены афганские моджахеды и под руководством американского инструктора Купера они готовят операцию по захвату моста и уничтожению заблокированной в этом случае советской техники.</t>
        </is>
      </c>
      <c r="L3785" s="2" t="inlineStr">
        <is>
          <t>Кино_СССР сводный каталог.xlsx: список фильмов (доп.)</t>
        </is>
      </c>
      <c r="M3785" s="2">
        <f>HYPERLINK("https://ru.wikipedia.org/w/index.php?search=%D0%93%D1%80%D1%83%D0%B7-300%201989%20%D1%84%D0%B8%D0%BB%D1%8C%D0%BC","искать")</f>
        <v/>
      </c>
      <c r="N3785" s="3" t="n"/>
      <c r="O3785" s="2" t="n"/>
    </row>
    <row r="3786">
      <c r="A3786" s="2" t="n">
        <v>3785</v>
      </c>
      <c r="B3786" s="2" t="inlineStr"/>
      <c r="C3786" s="2" t="n">
        <v>10778</v>
      </c>
      <c r="D3786" s="3" t="inlineStr">
        <is>
          <t>Таблетку под язык</t>
        </is>
      </c>
      <c r="E3786" s="2" t="n">
        <v>1978</v>
      </c>
      <c r="F3786" s="2" t="inlineStr">
        <is>
          <t>фильм-спектакль</t>
        </is>
      </c>
      <c r="G3786" s="2" t="inlineStr">
        <is>
          <t>Гл. ред. литературно-драматических программ</t>
        </is>
      </c>
      <c r="H3786" s="2" t="n">
        <v>395</v>
      </c>
      <c r="I3786" s="2" t="inlineStr"/>
      <c r="J3786" s="2" t="inlineStr"/>
      <c r="K3786" s="3" t="inlineStr">
        <is>
          <t>По одноименной пьесе А. Макаенка в постановке Московского академического театра сатиры.
Один день из жизни председателя колхоза Каравая. Кто только не приходит к нему со своими заботами и проблемами. Всякого может выслушать и помочь Каравай (к концу дня не обойтись без таблетки валидола). Рядом с ним - деревенский мудрец дед Цибулька, всегда готовый дать добрый совет односельчанам и приезжим.</t>
        </is>
      </c>
      <c r="L3786" s="2" t="inlineStr">
        <is>
          <t>https://www.kino-teatr.ru/teatr/movie/81441/annot/</t>
        </is>
      </c>
      <c r="M3786" s="2">
        <f>HYPERLINK("https://ru.wikipedia.org/w/index.php?search=%D0%A2%D0%B0%D0%B1%D0%BB%D0%B5%D1%82%D0%BA%D1%83%20%D0%BF%D0%BE%D0%B4%20%D1%8F%D0%B7%D1%8B%D0%BA%201978%20%D1%84%D0%B8%D0%BB%D1%8C%D0%BC","искать")</f>
        <v/>
      </c>
      <c r="N3786" s="3" t="n"/>
      <c r="O3786" s="2" t="n"/>
    </row>
    <row r="3787">
      <c r="A3787" s="2" t="n">
        <v>3786</v>
      </c>
      <c r="B3787" s="2" t="inlineStr"/>
      <c r="C3787" s="2" t="n">
        <v>11073</v>
      </c>
      <c r="D3787" s="3" t="inlineStr">
        <is>
          <t>Принц и нищий</t>
        </is>
      </c>
      <c r="E3787" s="2" t="n">
        <v>1985</v>
      </c>
      <c r="F3787" s="2" t="inlineStr">
        <is>
          <t>фильм-спектакль</t>
        </is>
      </c>
      <c r="G3787" s="2" t="inlineStr">
        <is>
          <t>Творческое объединение "Экран"</t>
        </is>
      </c>
      <c r="H3787" s="2" t="n">
        <v>395</v>
      </c>
      <c r="I3787" s="2" t="inlineStr"/>
      <c r="J3787" s="2" t="inlineStr"/>
      <c r="K3787" s="3" t="inlineStr">
        <is>
          <t>Пьеса Сергея Михалкова по мотивам повести Марка Твена в постановке Московского Художественного Академического театра им. М. Горького.
Лондон, середина XVI столетия.
В один и тот же день рождаются два мальчика - Том, сын вора Джона Кенти, ютящегося в вонючем тупике Двор Отбросов, и Эдуард, наследник короля Генриха Восьмого. Эдуарда ждет вся Англия, Том не очень-то нужен даже собственной семье.</t>
        </is>
      </c>
      <c r="L3787" s="2" t="inlineStr">
        <is>
          <t>https://www.kino-teatr.ru/teatr/movie/17148/annot/</t>
        </is>
      </c>
      <c r="M3787" s="2">
        <f>HYPERLINK("https://ru.wikipedia.org/w/index.php?search=%D0%9F%D1%80%D0%B8%D0%BD%D1%86%20%D0%B8%20%D0%BD%D0%B8%D1%89%D0%B8%D0%B9%201985%20%D1%84%D0%B8%D0%BB%D1%8C%D0%BC","искать")</f>
        <v/>
      </c>
      <c r="N3787" s="3" t="n"/>
      <c r="O3787" s="2" t="n"/>
    </row>
    <row r="3788">
      <c r="A3788" s="2" t="n">
        <v>3787</v>
      </c>
      <c r="B3788" s="2" t="inlineStr"/>
      <c r="C3788" s="2" t="n">
        <v>7805</v>
      </c>
      <c r="D3788" s="3" t="inlineStr">
        <is>
          <t>Лето рядового Дедова</t>
        </is>
      </c>
      <c r="E3788" s="2" t="n">
        <v>1971</v>
      </c>
      <c r="F3788" s="2" t="inlineStr">
        <is>
          <t>телефильм</t>
        </is>
      </c>
      <c r="G3788" s="2" t="n"/>
      <c r="H3788" s="2" t="n">
        <v>396</v>
      </c>
      <c r="I3788" s="2" t="inlineStr"/>
      <c r="J3788" s="2" t="inlineStr"/>
      <c r="K3788" s="3" t="inlineStr">
        <is>
          <t>Телефильм. Рядовому ракетного дивизиона Дедову, старшина поручает ответственное задание - заготовку сена для лошади. Так молодой солдат прибывает в колхоз, где попадает в сугубо женский коллектив, не ведая того, что встретит здесь девушку своей мечты. Искромётный юмор и солдатская смекалка помогает Дедову, не только выполнить поставленную задачу, но и отличиться в проводимых армейских учениях.</t>
        </is>
      </c>
      <c r="L3788" s="2" t="inlineStr">
        <is>
          <t>Кино_СССР сводный каталог.xlsx: список телефильмов</t>
        </is>
      </c>
      <c r="M3788" s="2">
        <f>HYPERLINK("https://ru.wikipedia.org/w/index.php?search=%D0%9B%D0%B5%D1%82%D0%BE%20%D1%80%D1%8F%D0%B4%D0%BE%D0%B2%D0%BE%D0%B3%D0%BE%20%D0%94%D0%B5%D0%B4%D0%BE%D0%B2%D0%B0%201971%20%D1%84%D0%B8%D0%BB%D1%8C%D0%BC","искать")</f>
        <v/>
      </c>
      <c r="N3788" s="3" t="n"/>
      <c r="O3788" s="2" t="n"/>
    </row>
    <row r="3789">
      <c r="A3789" s="2" t="n">
        <v>3788</v>
      </c>
      <c r="B3789" s="2" t="inlineStr"/>
      <c r="C3789" s="2" t="n">
        <v>8365</v>
      </c>
      <c r="D3789" s="3" t="inlineStr">
        <is>
          <t>Смятение</t>
        </is>
      </c>
      <c r="E3789" s="2" t="n">
        <v>1970</v>
      </c>
      <c r="F3789" s="2" t="inlineStr">
        <is>
          <t>телефильм</t>
        </is>
      </c>
      <c r="G3789" s="2" t="n"/>
      <c r="H3789" s="2" t="n">
        <v>396</v>
      </c>
      <c r="I3789" s="2" t="inlineStr"/>
      <c r="J3789" s="2" t="inlineStr"/>
      <c r="K3789" s="3" t="inlineStr">
        <is>
          <t>Телефильм по повести С.Степняка-Кравчинского "Домик на Волге". Действие фильма происходит в конце 1870-х годов. Молодой народоволец Владимир Муринов скрывается от преследования жандармов в старинном уединенном имении Прозоровых. Здесь он полюбил хозяйскую дочь Катю. Далекая от политической борьбы провинциальная девушка, со временем решает разделить свою судьбу с нелегкой судьбой возлюбленного.</t>
        </is>
      </c>
      <c r="L3789" s="2" t="inlineStr">
        <is>
          <t>Кино_СССР сводный каталог.xlsx: список телефильмов</t>
        </is>
      </c>
      <c r="M3789" s="2">
        <f>HYPERLINK("https://ru.wikipedia.org/w/index.php?search=%D0%A1%D0%BC%D1%8F%D1%82%D0%B5%D0%BD%D0%B8%D0%B5%201970%20%D1%84%D0%B8%D0%BB%D1%8C%D0%BC","искать")</f>
        <v/>
      </c>
      <c r="N3789" s="3" t="n"/>
      <c r="O3789" s="2" t="n"/>
    </row>
    <row r="3790">
      <c r="A3790" s="2" t="n">
        <v>3789</v>
      </c>
      <c r="B3790" s="2" t="inlineStr"/>
      <c r="C3790" s="2" t="n">
        <v>8372</v>
      </c>
      <c r="D3790" s="3" t="inlineStr">
        <is>
          <t>Собака, которая умела петь</t>
        </is>
      </c>
      <c r="E3790" s="2" t="n">
        <v>1991</v>
      </c>
      <c r="F3790" s="2" t="inlineStr">
        <is>
          <t>телефильм</t>
        </is>
      </c>
      <c r="G3790" s="2" t="n"/>
      <c r="H3790" s="2" t="n">
        <v>396</v>
      </c>
      <c r="I3790" s="2" t="inlineStr"/>
      <c r="J3790" s="2" t="inlineStr"/>
      <c r="K3790" s="3" t="inlineStr">
        <is>
          <t>Телефильм по рассказу Джека Лондона "Майкл, брат Джерри" о дружбе человека и собаки. Много приключений выпало на долю красивого пса по кличке Майкл. Его много раз крали и продавали, он жил и у добрых, и у жестоких хозяев, и даже выступал на арене цирка. И вот, во время своих нелёгких скитаний, Майкл попадает в руки к одинокому моряку Дагу, который, рискуя потерять работу, берет собаку с собой.</t>
        </is>
      </c>
      <c r="L3790" s="2" t="inlineStr">
        <is>
          <t>Кино_СССР сводный каталог.xlsx: список телефильмов</t>
        </is>
      </c>
      <c r="M3790" s="2">
        <f>HYPERLINK("https://ru.wikipedia.org/w/index.php?search=%D0%A1%D0%BE%D0%B1%D0%B0%D0%BA%D0%B0%2C%20%D0%BA%D0%BE%D1%82%D0%BE%D1%80%D0%B0%D1%8F%20%D1%83%D0%BC%D0%B5%D0%BB%D0%B0%20%D0%BF%D0%B5%D1%82%D1%8C%201991%20%D1%84%D0%B8%D0%BB%D1%8C%D0%BC","искать")</f>
        <v/>
      </c>
      <c r="N3790" s="3" t="n"/>
      <c r="O3790" s="2" t="n"/>
    </row>
    <row r="3791">
      <c r="A3791" s="2" t="n">
        <v>3790</v>
      </c>
      <c r="B3791" s="2" t="inlineStr"/>
      <c r="C3791" s="2" t="n">
        <v>7581</v>
      </c>
      <c r="D3791" s="3" t="inlineStr">
        <is>
          <t>Ждите "Джона Графтона"</t>
        </is>
      </c>
      <c r="E3791" s="2" t="n">
        <v>1979</v>
      </c>
      <c r="F3791" s="2" t="inlineStr">
        <is>
          <t>телефильм</t>
        </is>
      </c>
      <c r="G3791" s="2" t="n"/>
      <c r="H3791" s="2" t="n">
        <v>397</v>
      </c>
      <c r="I3791" s="2" t="inlineStr"/>
      <c r="J3791" s="2" t="inlineStr"/>
      <c r="K3791" s="3" t="inlineStr">
        <is>
          <t>Телефильм. В основе сюжета - действительные события, происшедшие в сентябре 1905 года. Гапон вместе с эсерами на пароходе "Джон Графтон" организовал перевозку оружия в Россию, закупленного, как позже выяснилось, на японские деньги в Европе. При не выясненных до конца обстоятельствах, возможно здесь имела место провокация, пароход сел на мель, и революционерам удалось получить лишь часть оружия.</t>
        </is>
      </c>
      <c r="L3791" s="2" t="inlineStr">
        <is>
          <t>Кино_СССР сводный каталог.xlsx: список телефильмов</t>
        </is>
      </c>
      <c r="M3791" s="2">
        <f>HYPERLINK("https://ru.wikipedia.org/w/index.php?search=%D0%96%D0%B4%D0%B8%D1%82%D0%B5%20%22%D0%94%D0%B6%D0%BE%D0%BD%D0%B0%20%D0%93%D1%80%D0%B0%D1%84%D1%82%D0%BE%D0%BD%D0%B0%22%201979%20%D1%84%D0%B8%D0%BB%D1%8C%D0%BC","искать")</f>
        <v/>
      </c>
      <c r="N3791" s="3" t="n"/>
      <c r="O3791" s="2" t="n"/>
    </row>
    <row r="3792">
      <c r="A3792" s="2" t="n">
        <v>3791</v>
      </c>
      <c r="B3792" s="2" t="inlineStr"/>
      <c r="C3792" s="2" t="n">
        <v>8181</v>
      </c>
      <c r="D3792" s="3" t="inlineStr">
        <is>
          <t>Почти смешная история</t>
        </is>
      </c>
      <c r="E3792" s="2" t="n">
        <v>1977</v>
      </c>
      <c r="F3792" s="2" t="inlineStr">
        <is>
          <t>телефильм</t>
        </is>
      </c>
      <c r="G3792" s="2" t="inlineStr">
        <is>
          <t>Творческое объединение «Экран»</t>
        </is>
      </c>
      <c r="H3792" s="2" t="n">
        <v>397</v>
      </c>
      <c r="I3792" s="2" t="inlineStr"/>
      <c r="J3792" s="2" t="inlineStr"/>
      <c r="K3792" s="3" t="inlineStr">
        <is>
          <t>Лирическая история с элементами комедии о пробуждении чувств у двух немолодых людей, давно смирившихся со своим одиночеством. Две сестры приезжают в маленький город на Волге отдохнуть. Одной - около пятидесяти, другая чуть моложе. Одна — Тася, художник, творческая личность. И поэтому все домашние обязанности лежат на другой, младшей, сестре, несколько инфантильной и немного чудаковатой Илларии.</t>
        </is>
      </c>
      <c r="L3792" s="2" t="inlineStr">
        <is>
          <t>Кино_СССР сводный каталог.xlsx: список телефильмов</t>
        </is>
      </c>
      <c r="M3792" s="2">
        <f>HYPERLINK("https://ru.wikipedia.org/w/index.php?search=%D0%9F%D0%BE%D1%87%D1%82%D0%B8%20%D1%81%D0%BC%D0%B5%D1%88%D0%BD%D0%B0%D1%8F%20%D0%B8%D1%81%D1%82%D0%BE%D1%80%D0%B8%D1%8F%201977%20%D1%84%D0%B8%D0%BB%D1%8C%D0%BC","искать")</f>
        <v/>
      </c>
      <c r="N3792" s="3" t="n"/>
      <c r="O3792" s="2" t="n"/>
    </row>
    <row r="3793">
      <c r="A3793" s="2" t="n">
        <v>3792</v>
      </c>
      <c r="B3793" s="2" t="inlineStr"/>
      <c r="C3793" s="2" t="n">
        <v>8958</v>
      </c>
      <c r="D3793" s="3" t="inlineStr">
        <is>
          <t>Последнее путешествие Каипа</t>
        </is>
      </c>
      <c r="E3793" s="2" t="n">
        <v>1989</v>
      </c>
      <c r="F3793" s="2" t="inlineStr">
        <is>
          <t>кинофильм</t>
        </is>
      </c>
      <c r="G3793" s="2" t="n"/>
      <c r="H3793" s="2" t="n">
        <v>397</v>
      </c>
      <c r="I3793" s="2" t="inlineStr"/>
      <c r="J3793" s="2" t="inlineStr"/>
      <c r="K3793" s="3" t="inlineStr">
        <is>
          <t>По мотивам одноименной повести Тимура Пулатова. Фильм погружает нас в мир героя, старого рыбака, в конце жизни совершающего путешествие назад, в собственные детство и юность, пытающегося осмыслить запутанные обстоятельства собственной жизни, понять смысл прожитого. Каип выполняет последний долг - он возвращается на родной берег, где родился, вырос и полюбил на всю жизнь прекрасную девушку Айшу.</t>
        </is>
      </c>
      <c r="L3793" s="2" t="inlineStr">
        <is>
          <t>Кино_СССР сводный каталог.xlsx: список фильмов (доп.)</t>
        </is>
      </c>
      <c r="M3793" s="2">
        <f>HYPERLINK("https://ru.wikipedia.org/w/index.php?search=%D0%9F%D0%BE%D1%81%D0%BB%D0%B5%D0%B4%D0%BD%D0%B5%D0%B5%20%D0%BF%D1%83%D1%82%D0%B5%D1%88%D0%B5%D1%81%D1%82%D0%B2%D0%B8%D0%B5%20%D0%9A%D0%B0%D0%B8%D0%BF%D0%B0%201989%20%D1%84%D0%B8%D0%BB%D1%8C%D0%BC","искать")</f>
        <v/>
      </c>
      <c r="N3793" s="3" t="n"/>
      <c r="O3793" s="2" t="n"/>
    </row>
    <row r="3794">
      <c r="A3794" s="2" t="n">
        <v>3793</v>
      </c>
      <c r="B3794" s="2" t="inlineStr"/>
      <c r="C3794" s="2" t="n">
        <v>9682</v>
      </c>
      <c r="D3794" s="3" t="inlineStr">
        <is>
          <t>Сын</t>
        </is>
      </c>
      <c r="E3794" s="2" t="n">
        <v>1989</v>
      </c>
      <c r="F3794" s="2" t="inlineStr">
        <is>
          <t>кинофильм</t>
        </is>
      </c>
      <c r="G3794" s="2" t="n"/>
      <c r="H3794" s="2" t="n">
        <v>397</v>
      </c>
      <c r="I3794" s="2" t="inlineStr"/>
      <c r="J3794" s="2" t="inlineStr"/>
      <c r="K3794" s="3" t="inlineStr">
        <is>
          <t>Военные годы. На плечи юного Батыра ложатся заботы о матери и новорожденной сестренке. Отец мальчика, известный в селении мастер игры на дутаре, погиб на фронте. Батыр решает овладеть сложным искусством дутариста. Но идет война — и в тылу не до музыкальных школ. Однако настойчивый мальчуган покоряет сложный инструмент — и мать с радостью замечает, что в ее доме появился самостоятельный мужчина.</t>
        </is>
      </c>
      <c r="L3794" s="2" t="inlineStr">
        <is>
          <t>Кино_СССР сводный каталог.xlsx: список фильмов (доп.)</t>
        </is>
      </c>
      <c r="M3794" s="2">
        <f>HYPERLINK("https://ru.wikipedia.org/w/index.php?search=%D0%A1%D1%8B%D0%BD%201989%20%D1%84%D0%B8%D0%BB%D1%8C%D0%BC","искать")</f>
        <v/>
      </c>
      <c r="N3794" s="3" t="n"/>
      <c r="O3794" s="2" t="n"/>
    </row>
    <row r="3795">
      <c r="A3795" s="2" t="n">
        <v>3794</v>
      </c>
      <c r="B3795" s="2" t="inlineStr"/>
      <c r="C3795" s="2" t="n">
        <v>10355</v>
      </c>
      <c r="D3795" s="3" t="inlineStr">
        <is>
          <t>До востребования</t>
        </is>
      </c>
      <c r="E3795" s="2" t="n">
        <v>1970</v>
      </c>
      <c r="F3795" s="2" t="inlineStr">
        <is>
          <t>фильм-спектакль</t>
        </is>
      </c>
      <c r="G3795" s="2" t="inlineStr">
        <is>
          <t>Ленинградское телевидение</t>
        </is>
      </c>
      <c r="H3795" s="2" t="n">
        <v>397</v>
      </c>
      <c r="I3795" s="2" t="inlineStr"/>
      <c r="J3795" s="2" t="inlineStr"/>
      <c r="K3795" s="3" t="inlineStr">
        <is>
          <t>По пьесе Вл.Полякова о сотрудниках маленького почтового отделения, которые философски замечают, что все мы — люди до востребования. И оживаем лишь в тот момент, когда становимся востребованы. Вопрос лишь в том, что ты лично сделал, чтобы оказаться таковым. Написал ли книгу, признался в любви женщине, схватил преступника? Все это и многое другое происходит на маленькой почте заброшенной станции.</t>
        </is>
      </c>
      <c r="L3795" s="2" t="inlineStr">
        <is>
          <t>https://www.kino-teatr.ru/teatr/movie/91931/annot/</t>
        </is>
      </c>
      <c r="M3795" s="2">
        <f>HYPERLINK("https://ru.wikipedia.org/w/index.php?search=%D0%94%D0%BE%20%D0%B2%D0%BE%D1%81%D1%82%D1%80%D0%B5%D0%B1%D0%BE%D0%B2%D0%B0%D0%BD%D0%B8%D1%8F%201970%20%D1%84%D0%B8%D0%BB%D1%8C%D0%BC","искать")</f>
        <v/>
      </c>
      <c r="N3795" s="3" t="n"/>
      <c r="O3795" s="2" t="n"/>
    </row>
    <row r="3796">
      <c r="A3796" s="2" t="n">
        <v>3795</v>
      </c>
      <c r="B3796" s="2" t="inlineStr"/>
      <c r="C3796" s="2" t="n">
        <v>7346</v>
      </c>
      <c r="D3796" s="3" t="inlineStr">
        <is>
          <t>Влюблённая рыбка</t>
        </is>
      </c>
      <c r="E3796" s="2" t="n">
        <v>1989</v>
      </c>
      <c r="F3796" s="2" t="inlineStr">
        <is>
          <t>телефильм</t>
        </is>
      </c>
      <c r="G3796" s="2" t="inlineStr">
        <is>
          <t>Казахфильм, Творческое объединение «Алем»</t>
        </is>
      </c>
      <c r="H3796" s="2" t="n">
        <v>398</v>
      </c>
      <c r="I3796" s="2" t="inlineStr"/>
      <c r="J3796" s="2" t="inlineStr"/>
      <c r="K3796" s="3" t="inlineStr">
        <is>
          <t>Фильм исследует современные аспекты проблемы жизни и адаптации в большом городе бывших сельских жителей. Главный герой Жакен находится как бы на полпути между селом и городом. Живет он в пригородном поселке, родители его умерли, старший брат, музыкант, живет в городе. Короткая поездка Жакена к брату и связанные с ней «приключения» в большом современном городе и составляет сюжетную основу фильма.</t>
        </is>
      </c>
      <c r="L3796" s="2" t="inlineStr">
        <is>
          <t>Кино_СССР сводный каталог.xlsx: список телефильмов</t>
        </is>
      </c>
      <c r="M3796" s="2">
        <f>HYPERLINK("https://ru.wikipedia.org/w/index.php?search=%D0%92%D0%BB%D1%8E%D0%B1%D0%BB%D1%91%D0%BD%D0%BD%D0%B0%D1%8F%20%D1%80%D1%8B%D0%B1%D0%BA%D0%B0%201989%20%D1%84%D0%B8%D0%BB%D1%8C%D0%BC","искать")</f>
        <v/>
      </c>
      <c r="N3796" s="3" t="n"/>
      <c r="O3796" s="2" t="n"/>
    </row>
    <row r="3797">
      <c r="A3797" s="2" t="n">
        <v>3796</v>
      </c>
      <c r="B3797" s="2" t="inlineStr"/>
      <c r="C3797" s="2" t="n">
        <v>7690</v>
      </c>
      <c r="D3797" s="3" t="inlineStr">
        <is>
          <t>История одной любви</t>
        </is>
      </c>
      <c r="E3797" s="2" t="n">
        <v>1981</v>
      </c>
      <c r="F3797" s="2" t="inlineStr">
        <is>
          <t>телефильм</t>
        </is>
      </c>
      <c r="G3797" s="2" t="n"/>
      <c r="H3797" s="2" t="n">
        <v>398</v>
      </c>
      <c r="I3797" s="2" t="inlineStr"/>
      <c r="J3797" s="2" t="inlineStr"/>
      <c r="K3797" s="3" t="inlineStr">
        <is>
          <t>По мотивам рассказов А. П. Чехова «О любви» и «Муж». Чеховская дилогия Артура Войтецкого: "Рассказы о любви" (1980) и "История одной любви" (1981) Второй фильм дилогии "История одной любви" По мотивам рассказов А.П.Чехова "О любви", "Муж", "На балу" Героиня фильма Анна Алексеевна когда-то вышла замуж не по любви, и она давно уже смирилась и со своим скучным мужем, и со своей несчастливой жизнью.</t>
        </is>
      </c>
      <c r="L3797" s="2" t="inlineStr">
        <is>
          <t>Кино_СССР сводный каталог.xlsx: список телефильмов</t>
        </is>
      </c>
      <c r="M3797" s="2">
        <f>HYPERLINK("https://ru.wikipedia.org/w/index.php?search=%D0%98%D1%81%D1%82%D0%BE%D1%80%D0%B8%D1%8F%20%D0%BE%D0%B4%D0%BD%D0%BE%D0%B9%20%D0%BB%D1%8E%D0%B1%D0%B2%D0%B8%201981%20%D1%84%D0%B8%D0%BB%D1%8C%D0%BC","искать")</f>
        <v/>
      </c>
      <c r="N3797" s="3" t="n"/>
      <c r="O3797" s="2" t="n"/>
    </row>
    <row r="3798">
      <c r="A3798" s="2" t="n">
        <v>3797</v>
      </c>
      <c r="B3798" s="2" t="inlineStr"/>
      <c r="C3798" s="2" t="n">
        <v>8307</v>
      </c>
      <c r="D3798" s="3" t="inlineStr">
        <is>
          <t>Сватовство гусара</t>
        </is>
      </c>
      <c r="E3798" s="2" t="n">
        <v>1979</v>
      </c>
      <c r="F3798" s="2" t="inlineStr">
        <is>
          <t>телефильм</t>
        </is>
      </c>
      <c r="G3798" s="2" t="n"/>
      <c r="H3798" s="2" t="n">
        <v>398</v>
      </c>
      <c r="I3798" s="2" t="inlineStr"/>
      <c r="J3798" s="2" t="inlineStr"/>
      <c r="K3798" s="3" t="inlineStr">
        <is>
          <t>Телефильм по мотивам водевиля Н.А. Некрасова "Петербургский ростовщик". Молодой красивый гусар Налимов и дочка ростовщика Лиза любят друг друга. Однако скряга-отец, который кроме денег любит еще и девочек-актрисок из кордебалета, мечтает выдать красавицу замуж за большие деньги. До такой степени жаден будущий тесть, что готов продать собственную дочь первому встречному, если тот дорого заплатит.</t>
        </is>
      </c>
      <c r="L3798" s="2" t="inlineStr">
        <is>
          <t>Кино_СССР сводный каталог.xlsx: список телефильмов</t>
        </is>
      </c>
      <c r="M3798" s="2">
        <f>HYPERLINK("https://ru.wikipedia.org/w/index.php?search=%D0%A1%D0%B2%D0%B0%D1%82%D0%BE%D0%B2%D1%81%D1%82%D0%B2%D0%BE%20%D0%B3%D1%83%D1%81%D0%B0%D1%80%D0%B0%201979%20%D1%84%D0%B8%D0%BB%D1%8C%D0%BC","искать")</f>
        <v/>
      </c>
      <c r="N3798" s="3" t="n"/>
      <c r="O3798" s="2" t="n"/>
    </row>
    <row r="3799">
      <c r="A3799" s="2" t="n">
        <v>3798</v>
      </c>
      <c r="B3799" s="2" t="inlineStr"/>
      <c r="C3799" s="2" t="n">
        <v>10684</v>
      </c>
      <c r="D3799" s="3" t="inlineStr">
        <is>
          <t>Дело Боброва</t>
        </is>
      </c>
      <c r="E3799" s="2" t="n">
        <v>1977</v>
      </c>
      <c r="F3799" s="2" t="inlineStr">
        <is>
          <t>фильм-спектакль</t>
        </is>
      </c>
      <c r="G3799" s="2" t="inlineStr">
        <is>
          <t>Центральное телевидение</t>
        </is>
      </c>
      <c r="H3799" s="2" t="n">
        <v>398</v>
      </c>
      <c r="I3799" s="2" t="inlineStr"/>
      <c r="J3799" s="2" t="inlineStr"/>
      <c r="K3799" s="3" t="inlineStr">
        <is>
          <t>По одноименной пьесе Валентина Черных в постановке Воронежского академического драматического театра имени А.В. Кольцова.
В центре телеспектакля - образ молодого энергичного председателя колхоза Семёна Боброва, увлеченного идеей создания проекта новой деревни. Бобров вовлекает в свои планы реконструкции деревни архитекторов-дипломников, среди которых встречает Клару Вересову - свою будущую жену.</t>
        </is>
      </c>
      <c r="L3799" s="2" t="inlineStr">
        <is>
          <t>https://www.kino-teatr.ru/teatr/movie/105779/annot/</t>
        </is>
      </c>
      <c r="M3799" s="2">
        <f>HYPERLINK("https://ru.wikipedia.org/w/index.php?search=%D0%94%D0%B5%D0%BB%D0%BE%20%D0%91%D0%BE%D0%B1%D1%80%D0%BE%D0%B2%D0%B0%201977%20%D1%84%D0%B8%D0%BB%D1%8C%D0%BC","искать")</f>
        <v/>
      </c>
      <c r="N3799" s="3" t="n"/>
      <c r="O3799" s="2" t="n"/>
    </row>
    <row r="3800">
      <c r="A3800" s="2" t="n">
        <v>3799</v>
      </c>
      <c r="B3800" s="2" t="inlineStr"/>
      <c r="C3800" s="2" t="n">
        <v>7557</v>
      </c>
      <c r="D3800" s="3" t="inlineStr">
        <is>
          <t>Доченька</t>
        </is>
      </c>
      <c r="E3800" s="2" t="n">
        <v>1987</v>
      </c>
      <c r="F3800" s="2" t="inlineStr">
        <is>
          <t>телефильм</t>
        </is>
      </c>
      <c r="G3800" s="2" t="n"/>
      <c r="H3800" s="2" t="n">
        <v>399</v>
      </c>
      <c r="I3800" s="2" t="inlineStr"/>
      <c r="J3800" s="2" t="inlineStr"/>
      <c r="K3800" s="3" t="inlineStr">
        <is>
          <t>Юрия Степановича Ипатова, занимавшего высокий пост, за финансовые нарушения сняли с работы. Осознав и глубоко пережив свою вину, он решает пойти рядовым рабочим на завод, где когда-то начинал трудовую деятельность. Однако, принимая такое решение, Ипатов не ожидал, что его любимая дочь Наташа не только не одобрит этого поступка, но и сочтет унизительным для себя быть дочерью "маленького" человека.</t>
        </is>
      </c>
      <c r="L3800" s="2" t="inlineStr">
        <is>
          <t>Кино_СССР сводный каталог.xlsx: список телефильмов</t>
        </is>
      </c>
      <c r="M3800" s="2">
        <f>HYPERLINK("https://ru.wikipedia.org/w/index.php?search=%D0%94%D0%BE%D1%87%D0%B5%D0%BD%D1%8C%D0%BA%D0%B0%201987%20%D1%84%D0%B8%D0%BB%D1%8C%D0%BC","искать")</f>
        <v/>
      </c>
      <c r="N3800" s="3" t="n"/>
      <c r="O3800" s="2" t="n"/>
    </row>
    <row r="3801">
      <c r="A3801" s="2" t="n">
        <v>3800</v>
      </c>
      <c r="B3801" s="2" t="inlineStr"/>
      <c r="C3801" s="2" t="n">
        <v>7659</v>
      </c>
      <c r="D3801" s="3" t="inlineStr">
        <is>
          <t>И завтра жить</t>
        </is>
      </c>
      <c r="E3801" s="2" t="n">
        <v>1987</v>
      </c>
      <c r="F3801" s="2" t="inlineStr">
        <is>
          <t>телефильм</t>
        </is>
      </c>
      <c r="G3801" s="2" t="n"/>
      <c r="H3801" s="2" t="n">
        <v>399</v>
      </c>
      <c r="I3801" s="2" t="inlineStr"/>
      <c r="J3801" s="2" t="inlineStr"/>
      <c r="K3801" s="3" t="inlineStr">
        <is>
          <t>В годы перестройки молодому и способному руководителю Игорю Шитикову предлагают возглавить отстающий колхоз. После обновления он смог бы снабжать заводчан крупного промышленного объединения сельскохозяйственной продукцией. Но вопрос о реорганизации колхоза полномочен решить лишь сельский сход... Телефильм основан на реальных фактах деятельности Белгородского промышленного объединения "Энергомаш".</t>
        </is>
      </c>
      <c r="L3801" s="2" t="inlineStr">
        <is>
          <t>Кино_СССР сводный каталог.xlsx: список телефильмов</t>
        </is>
      </c>
      <c r="M3801" s="2">
        <f>HYPERLINK("https://ru.wikipedia.org/w/index.php?search=%D0%98%20%D0%B7%D0%B0%D0%B2%D1%82%D1%80%D0%B0%20%D0%B6%D0%B8%D1%82%D1%8C%201987%20%D1%84%D0%B8%D0%BB%D1%8C%D0%BC","искать")</f>
        <v/>
      </c>
      <c r="N3801" s="3" t="n"/>
      <c r="O3801" s="2" t="n"/>
    </row>
    <row r="3802">
      <c r="A3802" s="2" t="n">
        <v>3801</v>
      </c>
      <c r="B3802" s="2" t="inlineStr"/>
      <c r="C3802" s="2" t="n">
        <v>9233</v>
      </c>
      <c r="D3802" s="3" t="inlineStr">
        <is>
          <t>Белый танец</t>
        </is>
      </c>
      <c r="E3802" s="2" t="n">
        <v>1981</v>
      </c>
      <c r="F3802" s="2" t="inlineStr">
        <is>
          <t>кинофильм</t>
        </is>
      </c>
      <c r="G3802" s="2" t="n"/>
      <c r="H3802" s="2" t="n">
        <v>399</v>
      </c>
      <c r="I3802" s="2" t="inlineStr"/>
      <c r="J3802" s="2" t="inlineStr"/>
      <c r="K3802" s="3" t="inlineStr">
        <is>
          <t>20-е годы. В кубанскую деревню Талицы возвращается с фронта гражданской войны Степан Хомутов и решает в бывшей княжеской усадьбе организовать коммуну. Крестьяне, страшась и бандитов, и коммунаров, выжидают исхода борьбы. В этой сложной ситуации бывшая батрачка Алена, жена богатея, полюбила батрака Игнатку, который по слабости своего характера примкнул к бандитам и получил задание спалить деревню.</t>
        </is>
      </c>
      <c r="L3802" s="2" t="inlineStr">
        <is>
          <t>Кино_СССР сводный каталог.xlsx: список фильмов (доп.)</t>
        </is>
      </c>
      <c r="M3802" s="2">
        <f>HYPERLINK("https://ru.wikipedia.org/w/index.php?search=%D0%91%D0%B5%D0%BB%D1%8B%D0%B9%20%D1%82%D0%B0%D0%BD%D0%B5%D1%86%201981%20%D1%84%D0%B8%D0%BB%D1%8C%D0%BC","искать")</f>
        <v/>
      </c>
      <c r="N3802" s="3" t="n"/>
      <c r="O3802" s="2" t="n"/>
    </row>
    <row r="3803">
      <c r="A3803" s="2" t="n">
        <v>3802</v>
      </c>
      <c r="B3803" s="2" t="inlineStr"/>
      <c r="C3803" s="2" t="n">
        <v>10218</v>
      </c>
      <c r="D3803" s="3" t="inlineStr">
        <is>
          <t>Северо-западнее Берлина</t>
        </is>
      </c>
      <c r="E3803" s="2" t="n">
        <v>1967</v>
      </c>
      <c r="F3803" s="2" t="inlineStr">
        <is>
          <t>фильм-спектакль</t>
        </is>
      </c>
      <c r="G3803" s="2" t="inlineStr">
        <is>
          <t>Центральное телевидение</t>
        </is>
      </c>
      <c r="H3803" s="2" t="n">
        <v>399</v>
      </c>
      <c r="I3803" s="2" t="inlineStr"/>
      <c r="J3803" s="2" t="inlineStr"/>
      <c r="K3803" s="3" t="inlineStr">
        <is>
          <t>По одноименной пьесе Севера Гансовского.
Действие происходит в последние дни Великой Отечественной войны. Воинское подразделение освободило из плена солдата. Оказалось, что в этом подразделении служит медсестрой его невеста. Но солдат, лицо которого было изуродовано фашистами, не решался встретиться с ней. Только после гибели солдата, его невеста узнает, что рядом с ней находился любимый человек.</t>
        </is>
      </c>
      <c r="L3803" s="2" t="inlineStr">
        <is>
          <t>https://www.kino-teatr.ru/teatr/movie/14528/annot/</t>
        </is>
      </c>
      <c r="M3803" s="2">
        <f>HYPERLINK("https://ru.wikipedia.org/w/index.php?search=%D0%A1%D0%B5%D0%B2%D0%B5%D1%80%D0%BE-%D0%B7%D0%B0%D0%BF%D0%B0%D0%B4%D0%BD%D0%B5%D0%B5%20%D0%91%D0%B5%D1%80%D0%BB%D0%B8%D0%BD%D0%B0%201967%20%D1%84%D0%B8%D0%BB%D1%8C%D0%BC","искать")</f>
        <v/>
      </c>
      <c r="N3803" s="3" t="n"/>
      <c r="O3803" s="2" t="n"/>
    </row>
    <row r="3804">
      <c r="A3804" s="2" t="n">
        <v>3803</v>
      </c>
      <c r="B3804" s="2" t="inlineStr"/>
      <c r="C3804" s="2" t="n">
        <v>10761</v>
      </c>
      <c r="D3804" s="3" t="inlineStr">
        <is>
          <t>На полпути к вершине</t>
        </is>
      </c>
      <c r="E3804" s="2" t="n">
        <v>1978</v>
      </c>
      <c r="F3804" s="2" t="inlineStr">
        <is>
          <t>фильм-спектакль</t>
        </is>
      </c>
      <c r="G3804" s="2" t="n"/>
      <c r="H3804" s="2" t="n">
        <v>399</v>
      </c>
      <c r="I3804" s="2" t="inlineStr"/>
      <c r="J3804" s="2" t="inlineStr"/>
      <c r="K3804" s="3" t="inlineStr">
        <is>
          <t>Англия второй половины XX века. После длительной военной службы за рубежом возвращается домой генерал Фицбатресс. Дома его его встречают уже взрослые сын хиппи, беременная дочь. Генерал искренне пытается понять жизненные принципы жены и детей. В спектакле довольно с неожиданной стороны показана проблема отцов и детей на фоне великолепной игры актеров. Спектакль поставлен по пьесе Питера Устинова.</t>
        </is>
      </c>
      <c r="L3804" s="2" t="inlineStr">
        <is>
          <t>https://www.kino-teatr.ru/teatr/movie/37670/annot/</t>
        </is>
      </c>
      <c r="M3804" s="2">
        <f>HYPERLINK("https://ru.wikipedia.org/w/index.php?search=%D0%9D%D0%B0%20%D0%BF%D0%BE%D0%BB%D0%BF%D1%83%D1%82%D0%B8%20%D0%BA%20%D0%B2%D0%B5%D1%80%D1%88%D0%B8%D0%BD%D0%B5%201978%20%D1%84%D0%B8%D0%BB%D1%8C%D0%BC","искать")</f>
        <v/>
      </c>
      <c r="N3804" s="3" t="n"/>
      <c r="O3804" s="2" t="n"/>
    </row>
    <row r="3805">
      <c r="A3805" s="2" t="n">
        <v>3804</v>
      </c>
      <c r="B3805" s="2" t="inlineStr"/>
      <c r="C3805" s="2" t="n">
        <v>7364</v>
      </c>
      <c r="D3805" s="3" t="inlineStr">
        <is>
          <t>Володя большой, Володя маленький</t>
        </is>
      </c>
      <c r="E3805" s="2" t="n">
        <v>1985</v>
      </c>
      <c r="F3805" s="2" t="inlineStr">
        <is>
          <t>телефильм</t>
        </is>
      </c>
      <c r="G3805" s="2" t="inlineStr">
        <is>
          <t>к/с им. Довженко</t>
        </is>
      </c>
      <c r="H3805" s="2" t="n">
        <v>400</v>
      </c>
      <c r="I3805" s="2" t="inlineStr"/>
      <c r="J3805" s="2" t="inlineStr"/>
      <c r="K3805" s="3" t="inlineStr">
        <is>
          <t>Телефильм по мотивам рассказов Чехова. Действие происходит в захолустном маленьком городке. История жизни супружеской пары - полковника Ягича и его жены Софьи Львовны, молодой женщины, и их друга - военного доктора, которого зовут, как и мужа Сонечки, Владимиром. Отчасти назло Володе маленькому, когда-то не ответившему на ее чувство, Сонечка вышла замуж за Ягича, который старше ее на тридцать лет.</t>
        </is>
      </c>
      <c r="L3805" s="2" t="inlineStr">
        <is>
          <t>Кино_СССР сводный каталог.xlsx: список телефильмов</t>
        </is>
      </c>
      <c r="M3805" s="2">
        <f>HYPERLINK("https://ru.wikipedia.org/w/index.php?search=%D0%92%D0%BE%D0%BB%D0%BE%D0%B4%D1%8F%20%D0%B1%D0%BE%D0%BB%D1%8C%D1%88%D0%BE%D0%B9%2C%20%D0%92%D0%BE%D0%BB%D0%BE%D0%B4%D1%8F%20%D0%BC%D0%B0%D0%BB%D0%B5%D0%BD%D1%8C%D0%BA%D0%B8%D0%B9%201985%20%D1%84%D0%B8%D0%BB%D1%8C%D0%BC","искать")</f>
        <v/>
      </c>
      <c r="N3805" s="3" t="n"/>
      <c r="O3805" s="2" t="n"/>
    </row>
    <row r="3806">
      <c r="A3806" s="2" t="n">
        <v>3805</v>
      </c>
      <c r="B3806" s="2" t="inlineStr"/>
      <c r="C3806" s="2" t="n">
        <v>8072</v>
      </c>
      <c r="D3806" s="3" t="inlineStr">
        <is>
          <t>Ох, этот ужасный, ужасный телевизор</t>
        </is>
      </c>
      <c r="E3806" s="2" t="n">
        <v>1990</v>
      </c>
      <c r="F3806" s="2" t="inlineStr">
        <is>
          <t>телефильм</t>
        </is>
      </c>
      <c r="G3806" s="2" t="n"/>
      <c r="H3806" s="2" t="n">
        <v>400</v>
      </c>
      <c r="I3806" s="2" t="inlineStr"/>
      <c r="J3806" s="2" t="inlineStr"/>
      <c r="K3806" s="3" t="inlineStr">
        <is>
          <t>Очаровательная, с великолепным мягким юмором, чудесная сказка про любовь... У фотографа Тазо есть почти всё - старая квартира в старом Тбилиси, и дама сердца, и работа, и футбол... Для окончательного счастья не хватает только телевизора. И так уж получилось, что вместо новенькой цветной "Иверии" в телемагазине, он покупает допотопный "ящик" с рук у странного старика, да ещё и по баснословной цене.</t>
        </is>
      </c>
      <c r="L3806" s="2" t="inlineStr">
        <is>
          <t>Кино_СССР сводный каталог.xlsx: список телефильмов</t>
        </is>
      </c>
      <c r="M3806" s="2">
        <f>HYPERLINK("https://ru.wikipedia.org/w/index.php?search=%D0%9E%D1%85%2C%20%D1%8D%D1%82%D0%BE%D1%82%20%D1%83%D0%B6%D0%B0%D1%81%D0%BD%D1%8B%D0%B9%2C%20%D1%83%D0%B6%D0%B0%D1%81%D0%BD%D1%8B%D0%B9%20%D1%82%D0%B5%D0%BB%D0%B5%D0%B2%D0%B8%D0%B7%D0%BE%D1%80%201990%20%D1%84%D0%B8%D0%BB%D1%8C%D0%BC","искать")</f>
        <v/>
      </c>
      <c r="N3806" s="3" t="n"/>
      <c r="O3806" s="2" t="n"/>
    </row>
    <row r="3807">
      <c r="A3807" s="2" t="n">
        <v>3806</v>
      </c>
      <c r="B3807" s="2" t="inlineStr"/>
      <c r="C3807" s="2" t="n">
        <v>8609</v>
      </c>
      <c r="D3807" s="3" t="inlineStr">
        <is>
          <t>Я буду ждать...</t>
        </is>
      </c>
      <c r="E3807" s="2" t="n">
        <v>1979</v>
      </c>
      <c r="F3807" s="2" t="inlineStr">
        <is>
          <t>телефильм</t>
        </is>
      </c>
      <c r="G3807" s="2" t="n"/>
      <c r="H3807" s="2" t="n">
        <v>400</v>
      </c>
      <c r="I3807" s="2" t="inlineStr"/>
      <c r="J3807" s="2" t="inlineStr"/>
      <c r="K3807" s="3" t="inlineStr">
        <is>
          <t>Телефильм. "Я буду ждать..." - так звучит рефреном в фильме надежда безответно любящего сердца. Но, как свершишь, так и воздастся. В этом фильме все ждут. У студента института иностранных языков Никиты Воронова все было прекрасно: всего год до диплома, хорошая семья, спортивные успехи - он мастер спорта по дзюдо, и любимая девушка Маша, умная и верная, которая соглашалась подождать год до свадьбы.</t>
        </is>
      </c>
      <c r="L3807" s="2" t="inlineStr">
        <is>
          <t>Кино_СССР сводный каталог.xlsx: список телефильмов</t>
        </is>
      </c>
      <c r="M3807" s="2">
        <f>HYPERLINK("https://ru.wikipedia.org/w/index.php?search=%D0%AF%20%D0%B1%D1%83%D0%B4%D1%83%20%D0%B6%D0%B4%D0%B0%D1%82%D1%8C...%201979%20%D1%84%D0%B8%D0%BB%D1%8C%D0%BC","искать")</f>
        <v/>
      </c>
      <c r="N3807" s="3" t="n"/>
      <c r="O3807" s="2" t="n"/>
    </row>
    <row r="3808">
      <c r="A3808" s="2" t="n">
        <v>3807</v>
      </c>
      <c r="B3808" s="2" t="inlineStr"/>
      <c r="C3808" s="2" t="n">
        <v>8797</v>
      </c>
      <c r="D3808" s="3" t="inlineStr">
        <is>
          <t>Летучий голландец</t>
        </is>
      </c>
      <c r="E3808" s="2" t="n">
        <v>1990</v>
      </c>
      <c r="F3808" s="2" t="inlineStr">
        <is>
          <t>кинофильм</t>
        </is>
      </c>
      <c r="G3808" s="2" t="n"/>
      <c r="H3808" s="2" t="n">
        <v>400</v>
      </c>
      <c r="I3808" s="2" t="inlineStr"/>
      <c r="J3808" s="2" t="inlineStr"/>
      <c r="K3808" s="3" t="inlineStr">
        <is>
          <t>Канаты, удерживавшие бывший корабль, а ныне ресторан на воде с символическим названием 'Летучий голландец', были обрублены пьяным жителем приморского города, которого швейцар-вышибала не пустил на 'борт' кабака ввиду предстоящего с минуты на минуту закрытия питейного заведения. А когда обитатели ресторана собрались покинуть гостеприимное судно, то обнаружилось, что это можно сделать только вплавь.</t>
        </is>
      </c>
      <c r="L3808" s="2" t="inlineStr">
        <is>
          <t>Кино_СССР сводный каталог.xlsx: список фильмов (доп.)</t>
        </is>
      </c>
      <c r="M3808" s="2">
        <f>HYPERLINK("https://ru.wikipedia.org/w/index.php?search=%D0%9B%D0%B5%D1%82%D1%83%D1%87%D0%B8%D0%B9%20%D0%B3%D0%BE%D0%BB%D0%BB%D0%B0%D0%BD%D0%B4%D0%B5%D1%86%201990%20%D1%84%D0%B8%D0%BB%D1%8C%D0%BC","искать")</f>
        <v/>
      </c>
      <c r="N3808" s="3" t="n"/>
      <c r="O3808" s="2" t="n"/>
    </row>
    <row r="3809">
      <c r="A3809" s="2" t="n">
        <v>3808</v>
      </c>
      <c r="B3809" s="2" t="inlineStr"/>
      <c r="C3809" s="2" t="n">
        <v>8974</v>
      </c>
      <c r="D3809" s="3" t="inlineStr">
        <is>
          <t>Призраки зелёной комнаты</t>
        </is>
      </c>
      <c r="E3809" s="2" t="n">
        <v>1991</v>
      </c>
      <c r="F3809" s="2" t="inlineStr">
        <is>
          <t>кинофильм</t>
        </is>
      </c>
      <c r="G3809" s="2" t="n"/>
      <c r="H3809" s="2" t="n">
        <v>400</v>
      </c>
      <c r="I3809" s="2" t="inlineStr"/>
      <c r="J3809" s="2" t="inlineStr"/>
      <c r="K3809" s="3" t="inlineStr">
        <is>
          <t>По повести Дж.Б.Пристли «Дженни Вильерс». В Зеленой комнате города Бартон-Спа, своеобразном театральном музее, перед премьерой собрались актеры Лондонского театра. Драматург Мартин Чиверел высказывает свои сомнения о том, что театр способен обрести былое очарование. Оставшись один в Зеленой комнате, Чиверел видит актеров прошлого века и становится свидетелем драмы, происшедшей здесь сто лет назад.</t>
        </is>
      </c>
      <c r="L3809" s="2" t="inlineStr">
        <is>
          <t>Кино_СССР сводный каталог.xlsx: список фильмов (доп.)</t>
        </is>
      </c>
      <c r="M3809" s="2">
        <f>HYPERLINK("https://ru.wikipedia.org/w/index.php?search=%D0%9F%D1%80%D0%B8%D0%B7%D1%80%D0%B0%D0%BA%D0%B8%20%D0%B7%D0%B5%D0%BB%D1%91%D0%BD%D0%BE%D0%B9%20%D0%BA%D0%BE%D0%BC%D0%BD%D0%B0%D1%82%D1%8B%201991%20%D1%84%D0%B8%D0%BB%D1%8C%D0%BC","искать")</f>
        <v/>
      </c>
      <c r="N3809" s="3" t="n"/>
      <c r="O3809" s="2" t="n"/>
    </row>
    <row r="3810">
      <c r="A3810" s="2" t="n">
        <v>3809</v>
      </c>
      <c r="B3810" s="2" t="inlineStr"/>
      <c r="C3810" s="2" t="n">
        <v>10894</v>
      </c>
      <c r="D3810" s="3" t="inlineStr">
        <is>
          <t>Неравный бой</t>
        </is>
      </c>
      <c r="E3810" s="2" t="n">
        <v>1981</v>
      </c>
      <c r="F3810" s="2" t="inlineStr">
        <is>
          <t>фильм-спектакль</t>
        </is>
      </c>
      <c r="G3810" s="2" t="inlineStr">
        <is>
          <t>Главная редакция литературно-драматических программ</t>
        </is>
      </c>
      <c r="H3810" s="2" t="n">
        <v>400</v>
      </c>
      <c r="I3810" s="2" t="inlineStr"/>
      <c r="J3810" s="2" t="inlineStr"/>
      <c r="K3810" s="3" t="inlineStr">
        <is>
          <t>По пьесе Виктора Розова.
Действие происходит в пригороде Москвы, где живут главные герои — Слава и Лиза. Они только что окончили среднюю школу, и Слава успешно выдержал экзамены в университет. Молодые люди любят друг друга, но родственники решительно возражают против их встреч, полагая, что это помешает Славе в учёбе. Однако Лизе и Славе удается выстоять в этом неравном бою и защитить свою любовь.</t>
        </is>
      </c>
      <c r="L3810" s="2" t="inlineStr">
        <is>
          <t>https://www.kino-teatr.ru/teatr/movie/137601/annot/</t>
        </is>
      </c>
      <c r="M3810" s="2">
        <f>HYPERLINK("https://ru.wikipedia.org/w/index.php?search=%D0%9D%D0%B5%D1%80%D0%B0%D0%B2%D0%BD%D1%8B%D0%B9%20%D0%B1%D0%BE%D0%B9%201981%20%D1%84%D0%B8%D0%BB%D1%8C%D0%BC","искать")</f>
        <v/>
      </c>
      <c r="N3810" s="3" t="n"/>
      <c r="O3810" s="2" t="n"/>
    </row>
    <row r="3811">
      <c r="A3811" s="2" t="n">
        <v>3810</v>
      </c>
      <c r="B3811" s="2" t="inlineStr"/>
      <c r="C3811" s="2" t="n">
        <v>7462</v>
      </c>
      <c r="D3811" s="3" t="inlineStr">
        <is>
          <t>Гран па в белую ночь</t>
        </is>
      </c>
      <c r="E3811" s="2" t="n">
        <v>1988</v>
      </c>
      <c r="F3811" s="2" t="inlineStr">
        <is>
          <t>телефильм</t>
        </is>
      </c>
      <c r="G3811" s="2" t="inlineStr">
        <is>
          <t>Лентелефильм</t>
        </is>
      </c>
      <c r="H3811" s="2" t="n">
        <v>401</v>
      </c>
      <c r="I3811" s="2" t="inlineStr"/>
      <c r="J3811" s="2" t="inlineStr"/>
      <c r="K3811" s="3" t="inlineStr">
        <is>
          <t>Творческий диалог двух балетных трупп - Ленинградского академического театра оперы и балета им. С.М.Кирова и “Балет XX века” Мориса Бежара. В программе фрагменты балетов П.Чайковского, Л.Минкуса, А.Мачавариани, И.Стравинского, Ле Барса, М.Теодоракиса, П.Гертеля. В июне 1987 года в Петербурге (тогда Ленинграде) гастролировала труппа “Балет XX века” выдающегося хореографа современности Мориса Бежара.</t>
        </is>
      </c>
      <c r="L3811" s="2" t="inlineStr">
        <is>
          <t>Кино_СССР сводный каталог.xlsx: список телефильмов</t>
        </is>
      </c>
      <c r="M3811" s="2">
        <f>HYPERLINK("https://ru.wikipedia.org/w/index.php?search=%D0%93%D1%80%D0%B0%D0%BD%20%D0%BF%D0%B0%20%D0%B2%20%D0%B1%D0%B5%D0%BB%D1%83%D1%8E%20%D0%BD%D0%BE%D1%87%D1%8C%201988%20%D1%84%D0%B8%D0%BB%D1%8C%D0%BC","искать")</f>
        <v/>
      </c>
      <c r="N3811" s="3" t="n"/>
      <c r="O3811" s="2" t="n"/>
    </row>
    <row r="3812">
      <c r="A3812" s="2" t="n">
        <v>3811</v>
      </c>
      <c r="B3812" s="2" t="inlineStr"/>
      <c r="C3812" s="2" t="n">
        <v>9458</v>
      </c>
      <c r="D3812" s="3" t="inlineStr">
        <is>
          <t>Любимчик</t>
        </is>
      </c>
      <c r="E3812" s="2" t="n">
        <v>1991</v>
      </c>
      <c r="F3812" s="2" t="inlineStr">
        <is>
          <t>кинофильм</t>
        </is>
      </c>
      <c r="G3812" s="2" t="n"/>
      <c r="H3812" s="2" t="n">
        <v>401</v>
      </c>
      <c r="I3812" s="2" t="inlineStr"/>
      <c r="J3812" s="2" t="inlineStr"/>
      <c r="K3812" s="3" t="inlineStr">
        <is>
          <t>Молодой, толковый и везучий парень по прозвищу Любимчик, которое к нему прилипло еще в студенческие годы, увлекается каратэ. Его примечает местная мафия и начинает продвигать в народные депутаты РСФСР. Понять эту ситуацию герою помогает девушка, которую он встречает после долгой разлуки. Борьба за ее честь перерастает в открытую схватку с преступной группировкой, из которой парень выходит с честью.</t>
        </is>
      </c>
      <c r="L3812" s="2" t="inlineStr">
        <is>
          <t>Кино_СССР сводный каталог.xlsx: список фильмов (доп.)</t>
        </is>
      </c>
      <c r="M3812" s="2">
        <f>HYPERLINK("https://ru.wikipedia.org/w/index.php?search=%D0%9B%D1%8E%D0%B1%D0%B8%D0%BC%D1%87%D0%B8%D0%BA%201991%20%D1%84%D0%B8%D0%BB%D1%8C%D0%BC","искать")</f>
        <v/>
      </c>
      <c r="N3812" s="3" t="n"/>
      <c r="O3812" s="2" t="n"/>
    </row>
    <row r="3813">
      <c r="A3813" s="2" t="n">
        <v>3812</v>
      </c>
      <c r="B3813" s="2" t="inlineStr"/>
      <c r="C3813" s="2" t="n">
        <v>9562</v>
      </c>
      <c r="D3813" s="3" t="inlineStr">
        <is>
          <t>Поджигатели</t>
        </is>
      </c>
      <c r="E3813" s="2" t="n">
        <v>1988</v>
      </c>
      <c r="F3813" s="2" t="inlineStr">
        <is>
          <t>кинофильм</t>
        </is>
      </c>
      <c r="G3813" s="2" t="n"/>
      <c r="H3813" s="2" t="n">
        <v>401</v>
      </c>
      <c r="I3813" s="2" t="inlineStr"/>
      <c r="J3813" s="2" t="inlineStr"/>
      <c r="K3813" s="3" t="inlineStr">
        <is>
          <t>После поджога штрафного изолятора ИТУ Саша совершает побег и попадает в Туркмению, где на одном из полустанков работает геологом ее бабушка - единственная и последняя надежда на понимание и сочувствие. Но бабушка, опасаясь тяжких последствий, намерена вернуть внучку в руки правосудия... Александр Сурин, режиссер: "— Я объездил десятки спецПТУ, обстановка в них произвела на меня шоковое впечатление.</t>
        </is>
      </c>
      <c r="L3813" s="2" t="inlineStr">
        <is>
          <t>Кино_СССР сводный каталог.xlsx: список фильмов (доп.)</t>
        </is>
      </c>
      <c r="M3813" s="2">
        <f>HYPERLINK("https://ru.wikipedia.org/w/index.php?search=%D0%9F%D0%BE%D0%B4%D0%B6%D0%B8%D0%B3%D0%B0%D1%82%D0%B5%D0%BB%D0%B8%201988%20%D1%84%D0%B8%D0%BB%D1%8C%D0%BC","искать")</f>
        <v/>
      </c>
      <c r="N3813" s="3" t="n"/>
      <c r="O3813" s="2" t="n"/>
    </row>
    <row r="3814">
      <c r="A3814" s="2" t="n">
        <v>3813</v>
      </c>
      <c r="B3814" s="2" t="inlineStr"/>
      <c r="C3814" s="2" t="n">
        <v>9810</v>
      </c>
      <c r="D3814" s="3" t="inlineStr">
        <is>
          <t>Хористка</t>
        </is>
      </c>
      <c r="E3814" s="2" t="n">
        <v>1955</v>
      </c>
      <c r="F3814" s="2" t="inlineStr">
        <is>
          <t>телефильм</t>
        </is>
      </c>
      <c r="G3814" s="2" t="inlineStr">
        <is>
          <t>Центральная студия телевидения</t>
        </is>
      </c>
      <c r="H3814" s="2" t="n">
        <v>401</v>
      </c>
      <c r="I3814" s="2" t="inlineStr"/>
      <c r="J3814" s="2" t="inlineStr"/>
      <c r="K3814" s="3" t="inlineStr">
        <is>
          <t>По одноименному рассказу А.П.Чехова.
Во время встречи хористки Паши со своим любовником Колпаковым неожиданно появляется его жена. Окинув Пашу прицельным взглядом, она стала требовать от нее драгоценности, якобы подаренные Колпаковым. Паша, кроме сладких пирожков от Колпакова ничего не имела, но сконфузилась и покраснела. Обобрав растерявшуюся хористку, Колпаковы один за другим покинули несчастную.</t>
        </is>
      </c>
      <c r="L3814" s="2" t="inlineStr">
        <is>
          <t>https://www.kino-teatr.ru/short/movie/sov/7641/annot/</t>
        </is>
      </c>
      <c r="M3814" s="2">
        <f>HYPERLINK("https://ru.wikipedia.org/w/index.php?search=%D0%A5%D0%BE%D1%80%D0%B8%D1%81%D1%82%D0%BA%D0%B0%201955%20%D1%84%D0%B8%D0%BB%D1%8C%D0%BC","искать")</f>
        <v/>
      </c>
      <c r="N3814" s="3" t="n"/>
      <c r="O3814" s="2" t="n"/>
    </row>
    <row r="3815">
      <c r="A3815" s="2" t="n">
        <v>3814</v>
      </c>
      <c r="B3815" s="2" t="inlineStr"/>
      <c r="C3815" s="2" t="n">
        <v>10337</v>
      </c>
      <c r="D3815" s="3" t="inlineStr">
        <is>
          <t>Улица Ангела</t>
        </is>
      </c>
      <c r="E3815" s="2" t="n">
        <v>1969</v>
      </c>
      <c r="F3815" s="2" t="inlineStr">
        <is>
          <t>фильм-спектакль</t>
        </is>
      </c>
      <c r="G3815" s="2" t="inlineStr">
        <is>
          <t>Главная редакция литературно-драматических программ ЦТ</t>
        </is>
      </c>
      <c r="H3815" s="2" t="n">
        <v>401</v>
      </c>
      <c r="I3815" s="2" t="inlineStr"/>
      <c r="J3815" s="2" t="inlineStr"/>
      <c r="K3815" s="3" t="inlineStr">
        <is>
          <t>По мотивам одноименного романа английского писателя Дж.Пристли.
На улице Ангела в Лондоне находилась контора "Твиг и Дэрсингем". Дела фирмы шли плохо, но неожиданно в конторе появляется агент по сбыту товаров. С его приходом фирма стала преуспевать, и у людей, работавших там, появились радужные надежды на будущее. Однако им не суждено было сбыться. Агент Голспи оказался аферистом, разорившим фирму.</t>
        </is>
      </c>
      <c r="L3815" s="2" t="inlineStr">
        <is>
          <t>https://www.kino-teatr.ru/teatr/movie/15384/annot/</t>
        </is>
      </c>
      <c r="M3815" s="2">
        <f>HYPERLINK("https://ru.wikipedia.org/w/index.php?search=%D0%A3%D0%BB%D0%B8%D1%86%D0%B0%20%D0%90%D0%BD%D0%B3%D0%B5%D0%BB%D0%B0%201969%20%D1%84%D0%B8%D0%BB%D1%8C%D0%BC","искать")</f>
        <v/>
      </c>
      <c r="N3815" s="3" t="n"/>
      <c r="O3815" s="2" t="n"/>
    </row>
    <row r="3816">
      <c r="A3816" s="2" t="n">
        <v>3815</v>
      </c>
      <c r="B3816" s="2" t="inlineStr"/>
      <c r="C3816" s="2" t="n">
        <v>10614</v>
      </c>
      <c r="D3816" s="3" t="inlineStr">
        <is>
          <t>Кружилиха</t>
        </is>
      </c>
      <c r="E3816" s="2" t="n">
        <v>1975</v>
      </c>
      <c r="F3816" s="2" t="inlineStr">
        <is>
          <t>фильм-спектакль</t>
        </is>
      </c>
      <c r="G3816" s="2" t="inlineStr">
        <is>
          <t>Гл. ред. лит-драм программ</t>
        </is>
      </c>
      <c r="H3816" s="2" t="n">
        <v>401</v>
      </c>
      <c r="I3816" s="2" t="inlineStr"/>
      <c r="J3816" s="2" t="inlineStr"/>
      <c r="K3816" s="3" t="inlineStr">
        <is>
          <t>По мотивам одноименного романа Веры Пановой. Действие происходит на крупном оборонном заводе в конце Великой Отечественной войны и в первые месяцы после победы. Война свела на Кружилихе, так называется завод, людей очень разных, но их объединяет стремление помочь фронту, сделать все для победы. Кончается война, налаживается мирная жизнь, и герои телеспектакля находят в ней свое место, свое счастье.</t>
        </is>
      </c>
      <c r="L3816" s="2" t="inlineStr">
        <is>
          <t>https://www.kino-teatr.ru/teatr/movie/11025/annot/</t>
        </is>
      </c>
      <c r="M3816" s="2">
        <f>HYPERLINK("https://ru.wikipedia.org/w/index.php?search=%D0%9A%D1%80%D1%83%D0%B6%D0%B8%D0%BB%D0%B8%D1%85%D0%B0%201975%20%D1%84%D0%B8%D0%BB%D1%8C%D0%BC","искать")</f>
        <v/>
      </c>
      <c r="N3816" s="3" t="n"/>
      <c r="O3816" s="2" t="n"/>
    </row>
    <row r="3817">
      <c r="A3817" s="2" t="n">
        <v>3816</v>
      </c>
      <c r="B3817" s="2" t="inlineStr"/>
      <c r="C3817" s="2" t="n">
        <v>7241</v>
      </c>
      <c r="D3817" s="3" t="inlineStr">
        <is>
          <t>Без семьи</t>
        </is>
      </c>
      <c r="E3817" s="2" t="n">
        <v>1984</v>
      </c>
      <c r="F3817" s="2" t="inlineStr">
        <is>
          <t>телефильм</t>
        </is>
      </c>
      <c r="G3817" s="2" t="inlineStr">
        <is>
          <t>Киностудия «Ленфильм»; Творческое объединение телевизионных фильмов</t>
        </is>
      </c>
      <c r="H3817" s="2" t="n">
        <v>402</v>
      </c>
      <c r="I3817" s="2" t="inlineStr"/>
      <c r="J3817" s="2" t="inlineStr"/>
      <c r="K3817" s="3" t="inlineStr">
        <is>
          <t>Телефильм по мотивам одноименной повести Гектора Мало о жизни и злоключениях мальчика-подкидыша, воспитывающий в детях доброту и отвагу. Действие происходит в XIX веке во Франции. Мальчик Реми скитается с бродячим цирком по разным городам и, в конце концов, находит свою семью... Бродячая жизнь многому научила ребенка, а дружба и поддержка тех, с кем свела его судьба, помогла перенести все испытания.</t>
        </is>
      </c>
      <c r="L3817" s="2" t="inlineStr">
        <is>
          <t>Кино_СССР сводный каталог.xlsx: список телефильмов</t>
        </is>
      </c>
      <c r="M3817" s="2">
        <f>HYPERLINK("https://ru.wikipedia.org/w/index.php?search=%D0%91%D0%B5%D0%B7%20%D1%81%D0%B5%D0%BC%D1%8C%D0%B8%201984%20%D1%84%D0%B8%D0%BB%D1%8C%D0%BC","искать")</f>
        <v/>
      </c>
      <c r="N3817" s="3" t="n"/>
      <c r="O3817" s="2" t="n"/>
    </row>
    <row r="3818">
      <c r="A3818" s="2" t="n">
        <v>3817</v>
      </c>
      <c r="B3818" s="2" t="inlineStr"/>
      <c r="C3818" s="2" t="n">
        <v>7336</v>
      </c>
      <c r="D3818" s="3" t="inlineStr">
        <is>
          <t>Взлётная полоса</t>
        </is>
      </c>
      <c r="E3818" s="2" t="n">
        <v>1970</v>
      </c>
      <c r="F3818" s="2" t="inlineStr">
        <is>
          <t>телефильм</t>
        </is>
      </c>
      <c r="G3818" s="2" t="n"/>
      <c r="H3818" s="2" t="n">
        <v>402</v>
      </c>
      <c r="I3818" s="2" t="inlineStr"/>
      <c r="J3818" s="2" t="inlineStr"/>
      <c r="K3818" s="3" t="inlineStr">
        <is>
          <t>Телефильм.
В горном кишлаке живет Мухаббат, мастерица национальных женских украшений. Часто прилетает в кишлак летчик сельскохозяйственной авиации Зафар, который давно любит девушку. Но отец Мухаббат, не желая, чтобы дочь покидала родные места, пытается выдать ее замуж за другого. Но любовь Мухаббат и Зафара побеждает…
Подробнее на Кино-Театр.РУ https://www.kino-teatr.ru/kino/movie/sov/11798/annot/</t>
        </is>
      </c>
      <c r="L3818" s="2" t="inlineStr">
        <is>
          <t>Кино_СССР сводный каталог.xlsx: список телефильмов</t>
        </is>
      </c>
      <c r="M3818" s="2">
        <f>HYPERLINK("https://ru.wikipedia.org/w/index.php?search=%D0%92%D0%B7%D0%BB%D1%91%D1%82%D0%BD%D0%B0%D1%8F%20%D0%BF%D0%BE%D0%BB%D0%BE%D1%81%D0%B0%201970%20%D1%84%D0%B8%D0%BB%D1%8C%D0%BC","искать")</f>
        <v/>
      </c>
      <c r="N3818" s="3" t="n"/>
      <c r="O3818" s="2" t="n"/>
    </row>
    <row r="3819">
      <c r="A3819" s="2" t="n">
        <v>3818</v>
      </c>
      <c r="B3819" s="2" t="inlineStr"/>
      <c r="C3819" s="2" t="n">
        <v>8001</v>
      </c>
      <c r="D3819" s="3" t="inlineStr">
        <is>
          <t>Новая земля</t>
        </is>
      </c>
      <c r="E3819" s="2" t="n">
        <v>1982</v>
      </c>
      <c r="F3819" s="2" t="inlineStr">
        <is>
          <t>телефильм</t>
        </is>
      </c>
      <c r="G3819" s="2" t="n"/>
      <c r="H3819" s="2" t="n">
        <v>402</v>
      </c>
      <c r="I3819" s="2" t="inlineStr"/>
      <c r="J3819" s="2" t="inlineStr"/>
      <c r="K3819" s="3" t="inlineStr">
        <is>
          <t>По мотивам одноименной поэмы Якуба Коласа. О своей земле и свободе страстно мечтают главные герои фильма - лесник Михал, его жена Ганна и брат Антось. Но пока для покупки участка нет денег, и Михал вынужден переезжать с места на место, чтобы прокормить свою большую семью. Много трудностей и невзгод придется преодолеть Михалу и его близким, чтобы хоть немного приблизиться к осуществлению своей мечты.</t>
        </is>
      </c>
      <c r="L3819" s="2" t="inlineStr">
        <is>
          <t>Кино_СССР сводный каталог.xlsx: список телефильмов</t>
        </is>
      </c>
      <c r="M3819" s="2">
        <f>HYPERLINK("https://ru.wikipedia.org/w/index.php?search=%D0%9D%D0%BE%D0%B2%D0%B0%D1%8F%20%D0%B7%D0%B5%D0%BC%D0%BB%D1%8F%201982%20%D1%84%D0%B8%D0%BB%D1%8C%D0%BC","искать")</f>
        <v/>
      </c>
      <c r="N3819" s="3" t="n"/>
      <c r="O3819" s="2" t="n"/>
    </row>
    <row r="3820">
      <c r="A3820" s="2" t="n">
        <v>3819</v>
      </c>
      <c r="B3820" s="2" t="inlineStr"/>
      <c r="C3820" s="2" t="n">
        <v>8068</v>
      </c>
      <c r="D3820" s="3" t="inlineStr">
        <is>
          <t>Отпуск в сентябре</t>
        </is>
      </c>
      <c r="E3820" s="2" t="n">
        <v>1979</v>
      </c>
      <c r="F3820" s="2" t="inlineStr">
        <is>
          <t>телефильм</t>
        </is>
      </c>
      <c r="G3820" s="2" t="n"/>
      <c r="H3820" s="2" t="n">
        <v>402</v>
      </c>
      <c r="I3820" s="2" t="inlineStr"/>
      <c r="J3820" s="2" t="inlineStr"/>
      <c r="K3820" s="3" t="inlineStr">
        <is>
          <t>Телефильм по мотивам пьесы Александра Вампилова "Утиная охота". Фильм снят в 1979 году, но после съёмок был «положен на полку». На телевизионный экран картина попала лишь в июне 1987 года, уже после смерти Олега Даля. Инженер Зилов переживает душевный кризис. Казалось бы, герою фильма жить да радоваться: он окружен верными друзьями, его любят женщины, у него неплохая работа, налаженный семейный быт.</t>
        </is>
      </c>
      <c r="L3820" s="2" t="inlineStr">
        <is>
          <t>Кино_СССР сводный каталог.xlsx: список телефильмов</t>
        </is>
      </c>
      <c r="M3820" s="2">
        <f>HYPERLINK("https://ru.wikipedia.org/w/index.php?search=%D0%9E%D1%82%D0%BF%D1%83%D1%81%D0%BA%20%D0%B2%20%D1%81%D0%B5%D0%BD%D1%82%D1%8F%D0%B1%D1%80%D0%B5%201979%20%D1%84%D0%B8%D0%BB%D1%8C%D0%BC","искать")</f>
        <v/>
      </c>
      <c r="N3820" s="3" t="n"/>
      <c r="O3820" s="2" t="n"/>
    </row>
    <row r="3821">
      <c r="A3821" s="2" t="n">
        <v>3820</v>
      </c>
      <c r="B3821" s="2" t="inlineStr"/>
      <c r="C3821" s="2" t="n">
        <v>9071</v>
      </c>
      <c r="D3821" s="3" t="inlineStr">
        <is>
          <t>Степные раскаты (Уральск в огне)</t>
        </is>
      </c>
      <c r="E3821" s="2" t="n">
        <v>1974</v>
      </c>
      <c r="F3821" s="2" t="inlineStr">
        <is>
          <t>кинофильм</t>
        </is>
      </c>
      <c r="G3821" s="2" t="n"/>
      <c r="H3821" s="2" t="n">
        <v>402</v>
      </c>
      <c r="I3821" s="2" t="inlineStr"/>
      <c r="J3821" s="2" t="inlineStr"/>
      <c r="K3821" s="3" t="inlineStr">
        <is>
          <t>Фильм "Степные раскаты" посвящен событиям гражданской войны, наступлению войск Деникина и Колчака на Уральск, обороне города. Исторические факты в нем представлены с значительным размахом, через личности и судьбы многих персонажей, с широким вводом массовых и батальных сцен. Сюжетной завязкой фильма является спор отца и сына Тучновых, генерал-майора и прапорщика белой армии, о правомерности насилия.</t>
        </is>
      </c>
      <c r="L3821" s="2" t="inlineStr">
        <is>
          <t>Кино_СССР сводный каталог.xlsx: список фильмов (доп.)</t>
        </is>
      </c>
      <c r="M3821" s="2">
        <f>HYPERLINK("https://ru.wikipedia.org/w/index.php?search=%D0%A1%D1%82%D0%B5%D0%BF%D0%BD%D1%8B%D0%B5%20%D1%80%D0%B0%D1%81%D0%BA%D0%B0%D1%82%D1%8B%20%28%D0%A3%D1%80%D0%B0%D0%BB%D1%8C%D1%81%D0%BA%20%D0%B2%20%D0%BE%D0%B3%D0%BD%D0%B5%29%201974%20%D1%84%D0%B8%D0%BB%D1%8C%D0%BC","искать")</f>
        <v/>
      </c>
      <c r="N3821" s="3" t="n"/>
      <c r="O3821" s="2" t="n"/>
    </row>
    <row r="3822">
      <c r="A3822" s="2" t="n">
        <v>3821</v>
      </c>
      <c r="B3822" s="2" t="inlineStr"/>
      <c r="C3822" s="2" t="n">
        <v>9178</v>
      </c>
      <c r="D3822" s="3" t="inlineStr">
        <is>
          <t>Шут</t>
        </is>
      </c>
      <c r="E3822" s="2" t="n">
        <v>1988</v>
      </c>
      <c r="F3822" s="2" t="inlineStr">
        <is>
          <t>кинофильм</t>
        </is>
      </c>
      <c r="G3822" s="2" t="n"/>
      <c r="H3822" s="2" t="n">
        <v>402</v>
      </c>
      <c r="I3822" s="2" t="inlineStr"/>
      <c r="J3822" s="2" t="inlineStr"/>
      <c r="K3822" s="3" t="inlineStr">
        <is>
          <t>По мотивам одноименной повести Юрия Вяземского. Действие фильма происходит в Москве. Пользуясь интеллектуальным превосходством, подросток Валя Успенский утонченно и безжалостно мстит окружающим за малые и большие обиды. Он считает себя «психологом по призванию», и, используя особую систему приёмов, которые он называет шутэнами, юноша постоянно производит психологические эксперименты над окружающими.</t>
        </is>
      </c>
      <c r="L3822" s="2" t="inlineStr">
        <is>
          <t>Кино_СССР сводный каталог.xlsx: список фильмов (доп.)</t>
        </is>
      </c>
      <c r="M3822" s="2">
        <f>HYPERLINK("https://ru.wikipedia.org/w/index.php?search=%D0%A8%D1%83%D1%82%201988%20%D1%84%D0%B8%D0%BB%D1%8C%D0%BC","искать")</f>
        <v/>
      </c>
      <c r="N3822" s="3" t="n"/>
      <c r="O3822" s="2" t="n"/>
    </row>
    <row r="3823">
      <c r="A3823" s="2" t="n">
        <v>3822</v>
      </c>
      <c r="B3823" s="2" t="inlineStr"/>
      <c r="C3823" s="2" t="n">
        <v>9407</v>
      </c>
      <c r="D3823" s="3" t="inlineStr">
        <is>
          <t>Капитан Крокус</t>
        </is>
      </c>
      <c r="E3823" s="2" t="n">
        <v>1991</v>
      </c>
      <c r="F3823" s="2" t="inlineStr">
        <is>
          <t>кинофильм</t>
        </is>
      </c>
      <c r="G3823" s="2" t="n"/>
      <c r="H3823" s="2" t="n">
        <v>402</v>
      </c>
      <c r="I3823" s="2" t="inlineStr"/>
      <c r="J3823" s="2" t="inlineStr"/>
      <c r="K3823" s="3" t="inlineStr">
        <is>
          <t>Появление клоуна Коко и поросенка Персика на арене цирка - это всегда веселый праздник для детей и взрослых одного маленького города. Но страшное Чучелище готово на все, лишь бы этот праздник не состоялся, а детский смех превратился в слезы. В это время городская власть оказывается в руках коварного Генерала-Кибернатора, который приказывает закрыть цирк, арестовать Коко, а из Персика сделать чучело.</t>
        </is>
      </c>
      <c r="L3823" s="2" t="inlineStr">
        <is>
          <t>Кино_СССР сводный каталог.xlsx: список фильмов (доп.)</t>
        </is>
      </c>
      <c r="M3823" s="2">
        <f>HYPERLINK("https://ru.wikipedia.org/w/index.php?search=%D0%9A%D0%B0%D0%BF%D0%B8%D1%82%D0%B0%D0%BD%20%D0%9A%D1%80%D0%BE%D0%BA%D1%83%D1%81%201991%20%D1%84%D0%B8%D0%BB%D1%8C%D0%BC","искать")</f>
        <v/>
      </c>
      <c r="N3823" s="3" t="n"/>
      <c r="O3823" s="2" t="n"/>
    </row>
    <row r="3824">
      <c r="A3824" s="2" t="n">
        <v>3823</v>
      </c>
      <c r="B3824" s="2" t="inlineStr"/>
      <c r="C3824" s="2" t="n">
        <v>10331</v>
      </c>
      <c r="D3824" s="3" t="inlineStr">
        <is>
          <t>Солдаты в синих шинелях</t>
        </is>
      </c>
      <c r="E3824" s="2" t="n">
        <v>1969</v>
      </c>
      <c r="F3824" s="2" t="inlineStr">
        <is>
          <t>фильм-спектакль</t>
        </is>
      </c>
      <c r="G3824" s="2" t="inlineStr">
        <is>
          <t>Центральное телевидение</t>
        </is>
      </c>
      <c r="H3824" s="2" t="n">
        <v>402</v>
      </c>
      <c r="I3824" s="2" t="inlineStr"/>
      <c r="J3824" s="2" t="inlineStr"/>
      <c r="K3824" s="3" t="inlineStr">
        <is>
          <t>По рассказу "Ночной выстрел" из сборника рассказов Александра и Ольги Лавровых "Солдаты в синих шинелях" (работники милиции в свое время были в синей форме). Рассказ о работе следователя Стрепетова - главного героя книги Лавровых. После этого телеспектакля Лавровым заказали цикл с общими героями. Лавровы согласились и через определенное количество времени был создан сериал "Следствие ведут Знатоки".</t>
        </is>
      </c>
      <c r="L3824" s="2" t="inlineStr">
        <is>
          <t>https://www.kino-teatr.ru/teatr/movie/83198/annot/</t>
        </is>
      </c>
      <c r="M3824" s="2">
        <f>HYPERLINK("https://ru.wikipedia.org/w/index.php?search=%D0%A1%D0%BE%D0%BB%D0%B4%D0%B0%D1%82%D1%8B%20%D0%B2%20%D1%81%D0%B8%D0%BD%D0%B8%D1%85%20%D1%88%D0%B8%D0%BD%D0%B5%D0%BB%D1%8F%D1%85%201969%20%D1%84%D0%B8%D0%BB%D1%8C%D0%BC","искать")</f>
        <v/>
      </c>
      <c r="N3824" s="3" t="n"/>
      <c r="O3824" s="2" t="n"/>
    </row>
    <row r="3825">
      <c r="A3825" s="2" t="n">
        <v>3824</v>
      </c>
      <c r="B3825" s="2" t="inlineStr"/>
      <c r="C3825" s="2" t="n">
        <v>10338</v>
      </c>
      <c r="D3825" s="3" t="inlineStr">
        <is>
          <t>Уральская рябинушка</t>
        </is>
      </c>
      <c r="E3825" s="2" t="n">
        <v>1969</v>
      </c>
      <c r="F3825" s="2" t="inlineStr">
        <is>
          <t>фильм-спектакль</t>
        </is>
      </c>
      <c r="G3825" s="2" t="inlineStr">
        <is>
          <t>Свердловская киностудия</t>
        </is>
      </c>
      <c r="H3825" s="2" t="n">
        <v>402</v>
      </c>
      <c r="I3825" s="2" t="inlineStr"/>
      <c r="J3825" s="2" t="inlineStr"/>
      <c r="K3825" s="3" t="inlineStr">
        <is>
          <t>В ролях: Государственный Уральский Русский Народный хор
Советский мюзикл "Уральская рябинушка" - это большой подарок всем жаждущим гармонии и покоя.
Лирические песни и пляски под гармошку, хороводы и казачий задор чередуются с неповторимыми видами дивной русской природы.
Исполнения артистов необыкновенно реалистичны, зрелищны и красочны, завораживают мастерством и надолго остаются в памяти зрителей.</t>
        </is>
      </c>
      <c r="L3825" s="2" t="inlineStr">
        <is>
          <t>https://www.kino-teatr.ru/teatr/movie/96348/annot/</t>
        </is>
      </c>
      <c r="M3825" s="2">
        <f>HYPERLINK("https://ru.wikipedia.org/w/index.php?search=%D0%A3%D1%80%D0%B0%D0%BB%D1%8C%D1%81%D0%BA%D0%B0%D1%8F%20%D1%80%D1%8F%D0%B1%D0%B8%D0%BD%D1%83%D1%88%D0%BA%D0%B0%201969%20%D1%84%D0%B8%D0%BB%D1%8C%D0%BC","искать")</f>
        <v/>
      </c>
      <c r="N3825" s="3" t="n"/>
      <c r="O3825" s="2" t="n"/>
    </row>
    <row r="3826">
      <c r="A3826" s="2" t="n">
        <v>3825</v>
      </c>
      <c r="B3826" s="2" t="inlineStr"/>
      <c r="C3826" s="2" t="n">
        <v>7312</v>
      </c>
      <c r="D3826" s="3" t="inlineStr">
        <is>
          <t>Васька</t>
        </is>
      </c>
      <c r="E3826" s="2" t="n">
        <v>1989</v>
      </c>
      <c r="F3826" s="2" t="inlineStr">
        <is>
          <t>телефильм</t>
        </is>
      </c>
      <c r="G3826" s="2" t="n"/>
      <c r="H3826" s="2" t="n">
        <v>403</v>
      </c>
      <c r="I3826" s="2" t="inlineStr"/>
      <c r="J3826" s="2" t="inlineStr"/>
      <c r="K3826" s="3" t="inlineStr">
        <is>
          <t>По одноименной повести Сергея Антонова. В 1934 году на строительстве Московского метрополитена работала Маргарита Чугуева, прозванная за крупную стать и мужскую силу Васькой. Однажды среди новичков бригады она узнала Осипа - своего мучителя, издевавшегося над спецпереселенцами в сибирском поселке, куда была сослана в годы коллективизации семья зажиточных крестьян Чугуевых, и откуда сбежала Маргарита.</t>
        </is>
      </c>
      <c r="L3826" s="2" t="inlineStr">
        <is>
          <t>Кино_СССР сводный каталог.xlsx: список телефильмов</t>
        </is>
      </c>
      <c r="M3826" s="2">
        <f>HYPERLINK("https://ru.wikipedia.org/w/index.php?search=%D0%92%D0%B0%D1%81%D1%8C%D0%BA%D0%B0%201989%20%D1%84%D0%B8%D0%BB%D1%8C%D0%BC","искать")</f>
        <v/>
      </c>
      <c r="N3826" s="3" t="n"/>
      <c r="O3826" s="2" t="n"/>
    </row>
    <row r="3827">
      <c r="A3827" s="2" t="n">
        <v>3826</v>
      </c>
      <c r="B3827" s="2" t="inlineStr"/>
      <c r="C3827" s="2" t="n">
        <v>9286</v>
      </c>
      <c r="D3827" s="3" t="inlineStr">
        <is>
          <t>Враг народа - Бухарин</t>
        </is>
      </c>
      <c r="E3827" s="2" t="n">
        <v>1990</v>
      </c>
      <c r="F3827" s="2" t="inlineStr">
        <is>
          <t>кинофильм</t>
        </is>
      </c>
      <c r="G3827" s="2" t="n"/>
      <c r="H3827" s="2" t="n">
        <v>403</v>
      </c>
      <c r="I3827" s="2" t="inlineStr"/>
      <c r="J3827" s="2" t="inlineStr"/>
      <c r="K3827" s="3" t="inlineStr">
        <is>
          <t>Историко-биографический фильм о Николае Бухарине (1888-1938). Авторы исторической драмы приоткрывают малоизвестную страницу истории -«ложный» процесс над Николаем Бухариным, который стал репетицией главного действа, не замедлившего себя долго ждать. По архивным документам, именно на этом «малом» процессе Бухарин решил полностью изменить его ход и вместо навязанного ему сценария начал говорить правду.</t>
        </is>
      </c>
      <c r="L3827" s="2" t="inlineStr">
        <is>
          <t>Кино_СССР сводный каталог.xlsx: список фильмов (доп.)</t>
        </is>
      </c>
      <c r="M3827" s="2">
        <f>HYPERLINK("https://ru.wikipedia.org/w/index.php?search=%D0%92%D1%80%D0%B0%D0%B3%20%D0%BD%D0%B0%D1%80%D0%BE%D0%B4%D0%B0%20-%20%D0%91%D1%83%D1%85%D0%B0%D1%80%D0%B8%D0%BD%201990%20%D1%84%D0%B8%D0%BB%D1%8C%D0%BC","искать")</f>
        <v/>
      </c>
      <c r="N3827" s="3" t="n"/>
      <c r="O3827" s="2" t="n"/>
    </row>
    <row r="3828">
      <c r="A3828" s="2" t="n">
        <v>3827</v>
      </c>
      <c r="B3828" s="2" t="inlineStr"/>
      <c r="C3828" s="2" t="n">
        <v>9594</v>
      </c>
      <c r="D3828" s="3" t="inlineStr">
        <is>
          <t>Проверка на дорогах</t>
        </is>
      </c>
      <c r="E3828" s="2" t="n">
        <v>1971</v>
      </c>
      <c r="F3828" s="2" t="inlineStr">
        <is>
          <t>кинофильм</t>
        </is>
      </c>
      <c r="G3828" s="2" t="inlineStr">
        <is>
          <t>Ленфильм</t>
        </is>
      </c>
      <c r="H3828" s="2" t="n">
        <v>403</v>
      </c>
      <c r="I3828" s="2" t="inlineStr"/>
      <c r="J3828" s="2" t="inlineStr"/>
      <c r="K3828" s="3" t="inlineStr">
        <is>
          <t>По мотивам военной прозы Ю.Германа. Зима 1942 года. В одной из северо - западных областей России, оккупированной фашистами, действует партизанский отряд лейтенанта Ивана Локоткова, в прошлом - сельского милиционера. Отряд кормить нечем: в округе - одни сожженные деревни и каратели. Командир принимает решение захватить фашистский эшелон с продовольствием на узловой станции, где охраняется каждый метр.</t>
        </is>
      </c>
      <c r="L3828" s="2" t="inlineStr">
        <is>
          <t>Кино_СССР сводный каталог.xlsx: список фильмов (доп.)</t>
        </is>
      </c>
      <c r="M3828" s="2">
        <f>HYPERLINK("https://ru.wikipedia.org/w/index.php?search=%D0%9F%D1%80%D0%BE%D0%B2%D0%B5%D1%80%D0%BA%D0%B0%20%D0%BD%D0%B0%20%D0%B4%D0%BE%D1%80%D0%BE%D0%B3%D0%B0%D1%85%201971%20%D1%84%D0%B8%D0%BB%D1%8C%D0%BC","искать")</f>
        <v/>
      </c>
      <c r="N3828" s="3" t="n"/>
      <c r="O3828" s="2" t="n"/>
    </row>
    <row r="3829">
      <c r="A3829" s="2" t="n">
        <v>3828</v>
      </c>
      <c r="B3829" s="2" t="inlineStr"/>
      <c r="C3829" s="2" t="n">
        <v>10278</v>
      </c>
      <c r="D3829" s="3" t="inlineStr">
        <is>
          <t>Человеческий голос</t>
        </is>
      </c>
      <c r="E3829" s="2" t="n">
        <v>1968</v>
      </c>
      <c r="F3829" s="2" t="inlineStr">
        <is>
          <t>фильм-спектакль</t>
        </is>
      </c>
      <c r="G3829" s="2" t="n"/>
      <c r="H3829" s="2" t="n">
        <v>403</v>
      </c>
      <c r="I3829" s="2" t="inlineStr"/>
      <c r="J3829" s="2" t="inlineStr"/>
      <c r="K3829" s="3" t="inlineStr">
        <is>
          <t>Моноопера по одноактной пьесе Жана Кокто на музыку Франсиса Пуленка. Женщина, брошенная любовником, разговаривает с ним по телефону, связь постоянно прерывается. Женщина мечется по квартире и за время разговора выказывает весь спектр эмоций, пытаясь удержать любимого. Она смеется, плачет, умоляет, унижается, обвиняет и снова умоляет, сознается в попытке самоубийства и все время говорит ему: "Прости".</t>
        </is>
      </c>
      <c r="L3829" s="2" t="inlineStr">
        <is>
          <t>https://www.kino-teatr.ru/teatr/movie/100053/annot/</t>
        </is>
      </c>
      <c r="M3829" s="2">
        <f>HYPERLINK("https://ru.wikipedia.org/w/index.php?search=%D0%A7%D0%B5%D0%BB%D0%BE%D0%B2%D0%B5%D1%87%D0%B5%D1%81%D0%BA%D0%B8%D0%B9%20%D0%B3%D0%BE%D0%BB%D0%BE%D1%81%201968%20%D1%84%D0%B8%D0%BB%D1%8C%D0%BC","искать")</f>
        <v/>
      </c>
      <c r="N3829" s="3" t="n"/>
      <c r="O3829" s="2" t="n"/>
    </row>
    <row r="3830">
      <c r="A3830" s="2" t="n">
        <v>3829</v>
      </c>
      <c r="B3830" s="2" t="inlineStr"/>
      <c r="C3830" s="2" t="n">
        <v>10982</v>
      </c>
      <c r="D3830" s="3" t="inlineStr">
        <is>
          <t>Вера</t>
        </is>
      </c>
      <c r="E3830" s="2" t="n">
        <v>1983</v>
      </c>
      <c r="F3830" s="2" t="inlineStr">
        <is>
          <t>фильм-спектакль</t>
        </is>
      </c>
      <c r="G3830" s="2" t="inlineStr">
        <is>
          <t>Главная редакция литературно-драматических программ ЦТ</t>
        </is>
      </c>
      <c r="H3830" s="2" t="n">
        <v>403</v>
      </c>
      <c r="I3830" s="2" t="inlineStr"/>
      <c r="J3830" s="2" t="inlineStr"/>
      <c r="K3830" s="3" t="inlineStr">
        <is>
          <t>Из цикла "По Вашему письму".
Героиня телеспектакля Вера, учительница в школе рабочей молодежи, влюбляется в своего ученика Петрова, который моложе ее на восемь лет. Ее сестра Аля, считающая себя практичной, знающей жизнь, выступает против этой любви. Она уверена, что разница в возрасте - непреодолимое препятствие для брака. К тому же ей не нравится, что избранник сестры всего лишь плотник на стройке.</t>
        </is>
      </c>
      <c r="L3830" s="2" t="inlineStr">
        <is>
          <t>https://www.kino-teatr.ru/teatr/movie/103474/annot/</t>
        </is>
      </c>
      <c r="M3830" s="2">
        <f>HYPERLINK("https://ru.wikipedia.org/w/index.php?search=%D0%92%D0%B5%D1%80%D0%B0%201983%20%D1%84%D0%B8%D0%BB%D1%8C%D0%BC","искать")</f>
        <v/>
      </c>
      <c r="N3830" s="3" t="n"/>
      <c r="O3830" s="2" t="n"/>
    </row>
    <row r="3831">
      <c r="A3831" s="2" t="n">
        <v>3830</v>
      </c>
      <c r="B3831" s="2" t="inlineStr"/>
      <c r="C3831" s="2" t="n">
        <v>7496</v>
      </c>
      <c r="D3831" s="3" t="inlineStr">
        <is>
          <t>Дело передается в суд</t>
        </is>
      </c>
      <c r="E3831" s="2" t="n">
        <v>1976</v>
      </c>
      <c r="F3831" s="2" t="inlineStr">
        <is>
          <t>телефильм</t>
        </is>
      </c>
      <c r="G3831" s="2" t="n"/>
      <c r="H3831" s="2" t="n">
        <v>404</v>
      </c>
      <c r="I3831" s="2" t="inlineStr"/>
      <c r="J3831" s="2" t="inlineStr"/>
      <c r="K3831" s="3" t="inlineStr">
        <is>
          <t>Телефильм-киноповесть о молодой помощнице прокурора Лиане Девдариани, которой доверили завершить работу по делу о рухнувшем мосте. Проведя собственное расследование, она понимает, что привлеченный к уголовной ответственности инженер Сартания, на самом деле не виновен. Лиана не только оправдывает невинно осужденного, но и изобличает подлинных виновников трагедии, повлекшей за собой человеческие жертвы.</t>
        </is>
      </c>
      <c r="L3831" s="2" t="inlineStr">
        <is>
          <t>Кино_СССР сводный каталог.xlsx: список телефильмов</t>
        </is>
      </c>
      <c r="M3831" s="2">
        <f>HYPERLINK("https://ru.wikipedia.org/w/index.php?search=%D0%94%D0%B5%D0%BB%D0%BE%20%D0%BF%D0%B5%D1%80%D0%B5%D0%B4%D0%B0%D0%B5%D1%82%D1%81%D1%8F%20%D0%B2%20%D1%81%D1%83%D0%B4%201976%20%D1%84%D0%B8%D0%BB%D1%8C%D0%BC","искать")</f>
        <v/>
      </c>
      <c r="N3831" s="3" t="n"/>
      <c r="O3831" s="2" t="n"/>
    </row>
    <row r="3832">
      <c r="A3832" s="2" t="n">
        <v>3831</v>
      </c>
      <c r="B3832" s="2" t="inlineStr"/>
      <c r="C3832" s="2" t="n">
        <v>8228</v>
      </c>
      <c r="D3832" s="3" t="inlineStr">
        <is>
          <t>Проделки Скапена</t>
        </is>
      </c>
      <c r="E3832" s="2" t="n">
        <v>1984</v>
      </c>
      <c r="F3832" s="2" t="inlineStr">
        <is>
          <t>телефильм</t>
        </is>
      </c>
      <c r="G3832" s="2" t="n"/>
      <c r="H3832" s="2" t="n">
        <v>404</v>
      </c>
      <c r="I3832" s="2" t="inlineStr"/>
      <c r="J3832" s="2" t="inlineStr"/>
      <c r="K3832" s="3" t="inlineStr">
        <is>
          <t>Плутовская комедия по мотивам одноименной пьесы французского драматурга Жана-Батиста Мольера. Ловкий слуга Скапен помогает воссоединиться влюбленным парам, хитроумно обведя вокруг пальца их скупердяев-отцов. Он самозабвенно и с упоением вершит чудеса, превращая самую банальную и рутинную жизненную ситуацию в шумное, веселое представление, и не жалеет для этого ни сил, ни времени, ни изобретательности.</t>
        </is>
      </c>
      <c r="L3832" s="2" t="inlineStr">
        <is>
          <t>Кино_СССР сводный каталог.xlsx: список телефильмов</t>
        </is>
      </c>
      <c r="M3832" s="2">
        <f>HYPERLINK("https://ru.wikipedia.org/w/index.php?search=%D0%9F%D1%80%D0%BE%D0%B4%D0%B5%D0%BB%D0%BA%D0%B8%20%D0%A1%D0%BA%D0%B0%D0%BF%D0%B5%D0%BD%D0%B0%201984%20%D1%84%D0%B8%D0%BB%D1%8C%D0%BC","искать")</f>
        <v/>
      </c>
      <c r="N3832" s="3" t="n"/>
      <c r="O3832" s="2" t="n"/>
    </row>
    <row r="3833">
      <c r="A3833" s="2" t="n">
        <v>3832</v>
      </c>
      <c r="B3833" s="2" t="inlineStr"/>
      <c r="C3833" s="2" t="n">
        <v>8540</v>
      </c>
      <c r="D3833" s="3" t="inlineStr">
        <is>
          <t>Чародеи</t>
        </is>
      </c>
      <c r="E3833" s="2" t="n">
        <v>1982</v>
      </c>
      <c r="F3833" s="2" t="inlineStr">
        <is>
          <t>телефильм</t>
        </is>
      </c>
      <c r="G3833" s="2" t="n"/>
      <c r="H3833" s="2" t="n">
        <v>404</v>
      </c>
      <c r="I3833" s="2" t="inlineStr"/>
      <c r="J3833" s="2" t="inlineStr"/>
      <c r="K3833" s="3" t="inlineStr">
        <is>
          <t>Фильм снят по мотивам знаменитой повести Аркадия и Бориса Стругацких "Понедельник начинается в субботу". Двухсерийная телевизионная музыкальная комедия с элементами фантастики - о любви и коварстве, о волшебных силах, которые помогают жениху (Александр Абдулов) после множества приключений накануне Нового года расколдовать его возлюбленную (Александра Яковлева), научную сотрудницу Института волшебства.</t>
        </is>
      </c>
      <c r="L3833" s="2" t="inlineStr">
        <is>
          <t>Кино_СССР сводный каталог.xlsx: список телефильмов</t>
        </is>
      </c>
      <c r="M3833" s="2">
        <f>HYPERLINK("https://ru.wikipedia.org/w/index.php?search=%D0%A7%D0%B0%D1%80%D0%BE%D0%B4%D0%B5%D0%B8%201982%20%D1%84%D0%B8%D0%BB%D1%8C%D0%BC","искать")</f>
        <v/>
      </c>
      <c r="N3833" s="3" t="n"/>
      <c r="O3833" s="2" t="n"/>
    </row>
    <row r="3834">
      <c r="A3834" s="2" t="n">
        <v>3833</v>
      </c>
      <c r="B3834" s="2" t="inlineStr"/>
      <c r="C3834" s="2" t="n">
        <v>8620</v>
      </c>
      <c r="D3834" s="3" t="inlineStr">
        <is>
          <t>А в России опять окаянные дни</t>
        </is>
      </c>
      <c r="E3834" s="2" t="n">
        <v>1990</v>
      </c>
      <c r="F3834" s="2" t="inlineStr">
        <is>
          <t>кинофильм</t>
        </is>
      </c>
      <c r="G3834" s="2" t="n"/>
      <c r="H3834" s="2" t="n">
        <v>404</v>
      </c>
      <c r="I3834" s="2" t="inlineStr"/>
      <c r="J3834" s="2" t="inlineStr"/>
      <c r="K3834" s="3" t="inlineStr">
        <is>
          <t>Виктор Бурдин требует от КГБ полной ясности: когда и при каких обстоятельствах погиб его отец, ныне реабилитированный. Фильм вводит в атмосферу сталинского лагеря 1948 года, знакомит с колоритными фигурами заключенных, от безвинно-политических до матерых уголовников, кем и оказывается по существу дед Виктора, - бывший начальник лагеря и отец его матери, которая имела смелость любить политзаключенного.</t>
        </is>
      </c>
      <c r="L3834" s="2" t="inlineStr">
        <is>
          <t>Кино_СССР сводный каталог.xlsx: список фильмов (доп.)</t>
        </is>
      </c>
      <c r="M3834" s="2">
        <f>HYPERLINK("https://ru.wikipedia.org/w/index.php?search=%D0%90%20%D0%B2%20%D0%A0%D0%BE%D1%81%D1%81%D0%B8%D0%B8%20%D0%BE%D0%BF%D1%8F%D1%82%D1%8C%20%D0%BE%D0%BA%D0%B0%D1%8F%D0%BD%D0%BD%D1%8B%D0%B5%20%D0%B4%D0%BD%D0%B8%201990%20%D1%84%D0%B8%D0%BB%D1%8C%D0%BC","искать")</f>
        <v/>
      </c>
      <c r="N3834" s="3" t="n"/>
      <c r="O3834" s="2" t="n"/>
    </row>
    <row r="3835">
      <c r="A3835" s="2" t="n">
        <v>3834</v>
      </c>
      <c r="B3835" s="2" t="inlineStr"/>
      <c r="C3835" s="2" t="n">
        <v>7204</v>
      </c>
      <c r="D3835" s="3" t="inlineStr">
        <is>
          <t>Алмазный пояс</t>
        </is>
      </c>
      <c r="E3835" s="2" t="n">
        <v>1986</v>
      </c>
      <c r="F3835" s="2" t="inlineStr">
        <is>
          <t>телефильм</t>
        </is>
      </c>
      <c r="G3835" s="2" t="n"/>
      <c r="H3835" s="2" t="n">
        <v>405</v>
      </c>
      <c r="I3835" s="2" t="inlineStr"/>
      <c r="J3835" s="2" t="inlineStr"/>
      <c r="K3835" s="3" t="inlineStr">
        <is>
          <t>По мотивам одноименного романа Пиримкула Кадырова. Герои фильма - молодые ташкентские архитекторы, муж и жена. В основе сюжета - конфликт, возникший между авторами проекта застройки городского района, основанного лишь на мнимой экономической выгоде без учета подлинных интересов его жителей, и молодыми архитекторами, отстаивающими проект создания этнографического парка-заповедника на берегах реки Анхор.</t>
        </is>
      </c>
      <c r="L3835" s="2" t="inlineStr">
        <is>
          <t>Кино_СССР сводный каталог.xlsx: список телефильмов</t>
        </is>
      </c>
      <c r="M3835" s="2">
        <f>HYPERLINK("https://ru.wikipedia.org/w/index.php?search=%D0%90%D0%BB%D0%BC%D0%B0%D0%B7%D0%BD%D1%8B%D0%B9%20%D0%BF%D0%BE%D1%8F%D1%81%201986%20%D1%84%D0%B8%D0%BB%D1%8C%D0%BC","искать")</f>
        <v/>
      </c>
      <c r="N3835" s="3" t="n"/>
      <c r="O3835" s="2" t="n"/>
    </row>
    <row r="3836">
      <c r="A3836" s="2" t="n">
        <v>3835</v>
      </c>
      <c r="B3836" s="2" t="inlineStr"/>
      <c r="C3836" s="2" t="n">
        <v>9451</v>
      </c>
      <c r="D3836" s="3" t="inlineStr">
        <is>
          <t>Леди Макбет Мценского уезда</t>
        </is>
      </c>
      <c r="E3836" s="2" t="n">
        <v>1989</v>
      </c>
      <c r="F3836" s="2" t="inlineStr">
        <is>
          <t>кинофильм</t>
        </is>
      </c>
      <c r="G3836" s="2" t="n"/>
      <c r="H3836" s="2" t="n">
        <v>406</v>
      </c>
      <c r="I3836" s="2" t="inlineStr"/>
      <c r="J3836" s="2" t="inlineStr"/>
      <c r="K3836" s="3" t="inlineStr">
        <is>
          <t>По мотивам одноименного очерка Н.С. Лескова. О жене богатого купца, красавице Катерине Измайловой. Екатерина Львовна вышла замуж явно не по любви. Шесть лет она томилась, а потом не без сопротивления отдалась видному работнику мужа Сергею. Узнав, что любовь, это и есть, скорее всего, то, на что она была способна на этом свете, Катя, имея для этого все, что может дать природа, отдалась страсти полностью.</t>
        </is>
      </c>
      <c r="L3836" s="2" t="inlineStr">
        <is>
          <t>Кино_СССР сводный каталог.xlsx: список фильмов (доп.)</t>
        </is>
      </c>
      <c r="M3836" s="2">
        <f>HYPERLINK("https://ru.wikipedia.org/w/index.php?search=%D0%9B%D0%B5%D0%B4%D0%B8%20%D0%9C%D0%B0%D0%BA%D0%B1%D0%B5%D1%82%20%D0%9C%D1%86%D0%B5%D0%BD%D1%81%D0%BA%D0%BE%D0%B3%D0%BE%20%D1%83%D0%B5%D0%B7%D0%B4%D0%B0%201989%20%D1%84%D0%B8%D0%BB%D1%8C%D0%BC","искать")</f>
        <v/>
      </c>
      <c r="N3836" s="3" t="n"/>
      <c r="O3836" s="2" t="n"/>
    </row>
    <row r="3837">
      <c r="A3837" s="2" t="n">
        <v>3836</v>
      </c>
      <c r="B3837" s="2" t="inlineStr"/>
      <c r="C3837" s="2" t="n">
        <v>9993</v>
      </c>
      <c r="D3837" s="3" t="inlineStr">
        <is>
          <t>Обуза</t>
        </is>
      </c>
      <c r="E3837" s="2" t="n">
        <v>1983</v>
      </c>
      <c r="F3837" s="2" t="inlineStr">
        <is>
          <t>телефильм</t>
        </is>
      </c>
      <c r="G3837" s="2" t="inlineStr">
        <is>
          <t>Беларусьфильм</t>
        </is>
      </c>
      <c r="H3837" s="2" t="n">
        <v>406</v>
      </c>
      <c r="I3837" s="2" t="inlineStr"/>
      <c r="J3837" s="2" t="inlineStr"/>
      <c r="K3837" s="3" t="inlineStr">
        <is>
          <t>Телефильм. Маленькая Оля после смерти матери живет вдвоем с отцом. Однажды вечером девочка слышит, как ее отец предлагает любимой девушке Свете остаться у них насовсем. Но та предлагает отдать девочку в круглосуточный садик, чтобы она не стала для них обузой. Оля спрашивает у воспитательницы Вари, что значит это слово? Оля очень привязана к своей воспитательнице и именно ее хотела бы видеть новой мамой.</t>
        </is>
      </c>
      <c r="L3837" s="2" t="inlineStr">
        <is>
          <t>https://www.kino-teatr.ru/short/movie/sov/14157/annot/</t>
        </is>
      </c>
      <c r="M3837" s="2">
        <f>HYPERLINK("https://ru.wikipedia.org/w/index.php?search=%D0%9E%D0%B1%D1%83%D0%B7%D0%B0%201983%20%D1%84%D0%B8%D0%BB%D1%8C%D0%BC","искать")</f>
        <v/>
      </c>
      <c r="N3837" s="3" t="n"/>
      <c r="O3837" s="2" t="n"/>
    </row>
    <row r="3838">
      <c r="A3838" s="2" t="n">
        <v>3837</v>
      </c>
      <c r="B3838" s="2" t="inlineStr"/>
      <c r="C3838" s="2" t="n">
        <v>7797</v>
      </c>
      <c r="D3838" s="3" t="inlineStr">
        <is>
          <t>Летние впечатления о планете Z</t>
        </is>
      </c>
      <c r="E3838" s="2" t="n">
        <v>1986</v>
      </c>
      <c r="F3838" s="2" t="inlineStr">
        <is>
          <t>телефильм</t>
        </is>
      </c>
      <c r="G3838" s="2" t="n"/>
      <c r="H3838" s="2" t="n">
        <v>407</v>
      </c>
      <c r="I3838" s="2" t="inlineStr"/>
      <c r="J3838" s="2" t="inlineStr"/>
      <c r="K3838" s="3" t="inlineStr">
        <is>
          <t>Фильм для детей снят по книге Юрия Томина "Карусели над городом". Пришелец из космоса Феликс, мальчик 12 лет, попадает во время летних каникул в детский спортивный лагерь. В летнем спортивном лагере мало кто знал что мальчик Феликс попал туда не случайно. Что еще несколько дней назад он появился на свет в школьной лаборатории, потому что инопланетный разум прислал на землю разведчика чтоб изучить землян.</t>
        </is>
      </c>
      <c r="L3838" s="2" t="inlineStr">
        <is>
          <t>Кино_СССР сводный каталог.xlsx: список телефильмов</t>
        </is>
      </c>
      <c r="M3838" s="2">
        <f>HYPERLINK("https://ru.wikipedia.org/w/index.php?search=%D0%9B%D0%B5%D1%82%D0%BD%D0%B8%D0%B5%20%D0%B2%D0%BF%D0%B5%D1%87%D0%B0%D1%82%D0%BB%D0%B5%D0%BD%D0%B8%D1%8F%20%D0%BE%20%D0%BF%D0%BB%D0%B0%D0%BD%D0%B5%D1%82%D0%B5%20Z%201986%20%D1%84%D0%B8%D0%BB%D1%8C%D0%BC","искать")</f>
        <v/>
      </c>
      <c r="N3838" s="3" t="n"/>
      <c r="O3838" s="2" t="n"/>
    </row>
    <row r="3839">
      <c r="A3839" s="2" t="n">
        <v>3838</v>
      </c>
      <c r="B3839" s="2" t="inlineStr"/>
      <c r="C3839" s="2" t="n">
        <v>9007</v>
      </c>
      <c r="D3839" s="3" t="inlineStr">
        <is>
          <t>Райский сад</t>
        </is>
      </c>
      <c r="E3839" s="2" t="n">
        <v>1990</v>
      </c>
      <c r="F3839" s="2" t="inlineStr">
        <is>
          <t>кинофильм</t>
        </is>
      </c>
      <c r="G3839" s="2" t="n"/>
      <c r="H3839" s="2" t="n">
        <v>407</v>
      </c>
      <c r="I3839" s="2" t="inlineStr"/>
      <c r="J3839" s="2" t="inlineStr"/>
      <c r="K3839" s="3" t="inlineStr">
        <is>
          <t>По мотивам туркменских народных сказок. Старик Халназар рассказывает сироте Тойкули о похищенной Гюлькахкас-пери, несущей людям радость. Мальчик решает разыскать Гюлькахкас. Испытания, выпавшие на его долю, разделила повстречавшаяся ему девочка по имени... Гюлькахкас. Лишь в конце своих странствий Тойкули понял, что его спутница - пери, которую он искал, и только доброта и любовь способны творить чудеса.</t>
        </is>
      </c>
      <c r="L3839" s="2" t="inlineStr">
        <is>
          <t>Кино_СССР сводный каталог.xlsx: список фильмов (доп.)</t>
        </is>
      </c>
      <c r="M3839" s="2">
        <f>HYPERLINK("https://ru.wikipedia.org/w/index.php?search=%D0%A0%D0%B0%D0%B9%D1%81%D0%BA%D0%B8%D0%B9%20%D1%81%D0%B0%D0%B4%201990%20%D1%84%D0%B8%D0%BB%D1%8C%D0%BC","искать")</f>
        <v/>
      </c>
      <c r="N3839" s="3" t="n"/>
      <c r="O3839" s="2" t="n"/>
    </row>
    <row r="3840">
      <c r="A3840" s="2" t="n">
        <v>3839</v>
      </c>
      <c r="B3840" s="2" t="inlineStr"/>
      <c r="C3840" s="2" t="n">
        <v>7528</v>
      </c>
      <c r="D3840" s="3" t="inlineStr">
        <is>
          <t>Долг</t>
        </is>
      </c>
      <c r="E3840" s="2" t="n">
        <v>1977</v>
      </c>
      <c r="F3840" s="2" t="inlineStr">
        <is>
          <t>телефильм</t>
        </is>
      </c>
      <c r="G3840" s="2" t="inlineStr">
        <is>
          <t>Творческое объединение «Экран»</t>
        </is>
      </c>
      <c r="H3840" s="2" t="n">
        <v>408</v>
      </c>
      <c r="I3840" s="2" t="inlineStr"/>
      <c r="J3840" s="2" t="inlineStr"/>
      <c r="K3840" s="3" t="inlineStr">
        <is>
          <t>Фильм по мотивам ранних рассказов Вс. Иванова о гражданской войне. Комиссару Селиванову (Николай Олялин) и нескольким красноармейцам удается бежать из плена. Их преследуют белогвардейцы и басмачи во главе с полковником, которого в своё время освободил под честное слово Селиванов. Спасаясь, красноармейцы захватывают тачанку, в которой находят грудного ребенка, и рискуя жизнью, делают все, чтобы спасти его.</t>
        </is>
      </c>
      <c r="L3840" s="2" t="inlineStr">
        <is>
          <t>Кино_СССР сводный каталог.xlsx: список телефильмов</t>
        </is>
      </c>
      <c r="M3840" s="2">
        <f>HYPERLINK("https://ru.wikipedia.org/w/index.php?search=%D0%94%D0%BE%D0%BB%D0%B3%201977%20%D1%84%D0%B8%D0%BB%D1%8C%D0%BC","искать")</f>
        <v/>
      </c>
      <c r="N3840" s="3" t="n"/>
      <c r="O3840" s="2" t="n"/>
    </row>
    <row r="3841">
      <c r="A3841" s="2" t="n">
        <v>3840</v>
      </c>
      <c r="B3841" s="2" t="inlineStr"/>
      <c r="C3841" s="2" t="n">
        <v>7994</v>
      </c>
      <c r="D3841" s="3" t="inlineStr">
        <is>
          <t>Нет чужой земли</t>
        </is>
      </c>
      <c r="E3841" s="2" t="n">
        <v>1990</v>
      </c>
      <c r="F3841" s="2" t="inlineStr">
        <is>
          <t>телефильм</t>
        </is>
      </c>
      <c r="G3841" s="2" t="n"/>
      <c r="H3841" s="2" t="n">
        <v>408</v>
      </c>
      <c r="I3841" s="2" t="inlineStr"/>
      <c r="J3841" s="2" t="inlineStr"/>
      <c r="K3841" s="3" t="inlineStr">
        <is>
          <t>О жизни и просветительской деятельности декабриста Николая Бестужева в Сибири после каторги. 1839 год. Декабристов - братьев Николая и Михаила Бестужевых - переводят с каторги на поселение в забайкальский Селенгинск. Там им предстоит привыкнуть к новым для себя порядкам и традициям. В 1846 году, после смерти матери, к Николаю и Михаилу в Селенгинск на жительство приезжают их сестры - Елена, Мария и Ольга.</t>
        </is>
      </c>
      <c r="L3841" s="2" t="inlineStr">
        <is>
          <t>Кино_СССР сводный каталог.xlsx: список телефильмов</t>
        </is>
      </c>
      <c r="M3841" s="2">
        <f>HYPERLINK("https://ru.wikipedia.org/w/index.php?search=%D0%9D%D0%B5%D1%82%20%D1%87%D1%83%D0%B6%D0%BE%D0%B9%20%D0%B7%D0%B5%D0%BC%D0%BB%D0%B8%201990%20%D1%84%D0%B8%D0%BB%D1%8C%D0%BC","искать")</f>
        <v/>
      </c>
      <c r="N3841" s="3" t="n"/>
      <c r="O3841" s="2" t="n"/>
    </row>
    <row r="3842">
      <c r="A3842" s="2" t="n">
        <v>3841</v>
      </c>
      <c r="B3842" s="2" t="inlineStr"/>
      <c r="C3842" s="2" t="n">
        <v>9449</v>
      </c>
      <c r="D3842" s="3" t="inlineStr">
        <is>
          <t>Лебедев против Лебедева</t>
        </is>
      </c>
      <c r="E3842" s="2" t="n">
        <v>1965</v>
      </c>
      <c r="F3842" s="2" t="inlineStr">
        <is>
          <t>кинофильм</t>
        </is>
      </c>
      <c r="G3842" s="2" t="n"/>
      <c r="H3842" s="2" t="n">
        <v>408</v>
      </c>
      <c r="I3842" s="2" t="inlineStr"/>
      <c r="J3842" s="2" t="inlineStr"/>
      <c r="K3842" s="3" t="inlineStr">
        <is>
          <t>Выпуск фильма - 21 марта 1966 г. Типичный для середины 1960-х годов неторопливый рассказ о рефлексирующем молодом человеке, ученом-физике, обдумывающем свое житье-бытие. Скромный, наивный и нерешительный герой в мечтах видится самому себе сильным, смелым и справедливым. Двум Лебедевым трудно ужиться в одном человеке, они становятся антагонистами, но в итоге победу одерживает наделенный лучшими качествами.</t>
        </is>
      </c>
      <c r="L3842" s="2" t="inlineStr">
        <is>
          <t>Кино_СССР сводный каталог.xlsx: список фильмов (доп.)</t>
        </is>
      </c>
      <c r="M3842" s="2">
        <f>HYPERLINK("https://ru.wikipedia.org/w/index.php?search=%D0%9B%D0%B5%D0%B1%D0%B5%D0%B4%D0%B5%D0%B2%20%D0%BF%D1%80%D0%BE%D1%82%D0%B8%D0%B2%20%D0%9B%D0%B5%D0%B1%D0%B5%D0%B4%D0%B5%D0%B2%D0%B0%201965%20%D1%84%D0%B8%D0%BB%D1%8C%D0%BC","искать")</f>
        <v/>
      </c>
      <c r="N3842" s="3" t="n"/>
      <c r="O3842" s="2" t="n"/>
    </row>
    <row r="3843">
      <c r="A3843" s="2" t="n">
        <v>3842</v>
      </c>
      <c r="B3843" s="2" t="inlineStr"/>
      <c r="C3843" s="2" t="n">
        <v>10556</v>
      </c>
      <c r="D3843" s="3" t="inlineStr">
        <is>
          <t>Дарю тебе жизнь</t>
        </is>
      </c>
      <c r="E3843" s="2" t="n">
        <v>1974</v>
      </c>
      <c r="F3843" s="2" t="inlineStr">
        <is>
          <t>фильм-спектакль</t>
        </is>
      </c>
      <c r="G3843" s="2" t="inlineStr">
        <is>
          <t>Главная редакция литературно-драматических программ ЦТ</t>
        </is>
      </c>
      <c r="H3843" s="2" t="n">
        <v>408</v>
      </c>
      <c r="I3843" s="2" t="inlineStr"/>
      <c r="J3843" s="2" t="inlineStr"/>
      <c r="K3843" s="3" t="inlineStr">
        <is>
          <t>По одноименной пьесе Д.Валеева в постановке Московского театра им. М.Н.Ермоловой.
Герой спектакля - секретарь горкома партии Саттаров - человек деятельный, принципиальный, настойчивый в достижении поставленной цели. Его авторитет и знание дела позволили ускорить строительство заводского комплекса. Будучи уже тяжело больным, он остается таким же требовательным и в то же время чутким к окружающим его людям.</t>
        </is>
      </c>
      <c r="L3843" s="2" t="inlineStr">
        <is>
          <t>https://www.kino-teatr.ru/teatr/movie/79225/annot/</t>
        </is>
      </c>
      <c r="M3843" s="2">
        <f>HYPERLINK("https://ru.wikipedia.org/w/index.php?search=%D0%94%D0%B0%D1%80%D1%8E%20%D1%82%D0%B5%D0%B1%D0%B5%20%D0%B6%D0%B8%D0%B7%D0%BD%D1%8C%201974%20%D1%84%D0%B8%D0%BB%D1%8C%D0%BC","искать")</f>
        <v/>
      </c>
      <c r="N3843" s="3" t="n"/>
      <c r="O3843" s="2" t="n"/>
    </row>
    <row r="3844">
      <c r="A3844" s="2" t="n">
        <v>3843</v>
      </c>
      <c r="B3844" s="2" t="inlineStr"/>
      <c r="C3844" s="2" t="n">
        <v>10638</v>
      </c>
      <c r="D3844" s="3" t="inlineStr">
        <is>
          <t>Вечерний свет</t>
        </is>
      </c>
      <c r="E3844" s="2" t="n">
        <v>1976</v>
      </c>
      <c r="F3844" s="2" t="inlineStr">
        <is>
          <t>фильм-спектакль</t>
        </is>
      </c>
      <c r="G3844" s="2" t="inlineStr">
        <is>
          <t>Главная редакция литературно-драматических программ ЦТ</t>
        </is>
      </c>
      <c r="H3844" s="2" t="n">
        <v>408</v>
      </c>
      <c r="I3844" s="2" t="inlineStr"/>
      <c r="J3844" s="2" t="inlineStr"/>
      <c r="K3844" s="3" t="inlineStr">
        <is>
          <t>По одноименной пьесе А.Арбузова в постановке Государственного академического театра имени Моссовета.
В областной газете во время отсутствия главного редактора была опубликована критическая статья о неоправданной вырубке леса. Автор статьи был уволен. В нелегком положении оказался и давний друг редактора, его заместитель. Однако областной комитет партии поддержал выступление газеты за справедливую критику.</t>
        </is>
      </c>
      <c r="L3844" s="2" t="inlineStr">
        <is>
          <t>https://www.kino-teatr.ru/teatr/movie/79799/annot/</t>
        </is>
      </c>
      <c r="M3844" s="2">
        <f>HYPERLINK("https://ru.wikipedia.org/w/index.php?search=%D0%92%D0%B5%D1%87%D0%B5%D1%80%D0%BD%D0%B8%D0%B9%20%D1%81%D0%B2%D0%B5%D1%82%201976%20%D1%84%D0%B8%D0%BB%D1%8C%D0%BC","искать")</f>
        <v/>
      </c>
      <c r="N3844" s="3" t="n"/>
      <c r="O3844" s="2" t="n"/>
    </row>
    <row r="3845">
      <c r="A3845" s="2" t="n">
        <v>3844</v>
      </c>
      <c r="B3845" s="2" t="inlineStr"/>
      <c r="C3845" s="2" t="n">
        <v>7461</v>
      </c>
      <c r="D3845" s="3" t="inlineStr">
        <is>
          <t>Гражданский иск</t>
        </is>
      </c>
      <c r="E3845" s="2" t="n">
        <v>1988</v>
      </c>
      <c r="F3845" s="2" t="inlineStr">
        <is>
          <t>телефильм</t>
        </is>
      </c>
      <c r="G3845" s="2" t="n"/>
      <c r="H3845" s="2" t="n">
        <v>410</v>
      </c>
      <c r="I3845" s="2" t="inlineStr"/>
      <c r="J3845" s="2" t="inlineStr"/>
      <c r="K3845" s="3" t="inlineStr">
        <is>
          <t>Телефильм. Директор химкомбината Бутов получает новое назначение, он переведен в Москву. С этой новостью Бутов возвращается домой, в свой небольшой городок. Там только что закончился суд по делу об отравлении нутрий на звероферме колхоза из-за попадания в реку отходов химкомбината. Суд заканчивается для него благополучно, но становится известно, что загрязнение реки стало причиной смерти нескольких человек.</t>
        </is>
      </c>
      <c r="L3845" s="2" t="inlineStr">
        <is>
          <t>Кино_СССР сводный каталог.xlsx: список телефильмов</t>
        </is>
      </c>
      <c r="M3845" s="2">
        <f>HYPERLINK("https://ru.wikipedia.org/w/index.php?search=%D0%93%D1%80%D0%B0%D0%B6%D0%B4%D0%B0%D0%BD%D1%81%D0%BA%D0%B8%D0%B9%20%D0%B8%D1%81%D0%BA%201988%20%D1%84%D0%B8%D0%BB%D1%8C%D0%BC","искать")</f>
        <v/>
      </c>
      <c r="N3845" s="3" t="n"/>
      <c r="O3845" s="2" t="n"/>
    </row>
    <row r="3846">
      <c r="A3846" s="2" t="n">
        <v>3845</v>
      </c>
      <c r="B3846" s="2" t="inlineStr"/>
      <c r="C3846" s="2" t="n">
        <v>8334</v>
      </c>
      <c r="D3846" s="3" t="inlineStr">
        <is>
          <t>Сергеев ищет Сергеева</t>
        </is>
      </c>
      <c r="E3846" s="2" t="n">
        <v>1974</v>
      </c>
      <c r="F3846" s="2" t="inlineStr">
        <is>
          <t>телефильм</t>
        </is>
      </c>
      <c r="G3846" s="2" t="inlineStr">
        <is>
          <t>Беларусьфильм</t>
        </is>
      </c>
      <c r="H3846" s="2" t="n">
        <v>410</v>
      </c>
      <c r="I3846" s="2" t="inlineStr"/>
      <c r="J3846" s="2" t="inlineStr"/>
      <c r="K3846" s="3" t="inlineStr">
        <is>
          <t>Телефильм. Сотрудник научно-исследовательского института Юрий Сергеев таинственно исчез. В ходе расследования, который ведет участковый милиционер Илья Сергеев, однофамилец пропавшего, выясняется, что Юрий находится в командировке, но об этом в институте толком никто ничего не знает. Милиция находит Сергеева, но к этому времени пропадает начальник отдела, в котором работает Юрий, и вновь объявляется розыск.</t>
        </is>
      </c>
      <c r="L3846" s="2" t="inlineStr">
        <is>
          <t>Кино_СССР сводный каталог.xlsx: список телефильмов</t>
        </is>
      </c>
      <c r="M3846" s="2">
        <f>HYPERLINK("https://ru.wikipedia.org/w/index.php?search=%D0%A1%D0%B5%D1%80%D0%B3%D0%B5%D0%B5%D0%B2%20%D0%B8%D1%89%D0%B5%D1%82%20%D0%A1%D0%B5%D1%80%D0%B3%D0%B5%D0%B5%D0%B2%D0%B0%201974%20%D1%84%D0%B8%D0%BB%D1%8C%D0%BC","искать")</f>
        <v/>
      </c>
      <c r="N3846" s="3" t="n"/>
      <c r="O3846" s="2" t="n"/>
    </row>
    <row r="3847">
      <c r="A3847" s="2" t="n">
        <v>3846</v>
      </c>
      <c r="B3847" s="2" t="inlineStr"/>
      <c r="C3847" s="2" t="n">
        <v>9011</v>
      </c>
      <c r="D3847" s="3" t="inlineStr">
        <is>
          <t>Резиновая женщина</t>
        </is>
      </c>
      <c r="E3847" s="2" t="n">
        <v>1991</v>
      </c>
      <c r="F3847" s="2" t="inlineStr">
        <is>
          <t>кинофильм</t>
        </is>
      </c>
      <c r="G3847" s="2" t="n"/>
      <c r="H3847" s="2" t="n">
        <v>410</v>
      </c>
      <c r="I3847" s="2" t="inlineStr"/>
      <c r="J3847" s="2" t="inlineStr"/>
      <c r="K3847" s="3" t="inlineStr">
        <is>
          <t>Эдуард Марцевич удивительно хорош в роли скульптора, семья которого эмигрировала, а он не захотел и теперь живет отшельником на даче, попивая водочку с местным бодрым пьяницей Никоненко и "заделывая гипсовых поросят" для его жены Руслановой, торгующей сей продукцией на Старом Арбате. Друг присылает ему из Италии резиновую женщину, принимающую чудодейственным образом внешность Натальи Гурзо в застывшем виде.</t>
        </is>
      </c>
      <c r="L3847" s="2" t="inlineStr">
        <is>
          <t>Кино_СССР сводный каталог.xlsx: список фильмов (доп.)</t>
        </is>
      </c>
      <c r="M3847" s="2">
        <f>HYPERLINK("https://ru.wikipedia.org/w/index.php?search=%D0%A0%D0%B5%D0%B7%D0%B8%D0%BD%D0%BE%D0%B2%D0%B0%D1%8F%20%D0%B6%D0%B5%D0%BD%D1%89%D0%B8%D0%BD%D0%B0%201991%20%D1%84%D0%B8%D0%BB%D1%8C%D0%BC","искать")</f>
        <v/>
      </c>
      <c r="N3847" s="3" t="n"/>
      <c r="O3847" s="2" t="n"/>
    </row>
    <row r="3848">
      <c r="A3848" s="2" t="n">
        <v>3847</v>
      </c>
      <c r="B3848" s="2" t="inlineStr"/>
      <c r="C3848" s="2" t="n">
        <v>7347</v>
      </c>
      <c r="D3848" s="3" t="inlineStr">
        <is>
          <t>Вместе</t>
        </is>
      </c>
      <c r="E3848" s="2" t="n">
        <v>1988</v>
      </c>
      <c r="F3848" s="2" t="inlineStr">
        <is>
          <t>телефильм</t>
        </is>
      </c>
      <c r="G3848" s="2" t="n"/>
      <c r="H3848" s="2" t="n">
        <v>411</v>
      </c>
      <c r="I3848" s="2" t="inlineStr"/>
      <c r="J3848" s="2" t="inlineStr"/>
      <c r="K3848" s="3" t="inlineStr">
        <is>
          <t>В казахском селе живут дед Джумагали с шестилетним внуком Аханом, еще в младенчестве оставшемся сиротой. Нелегко им приходится, хотя мальчик уже научился раздувать самовар, мыть посуду и за ходить за скотиной. Но старик давно и тяжело болен, и он знает, что долго ему не протянуть. Вот и решил Джумагали расстаться с любимым внуком - отправил его в город к родственникам, а сам остался доживать свой век в селе.</t>
        </is>
      </c>
      <c r="L3848" s="2" t="inlineStr">
        <is>
          <t>Кино_СССР сводный каталог.xlsx: список телефильмов</t>
        </is>
      </c>
      <c r="M3848" s="2">
        <f>HYPERLINK("https://ru.wikipedia.org/w/index.php?search=%D0%92%D0%BC%D0%B5%D1%81%D1%82%D0%B5%201988%20%D1%84%D0%B8%D0%BB%D1%8C%D0%BC","искать")</f>
        <v/>
      </c>
      <c r="N3848" s="3" t="n"/>
      <c r="O3848" s="2" t="n"/>
    </row>
    <row r="3849">
      <c r="A3849" s="2" t="n">
        <v>3848</v>
      </c>
      <c r="B3849" s="2" t="inlineStr"/>
      <c r="C3849" s="2" t="n">
        <v>8202</v>
      </c>
      <c r="D3849" s="3" t="inlineStr">
        <is>
          <t>Приключения в городе, которого нет</t>
        </is>
      </c>
      <c r="E3849" s="2" t="n">
        <v>1974</v>
      </c>
      <c r="F3849" s="2" t="inlineStr">
        <is>
          <t>телефильм</t>
        </is>
      </c>
      <c r="G3849" s="2" t="inlineStr">
        <is>
          <t>Беларусьфильм</t>
        </is>
      </c>
      <c r="H3849" s="2" t="n">
        <v>411</v>
      </c>
      <c r="I3849" s="2" t="inlineStr"/>
      <c r="J3849" s="2" t="inlineStr"/>
      <c r="K3849" s="3" t="inlineStr">
        <is>
          <t>Подросток Славка Курочкин собирается создать мощнейший телескоп, чтобы первым на Земле установить контакт с иными мирами. Однако по литературе у него одни двойки. Одноклассница Марина Сомова решает хитростью приобщить Славку к чтению. С ее помощью мальчик попадает в сказочный книжный город, где его ждут невероятные приключения с Томом Сойером, Геком Финном, Пеппи Длинный Чулок и другими героями детских книг.</t>
        </is>
      </c>
      <c r="L3849" s="2" t="inlineStr">
        <is>
          <t>Кино_СССР сводный каталог.xlsx: список телефильмов</t>
        </is>
      </c>
      <c r="M3849" s="2">
        <f>HYPERLINK("https://ru.wikipedia.org/w/index.php?search=%D0%9F%D1%80%D0%B8%D0%BA%D0%BB%D1%8E%D1%87%D0%B5%D0%BD%D0%B8%D1%8F%20%D0%B2%20%D0%B3%D0%BE%D1%80%D0%BE%D0%B4%D0%B5%2C%20%D0%BA%D0%BE%D1%82%D0%BE%D1%80%D0%BE%D0%B3%D0%BE%20%D0%BD%D0%B5%D1%82%201974%20%D1%84%D0%B8%D0%BB%D1%8C%D0%BC","искать")</f>
        <v/>
      </c>
      <c r="N3849" s="3" t="n"/>
      <c r="O3849" s="2" t="n"/>
    </row>
    <row r="3850">
      <c r="A3850" s="2" t="n">
        <v>3849</v>
      </c>
      <c r="B3850" s="2" t="inlineStr"/>
      <c r="C3850" s="2" t="n">
        <v>9360</v>
      </c>
      <c r="D3850" s="3" t="inlineStr">
        <is>
          <t>Живодёр</t>
        </is>
      </c>
      <c r="E3850" s="2" t="n">
        <v>1990</v>
      </c>
      <c r="F3850" s="2" t="inlineStr">
        <is>
          <t>кинофильм</t>
        </is>
      </c>
      <c r="G3850" s="2" t="n"/>
      <c r="H3850" s="2" t="n">
        <v>411</v>
      </c>
      <c r="I3850" s="2" t="inlineStr"/>
      <c r="J3850" s="2" t="inlineStr"/>
      <c r="K3850" s="3" t="inlineStr">
        <is>
          <t>Трогательная история о сильном, внешне грубоватом человеке, работающем в питомнике. Одиночество — не тема личных переживаний героя, он любит животных — и в этом вся его жизнь. Но однажды он получает приказ из управления убить одного из двух медведей — Митьку, того самого, которого вырастил... В 2001 году Николай Соловцов сделал новый вариант этого фильма, дополнив его не вошедшими в начальную версию сценами.</t>
        </is>
      </c>
      <c r="L3850" s="2" t="inlineStr">
        <is>
          <t>Кино_СССР сводный каталог.xlsx: список фильмов (доп.)</t>
        </is>
      </c>
      <c r="M3850" s="2">
        <f>HYPERLINK("https://ru.wikipedia.org/w/index.php?search=%D0%96%D0%B8%D0%B2%D0%BE%D0%B4%D1%91%D1%80%201990%20%D1%84%D0%B8%D0%BB%D1%8C%D0%BC","искать")</f>
        <v/>
      </c>
      <c r="N3850" s="3" t="n"/>
      <c r="O3850" s="2" t="n"/>
    </row>
    <row r="3851">
      <c r="A3851" s="2" t="n">
        <v>3850</v>
      </c>
      <c r="B3851" s="2" t="inlineStr"/>
      <c r="C3851" s="2" t="n">
        <v>9618</v>
      </c>
      <c r="D3851" s="3" t="inlineStr">
        <is>
          <t>Ребро Адама</t>
        </is>
      </c>
      <c r="E3851" s="2" t="n">
        <v>1990</v>
      </c>
      <c r="F3851" s="2" t="inlineStr">
        <is>
          <t>кинофильм</t>
        </is>
      </c>
      <c r="G3851" s="2" t="n"/>
      <c r="H3851" s="2" t="n">
        <v>411</v>
      </c>
      <c r="I3851" s="2" t="inlineStr"/>
      <c r="J3851" s="2" t="inlineStr"/>
      <c r="K3851" s="3" t="inlineStr">
        <is>
          <t>Фильм снят по мотивам повести Анатолия Курчаткина «Бабий дом». В крохотной московской квартирке живут четыре женщины трех поколений - мать, две взрослые дочери и бабушка, прикованная к кровати. В день рождения старшей обитательницы дома ее дочь и внучки устраивают праздник. Женское затворничество нарушено приходом двух бывших мужей матери, каждый из которых - папа одной из дочерей, и нынешним ее бой-френдом.</t>
        </is>
      </c>
      <c r="L3851" s="2" t="inlineStr">
        <is>
          <t>Кино_СССР сводный каталог.xlsx: список фильмов (доп.)</t>
        </is>
      </c>
      <c r="M3851" s="2">
        <f>HYPERLINK("https://ru.wikipedia.org/w/index.php?search=%D0%A0%D0%B5%D0%B1%D1%80%D0%BE%20%D0%90%D0%B4%D0%B0%D0%BC%D0%B0%201990%20%D1%84%D0%B8%D0%BB%D1%8C%D0%BC","искать")</f>
        <v/>
      </c>
      <c r="N3851" s="3" t="n"/>
      <c r="O3851" s="2" t="n"/>
    </row>
    <row r="3852">
      <c r="A3852" s="2" t="n">
        <v>3851</v>
      </c>
      <c r="B3852" s="2" t="inlineStr"/>
      <c r="C3852" s="2" t="n">
        <v>9856</v>
      </c>
      <c r="D3852" s="3" t="inlineStr">
        <is>
          <t>Цветик-семицветик</t>
        </is>
      </c>
      <c r="E3852" s="2" t="n">
        <v>1968</v>
      </c>
      <c r="F3852" s="2" t="inlineStr">
        <is>
          <t>кинофильм</t>
        </is>
      </c>
      <c r="G3852" s="2" t="inlineStr">
        <is>
          <t>К/ст им. Горького</t>
        </is>
      </c>
      <c r="H3852" s="2" t="n">
        <v>411</v>
      </c>
      <c r="I3852" s="2" t="inlineStr"/>
      <c r="J3852" s="2" t="inlineStr"/>
      <c r="K3852" s="3" t="inlineStr">
        <is>
          <t>По мотивам одноименной сказки Валентина Катаева.
Девочка Женя получает от волшебницы чудесный подарок — цветик-семицветик. Если оторвать от него один лепесток, можно загадать любое желание и оно обязательно исполнится. Однако лепестков всего семь. И поэтому исполненные шесть желаний Женей мгновенно забылись, но седьмое, последнее — вернуть здоровье заболевшему другу Вите — приносит девочке подлинную радость.</t>
        </is>
      </c>
      <c r="L3852" s="2" t="inlineStr">
        <is>
          <t>https://www.kino-teatr.ru/short/movie/sov/9800/annot/</t>
        </is>
      </c>
      <c r="M3852" s="2">
        <f>HYPERLINK("https://ru.wikipedia.org/w/index.php?search=%D0%A6%D0%B2%D0%B5%D1%82%D0%B8%D0%BA-%D1%81%D0%B5%D0%BC%D0%B8%D1%86%D0%B2%D0%B5%D1%82%D0%B8%D0%BA%201968%20%D1%84%D0%B8%D0%BB%D1%8C%D0%BC","искать")</f>
        <v/>
      </c>
      <c r="N3852" s="3" t="n"/>
      <c r="O3852" s="2" t="n"/>
    </row>
    <row r="3853">
      <c r="A3853" s="2" t="n">
        <v>3852</v>
      </c>
      <c r="B3853" s="2" t="inlineStr"/>
      <c r="C3853" s="2" t="n">
        <v>10517</v>
      </c>
      <c r="D3853" s="3" t="inlineStr">
        <is>
          <t>Самый последний день</t>
        </is>
      </c>
      <c r="E3853" s="2" t="n">
        <v>1973</v>
      </c>
      <c r="F3853" s="2" t="inlineStr">
        <is>
          <t>фильм-спектакль</t>
        </is>
      </c>
      <c r="G3853" s="2" t="inlineStr">
        <is>
          <t>Творческое объединение "Экран"</t>
        </is>
      </c>
      <c r="H3853" s="2" t="n">
        <v>411</v>
      </c>
      <c r="I3853" s="2" t="inlineStr"/>
      <c r="J3853" s="2" t="inlineStr"/>
      <c r="K3853" s="3" t="inlineStr">
        <is>
          <t>По одноименной пьесе Бориса Васильева в постановке Государственного академического Малого театра.
Бывший фронтовик, четверть века проработавший на своем посту, участковый уполномоченный лейтенант Семен Митрофанович Ковалев, отправляясь утром в управление, больше всего грустил о том, что завтра ему уже не надо будет идти на службу: завтра он будет на пенсии.
Но последний день его службы завершился трагически.</t>
        </is>
      </c>
      <c r="L3853" s="2" t="inlineStr">
        <is>
          <t>https://www.kino-teatr.ru/teatr/movie/82106/annot/</t>
        </is>
      </c>
      <c r="M3853" s="2">
        <f>HYPERLINK("https://ru.wikipedia.org/w/index.php?search=%D0%A1%D0%B0%D0%BC%D1%8B%D0%B9%20%D0%BF%D0%BE%D1%81%D0%BB%D0%B5%D0%B4%D0%BD%D0%B8%D0%B9%20%D0%B4%D0%B5%D0%BD%D1%8C%201973%20%D1%84%D0%B8%D0%BB%D1%8C%D0%BC","искать")</f>
        <v/>
      </c>
      <c r="N3853" s="3" t="n"/>
      <c r="O3853" s="2" t="n"/>
    </row>
    <row r="3854">
      <c r="A3854" s="2" t="n">
        <v>3853</v>
      </c>
      <c r="B3854" s="2" t="inlineStr"/>
      <c r="C3854" s="2" t="n">
        <v>10794</v>
      </c>
      <c r="D3854" s="3" t="inlineStr">
        <is>
          <t>Ватага "Семь ветров"</t>
        </is>
      </c>
      <c r="E3854" s="2" t="n">
        <v>1979</v>
      </c>
      <c r="F3854" s="2" t="inlineStr">
        <is>
          <t>фильм-спектакль</t>
        </is>
      </c>
      <c r="G3854" s="2" t="inlineStr">
        <is>
          <t>Студия Центрального телевидения</t>
        </is>
      </c>
      <c r="H3854" s="2" t="n">
        <v>411</v>
      </c>
      <c r="I3854" s="2" t="inlineStr"/>
      <c r="J3854" s="2" t="inlineStr"/>
      <c r="K3854" s="3" t="inlineStr">
        <is>
          <t>Многосерийный фильм-спектакль повести писателя Симона Соловейчика.
В школе одного из спальных районов подмосковного рабочего города учатся дети как дети - из вполне благополучных семей, но разрозненные, ничем особо не увлеченные. Жизнь девятого класса определяет семьветровская ватага... Учитель истории ставит перед собой задачу сплотить ребят, одухотворить, сделать их жизнь более творческой и содержательной.</t>
        </is>
      </c>
      <c r="L3854" s="2" t="inlineStr">
        <is>
          <t>https://www.kino-teatr.ru/teatr/movie/9010/annot/</t>
        </is>
      </c>
      <c r="M3854" s="2">
        <f>HYPERLINK("https://ru.wikipedia.org/w/index.php?search=%D0%92%D0%B0%D1%82%D0%B0%D0%B3%D0%B0%20%22%D0%A1%D0%B5%D0%BC%D1%8C%20%D0%B2%D0%B5%D1%82%D1%80%D0%BE%D0%B2%22%201979%20%D1%84%D0%B8%D0%BB%D1%8C%D0%BC","искать")</f>
        <v/>
      </c>
      <c r="N3854" s="3" t="n"/>
      <c r="O3854" s="2" t="n"/>
    </row>
    <row r="3855">
      <c r="A3855" s="2" t="n">
        <v>3854</v>
      </c>
      <c r="B3855" s="2" t="inlineStr"/>
      <c r="C3855" s="2" t="n">
        <v>7416</v>
      </c>
      <c r="D3855" s="3" t="inlineStr">
        <is>
          <t>Вход в лабиринт</t>
        </is>
      </c>
      <c r="E3855" s="2" t="n">
        <v>1989</v>
      </c>
      <c r="F3855" s="2" t="inlineStr">
        <is>
          <t>телефильм</t>
        </is>
      </c>
      <c r="G3855" s="2" t="n"/>
      <c r="H3855" s="2" t="n">
        <v>412</v>
      </c>
      <c r="I3855" s="2" t="inlineStr"/>
      <c r="J3855" s="2" t="inlineStr"/>
      <c r="K3855" s="3" t="inlineStr">
        <is>
          <t>Телесериал по мотивам повести братьев Вайнеров «Лекарство против страха». Фильм состоит из нескольких пластов. Самая простая — это детективная фабула о мошенниках, которые используя удостоверение капитана милиции вламываются в квартиры нечестных людей и под видом обыска грабят их. Следователь Муромцев, расследуя должностное преступление участкового милиционера Позднякова, выходит на дельцов теневой экономики.</t>
        </is>
      </c>
      <c r="L3855" s="2" t="inlineStr">
        <is>
          <t>Кино_СССР сводный каталог.xlsx: список телефильмов</t>
        </is>
      </c>
      <c r="M3855" s="2">
        <f>HYPERLINK("https://ru.wikipedia.org/w/index.php?search=%D0%92%D1%85%D0%BE%D0%B4%20%D0%B2%20%D0%BB%D0%B0%D0%B1%D0%B8%D1%80%D0%B8%D0%BD%D1%82%201989%20%D1%84%D0%B8%D0%BB%D1%8C%D0%BC","искать")</f>
        <v/>
      </c>
      <c r="N3855" s="3" t="n"/>
      <c r="O3855" s="2" t="n"/>
    </row>
    <row r="3856">
      <c r="A3856" s="2" t="n">
        <v>3855</v>
      </c>
      <c r="B3856" s="2" t="inlineStr"/>
      <c r="C3856" s="2" t="n">
        <v>7501</v>
      </c>
      <c r="D3856" s="3" t="inlineStr">
        <is>
          <t>День за днём</t>
        </is>
      </c>
      <c r="E3856" s="2" t="n">
        <v>1971</v>
      </c>
      <c r="F3856" s="2" t="inlineStr">
        <is>
          <t>телефильм</t>
        </is>
      </c>
      <c r="G3856" s="2" t="n"/>
      <c r="H3856" s="2" t="n">
        <v>412</v>
      </c>
      <c r="I3856" s="2" t="inlineStr"/>
      <c r="J3856" s="2" t="inlineStr"/>
      <c r="K3856" s="3" t="inlineStr">
        <is>
          <t>Действие строится вокруг жильцов московской коммунальной квартиры, в частности, семей Якушевых и Баныкиных. Их прекрасным взаимоотношениям могут позавидовать даже самые близкие родственники. На протяжении многих дней перед зрителями открываются сложные судьбы разных людей. Но старый дом идет на слом, и всех соседей расселяют по разным квартирам… Этот первый советский сериал пользовался огромной популярностью.</t>
        </is>
      </c>
      <c r="L3856" s="2" t="inlineStr">
        <is>
          <t>Кино_СССР сводный каталог.xlsx: список телефильмов</t>
        </is>
      </c>
      <c r="M3856" s="2">
        <f>HYPERLINK("https://ru.wikipedia.org/w/index.php?search=%D0%94%D0%B5%D0%BD%D1%8C%20%D0%B7%D0%B0%20%D0%B4%D0%BD%D1%91%D0%BC%201971%20%D1%84%D0%B8%D0%BB%D1%8C%D0%BC","искать")</f>
        <v/>
      </c>
      <c r="N3856" s="3" t="n"/>
      <c r="O3856" s="2" t="n"/>
    </row>
    <row r="3857">
      <c r="A3857" s="2" t="n">
        <v>3856</v>
      </c>
      <c r="B3857" s="2" t="inlineStr"/>
      <c r="C3857" s="2" t="n">
        <v>7809</v>
      </c>
      <c r="D3857" s="3" t="inlineStr">
        <is>
          <t>Линия жизни</t>
        </is>
      </c>
      <c r="E3857" s="2" t="n">
        <v>1981</v>
      </c>
      <c r="F3857" s="2" t="inlineStr">
        <is>
          <t>телефильм</t>
        </is>
      </c>
      <c r="G3857" s="2" t="n"/>
      <c r="H3857" s="2" t="n">
        <v>412</v>
      </c>
      <c r="I3857" s="2" t="inlineStr"/>
      <c r="J3857" s="2" t="inlineStr"/>
      <c r="K3857" s="3" t="inlineStr">
        <is>
          <t>Телефильм. Действие фильма происходит на строительстве тоннеля в Заполярье. Молодого инженера Андрея Арефьева назначают начальником участка. Между ним и Николаем Крумовым, начальником соседнего участка, возникает серьезный конфликт. И дело тут не только в разных профессиональных подходах к методам строительства в тяжелых условиях: любимая девушка Арефьева Светлана, нисколько не мучаясь, предпочла ему Крумова.</t>
        </is>
      </c>
      <c r="L3857" s="2" t="inlineStr">
        <is>
          <t>Кино_СССР сводный каталог.xlsx: список телефильмов</t>
        </is>
      </c>
      <c r="M3857" s="2">
        <f>HYPERLINK("https://ru.wikipedia.org/w/index.php?search=%D0%9B%D0%B8%D0%BD%D0%B8%D1%8F%20%D0%B6%D0%B8%D0%B7%D0%BD%D0%B8%201981%20%D1%84%D0%B8%D0%BB%D1%8C%D0%BC","искать")</f>
        <v/>
      </c>
      <c r="N3857" s="3" t="n"/>
      <c r="O3857" s="2" t="n"/>
    </row>
    <row r="3858">
      <c r="A3858" s="2" t="n">
        <v>3857</v>
      </c>
      <c r="B3858" s="2" t="inlineStr"/>
      <c r="C3858" s="2" t="n">
        <v>8507</v>
      </c>
      <c r="D3858" s="3" t="inlineStr">
        <is>
          <t>Фаворит</t>
        </is>
      </c>
      <c r="E3858" s="2" t="n">
        <v>1976</v>
      </c>
      <c r="F3858" s="2" t="inlineStr">
        <is>
          <t>телефильм</t>
        </is>
      </c>
      <c r="G3858" s="2" t="n"/>
      <c r="H3858" s="2" t="n">
        <v>412</v>
      </c>
      <c r="I3858" s="2" t="inlineStr"/>
      <c r="J3858" s="2" t="inlineStr"/>
      <c r="K3858" s="3" t="inlineStr">
        <is>
          <t>Телевизионный детектив по одноименному роману английского писателя Дика Френсиса. Знаменитый жокей Билл Эвидсон погибает, упав с лошади во время заезда. Его друг художник Аллан Йорк (Арнис Лицитис) убеждён, что смерть Билла - убийство, а не несчастный случай. Вместе с инспектором полиции Лоджем он разрабатывает хитроумный план с целью разоблачить босса мафии, контролирующего подпольный тотализатор на скачках.</t>
        </is>
      </c>
      <c r="L3858" s="2" t="inlineStr">
        <is>
          <t>Кино_СССР сводный каталог.xlsx: список телефильмов</t>
        </is>
      </c>
      <c r="M3858" s="2">
        <f>HYPERLINK("https://ru.wikipedia.org/w/index.php?search=%D0%A4%D0%B0%D0%B2%D0%BE%D1%80%D0%B8%D1%82%201976%20%D1%84%D0%B8%D0%BB%D1%8C%D0%BC","искать")</f>
        <v/>
      </c>
      <c r="N3858" s="3" t="n"/>
      <c r="O3858" s="2" t="n"/>
    </row>
    <row r="3859">
      <c r="A3859" s="2" t="n">
        <v>3858</v>
      </c>
      <c r="B3859" s="2" t="inlineStr"/>
      <c r="C3859" s="2" t="n">
        <v>9043</v>
      </c>
      <c r="D3859" s="3" t="inlineStr">
        <is>
          <t>Система "Ниппель"</t>
        </is>
      </c>
      <c r="E3859" s="2" t="n">
        <v>1990</v>
      </c>
      <c r="F3859" s="2" t="inlineStr">
        <is>
          <t>кинофильм</t>
        </is>
      </c>
      <c r="G3859" s="2" t="n"/>
      <c r="H3859" s="2" t="n">
        <v>412</v>
      </c>
      <c r="I3859" s="2" t="inlineStr"/>
      <c r="J3859" s="2" t="inlineStr"/>
      <c r="K3859" s="3" t="inlineStr">
        <is>
          <t>Жильцы коммунальной квартиры, отчаявшись благоустроить свой быт, решились на террористический акт. Исполнителем они выбирают Сеню Родимцева, пациента психиатрической больницы: "психа в тюрьму не упрячут". Объект покушения - председатель исполкома. Подобная акция для него - не первая. Он, в свою очередь, инсценирует спектакль: сотрудники исполкома, изображающие разъяренных просителей, обстреливают его кабинет.</t>
        </is>
      </c>
      <c r="L3859" s="2" t="inlineStr">
        <is>
          <t>Кино_СССР сводный каталог.xlsx: список фильмов (доп.)</t>
        </is>
      </c>
      <c r="M3859" s="2">
        <f>HYPERLINK("https://ru.wikipedia.org/w/index.php?search=%D0%A1%D0%B8%D1%81%D1%82%D0%B5%D0%BC%D0%B0%20%22%D0%9D%D0%B8%D0%BF%D0%BF%D0%B5%D0%BB%D1%8C%22%201990%20%D1%84%D0%B8%D0%BB%D1%8C%D0%BC","искать")</f>
        <v/>
      </c>
      <c r="N3859" s="3" t="n"/>
      <c r="O3859" s="2" t="n"/>
    </row>
    <row r="3860">
      <c r="A3860" s="2" t="n">
        <v>3859</v>
      </c>
      <c r="B3860" s="2" t="inlineStr"/>
      <c r="C3860" s="2" t="n">
        <v>9344</v>
      </c>
      <c r="D3860" s="3" t="inlineStr">
        <is>
          <t>Дом без выхода</t>
        </is>
      </c>
      <c r="E3860" s="2" t="n">
        <v>1988</v>
      </c>
      <c r="F3860" s="2" t="inlineStr">
        <is>
          <t>кинофильм</t>
        </is>
      </c>
      <c r="G3860" s="2" t="n"/>
      <c r="H3860" s="2" t="n">
        <v>412</v>
      </c>
      <c r="I3860" s="2" t="inlineStr"/>
      <c r="J3860" s="2" t="inlineStr"/>
      <c r="K3860" s="3" t="inlineStr">
        <is>
          <t>Для художника Старо связь с медсестрой Яной, матерью-одиночкой, - стала необходимой отдушиной от семьи и ремесла, которое незаметно подменило творчество. Однажды теплым осенним днем герои едут на дачу и становятся пленниками бежавших из тюрьмы преступников. Безнадежно больной главарь беглецов перед смертью пытается доказать своим пленникам, что ради сохранения жизни все люди способны на самые низкие поступки.</t>
        </is>
      </c>
      <c r="L3860" s="2" t="inlineStr">
        <is>
          <t>Кино_СССР сводный каталог.xlsx: список фильмов (доп.)</t>
        </is>
      </c>
      <c r="M3860" s="2">
        <f>HYPERLINK("https://ru.wikipedia.org/w/index.php?search=%D0%94%D0%BE%D0%BC%20%D0%B1%D0%B5%D0%B7%20%D0%B2%D1%8B%D1%85%D0%BE%D0%B4%D0%B0%201988%20%D1%84%D0%B8%D0%BB%D1%8C%D0%BC","искать")</f>
        <v/>
      </c>
      <c r="N3860" s="3" t="n"/>
      <c r="O3860" s="2" t="n"/>
    </row>
    <row r="3861">
      <c r="A3861" s="2" t="n">
        <v>3860</v>
      </c>
      <c r="B3861" s="2" t="inlineStr"/>
      <c r="C3861" s="2" t="n">
        <v>11124</v>
      </c>
      <c r="D3861" s="3" t="inlineStr">
        <is>
          <t>Пиквикский клуб</t>
        </is>
      </c>
      <c r="E3861" s="2" t="n">
        <v>1986</v>
      </c>
      <c r="F3861" s="2" t="inlineStr">
        <is>
          <t>фильм-спектакль</t>
        </is>
      </c>
      <c r="G3861" s="2" t="inlineStr">
        <is>
          <t>Лентелефильм</t>
        </is>
      </c>
      <c r="H3861" s="2" t="n">
        <v>412</v>
      </c>
      <c r="I3861" s="2" t="inlineStr"/>
      <c r="J3861" s="2" t="inlineStr"/>
      <c r="K3861" s="3" t="inlineStr">
        <is>
          <t>Фильм-спектакль.
Сценическая версия БДТ им. Горького в постановке Г.Товстоногова.
История о жизни и приключениях наивного и мудрого мистера Пиквика, неутомимого исследователя человеческой природы и окружающей нас действительности. Веселый, смешной, полный доброго юмора красочный спектакль. Забавные характеры героев дают повод для остроумных актерских импровизаций, которые неизменно находили отклик у зрителей.</t>
        </is>
      </c>
      <c r="L3861" s="2" t="inlineStr">
        <is>
          <t>https://www.kino-teatr.ru/teatr/movie/5121/annot/</t>
        </is>
      </c>
      <c r="M3861" s="2">
        <f>HYPERLINK("https://ru.wikipedia.org/w/index.php?search=%D0%9F%D0%B8%D0%BA%D0%B2%D0%B8%D0%BA%D1%81%D0%BA%D0%B8%D0%B9%20%D0%BA%D0%BB%D1%83%D0%B1%201986%20%D1%84%D0%B8%D0%BB%D1%8C%D0%BC","искать")</f>
        <v/>
      </c>
      <c r="N3861" s="3" t="n"/>
      <c r="O3861" s="2" t="n"/>
    </row>
    <row r="3862">
      <c r="A3862" s="2" t="n">
        <v>3861</v>
      </c>
      <c r="B3862" s="2" t="inlineStr"/>
      <c r="C3862" s="2" t="n">
        <v>7316</v>
      </c>
      <c r="D3862" s="3" t="inlineStr">
        <is>
          <t>Везучий человек</t>
        </is>
      </c>
      <c r="E3862" s="2" t="n">
        <v>1987</v>
      </c>
      <c r="F3862" s="2" t="inlineStr">
        <is>
          <t>телефильм</t>
        </is>
      </c>
      <c r="G3862" s="2" t="n"/>
      <c r="H3862" s="2" t="n">
        <v>413</v>
      </c>
      <c r="I3862" s="2" t="inlineStr"/>
      <c r="J3862" s="2" t="inlineStr"/>
      <c r="K3862" s="3" t="inlineStr">
        <is>
          <t>Мелодрама по мотивам повести Юрия Чернякова «Прокол». Прораба Макарова направляют в командировку на строительство комбината, где под его началом работает бригада, в которую входят пять человек - "алконавтов", как прозвали их другие рабочие. Ответственность за доверенных ему людей, мудрость много повидавшего в жизни человека помогают Макарову установить с ними контакт, пробудить в них стремление к лучшей жизни.</t>
        </is>
      </c>
      <c r="L3862" s="2" t="inlineStr">
        <is>
          <t>Кино_СССР сводный каталог.xlsx: список телефильмов</t>
        </is>
      </c>
      <c r="M3862" s="2">
        <f>HYPERLINK("https://ru.wikipedia.org/w/index.php?search=%D0%92%D0%B5%D0%B7%D1%83%D1%87%D0%B8%D0%B9%20%D1%87%D0%B5%D0%BB%D0%BE%D0%B2%D0%B5%D0%BA%201987%20%D1%84%D0%B8%D0%BB%D1%8C%D0%BC","искать")</f>
        <v/>
      </c>
      <c r="N3862" s="3" t="n"/>
      <c r="O3862" s="2" t="n"/>
    </row>
    <row r="3863">
      <c r="A3863" s="2" t="n">
        <v>3862</v>
      </c>
      <c r="B3863" s="2" t="inlineStr"/>
      <c r="C3863" s="2" t="n">
        <v>10069</v>
      </c>
      <c r="D3863" s="3" t="inlineStr">
        <is>
          <t>Сто тысяч</t>
        </is>
      </c>
      <c r="E3863" s="2" t="n">
        <v>1958</v>
      </c>
      <c r="F3863" s="2" t="inlineStr">
        <is>
          <t>фильм-спектакль</t>
        </is>
      </c>
      <c r="G3863" s="2" t="inlineStr">
        <is>
          <t>Киевская киностудия</t>
        </is>
      </c>
      <c r="H3863" s="2" t="n">
        <v>413</v>
      </c>
      <c r="I3863" s="2" t="inlineStr"/>
      <c r="J3863" s="2" t="inlineStr"/>
      <c r="K3863" s="3" t="inlineStr">
        <is>
          <t>Фильм-спектакль по одноименной пьесе И. Карпенко-Карого в постановке Киевского академического украинского драматического театра им. И.Франко. Режиссер спектакля - Гнат Юра.
Главный герой, Герасим Калитка (Димитрий Милютенко), мечтает о ста тысячах рублей, чтобы приобрести как можно больше земли. Для этого он решается купить купюры у фальшивомонетчика. Но вместо банкнот мошенник подсунул Калитке чистые бумажки.</t>
        </is>
      </c>
      <c r="L3863" s="2" t="inlineStr">
        <is>
          <t>https://www.kino-teatr.ru/teatr/movie/12979/annot/</t>
        </is>
      </c>
      <c r="M3863" s="2">
        <f>HYPERLINK("https://ru.wikipedia.org/w/index.php?search=%D0%A1%D1%82%D0%BE%20%D1%82%D1%8B%D1%81%D1%8F%D1%87%201958%20%D1%84%D0%B8%D0%BB%D1%8C%D0%BC","искать")</f>
        <v/>
      </c>
      <c r="N3863" s="3" t="n"/>
      <c r="O3863" s="2" t="n"/>
    </row>
    <row r="3864">
      <c r="A3864" s="2" t="n">
        <v>3863</v>
      </c>
      <c r="B3864" s="2" t="inlineStr"/>
      <c r="C3864" s="2" t="n">
        <v>10243</v>
      </c>
      <c r="D3864" s="3" t="inlineStr">
        <is>
          <t>Гуля Королёва</t>
        </is>
      </c>
      <c r="E3864" s="2" t="n">
        <v>1968</v>
      </c>
      <c r="F3864" s="2" t="inlineStr">
        <is>
          <t>фильм-спектакль</t>
        </is>
      </c>
      <c r="G3864" s="2" t="inlineStr">
        <is>
          <t>Центральное телевидение</t>
        </is>
      </c>
      <c r="H3864" s="2" t="n">
        <v>413</v>
      </c>
      <c r="I3864" s="2" t="inlineStr"/>
      <c r="J3864" s="2" t="inlineStr"/>
      <c r="K3864" s="3" t="inlineStr">
        <is>
          <t>По мотивам повести Елены Ильиной "Четвертая высота".
С детства Гуля Королева воспитывала в себе силу воли, умение преодолевать трудности, брать свои высоты. Главным экзаменом ее недолгой жизни стала война. В Сталинградской битве под огнем Гуля выносила раненых солдат и, будучи сама раненой, нашла в себе силы повести за собой отряд в наступление. Она взяла свою четвертую высоту, которая стала для нее последней.</t>
        </is>
      </c>
      <c r="L3864" s="2" t="inlineStr">
        <is>
          <t>https://www.kino-teatr.ru/teatr/movie/1549/annot/</t>
        </is>
      </c>
      <c r="M3864" s="2">
        <f>HYPERLINK("https://ru.wikipedia.org/w/index.php?search=%D0%93%D1%83%D0%BB%D1%8F%20%D0%9A%D0%BE%D1%80%D0%BE%D0%BB%D1%91%D0%B2%D0%B0%201968%20%D1%84%D0%B8%D0%BB%D1%8C%D0%BC","искать")</f>
        <v/>
      </c>
      <c r="N3864" s="3" t="n"/>
      <c r="O3864" s="2" t="n"/>
    </row>
    <row r="3865">
      <c r="A3865" s="2" t="n">
        <v>3864</v>
      </c>
      <c r="B3865" s="2" t="inlineStr"/>
      <c r="C3865" s="2" t="n">
        <v>8784</v>
      </c>
      <c r="D3865" s="3" t="inlineStr">
        <is>
          <t>Крюк</t>
        </is>
      </c>
      <c r="E3865" s="2" t="n">
        <v>1989</v>
      </c>
      <c r="F3865" s="2" t="inlineStr">
        <is>
          <t>кинофильм</t>
        </is>
      </c>
      <c r="G3865" s="2" t="n"/>
      <c r="H3865" s="2" t="n">
        <v>414</v>
      </c>
      <c r="I3865" s="2" t="inlineStr"/>
      <c r="J3865" s="2" t="inlineStr"/>
      <c r="K3865" s="3" t="inlineStr">
        <is>
          <t>Фильм снят по произведению узбексого писателя Хайриддинна Султанова "Ой, Джамшид". Аринбай проиграл в азартные игры. Он должен выплатить долг к утру. В квартире жуткая тишина. Родственники собрались. Начались консультации по взысканию и погашению этого долга. Просматривая фильм, мы понимаем, что утрата доброты, искренности и терпимости между родственниками – это большая трагедия, чем проигрыш в жизненном риске.</t>
        </is>
      </c>
      <c r="L3865" s="2" t="inlineStr">
        <is>
          <t>Кино_СССР сводный каталог.xlsx: список фильмов (доп.)</t>
        </is>
      </c>
      <c r="M3865" s="2">
        <f>HYPERLINK("https://ru.wikipedia.org/w/index.php?search=%D0%9A%D1%80%D1%8E%D0%BA%201989%20%D1%84%D0%B8%D0%BB%D1%8C%D0%BC","искать")</f>
        <v/>
      </c>
      <c r="N3865" s="3" t="n"/>
      <c r="O3865" s="2" t="n"/>
    </row>
    <row r="3866">
      <c r="A3866" s="2" t="n">
        <v>3865</v>
      </c>
      <c r="B3866" s="2" t="inlineStr"/>
      <c r="C3866" s="2" t="n">
        <v>9120</v>
      </c>
      <c r="D3866" s="3" t="inlineStr">
        <is>
          <t>Убить "Шакала"</t>
        </is>
      </c>
      <c r="E3866" s="2" t="n">
        <v>1991</v>
      </c>
      <c r="F3866" s="2" t="inlineStr">
        <is>
          <t>кинофильм</t>
        </is>
      </c>
      <c r="G3866" s="2" t="n"/>
      <c r="H3866" s="2" t="n">
        <v>414</v>
      </c>
      <c r="I3866" s="2" t="inlineStr"/>
      <c r="J3866" s="2" t="inlineStr"/>
      <c r="K3866" s="3" t="inlineStr">
        <is>
          <t>Вооруженная банда совершает в городе Алуште дерзкий налет на ювелирный магазин - похищены ценности на крупную сумму. Вслед за этим в скором поезде "Симферополь - Киев" происходит убийство. Следователю Петрову предстоит найти убийцу до прибытия поезда на киевский вокзал. После первого же допроса пассажиров, Петров приходит к выводу, что все они говорят неправду и у каждого подозреваемого есть мотив преступления.</t>
        </is>
      </c>
      <c r="L3866" s="2" t="inlineStr">
        <is>
          <t>Кино_СССР сводный каталог.xlsx: список фильмов (доп.)</t>
        </is>
      </c>
      <c r="M3866" s="2">
        <f>HYPERLINK("https://ru.wikipedia.org/w/index.php?search=%D0%A3%D0%B1%D0%B8%D1%82%D1%8C%20%22%D0%A8%D0%B0%D0%BA%D0%B0%D0%BB%D0%B0%22%201991%20%D1%84%D0%B8%D0%BB%D1%8C%D0%BC","искать")</f>
        <v/>
      </c>
      <c r="N3866" s="3" t="n"/>
      <c r="O3866" s="2" t="n"/>
    </row>
    <row r="3867">
      <c r="A3867" s="2" t="n">
        <v>3866</v>
      </c>
      <c r="B3867" s="2" t="inlineStr"/>
      <c r="C3867" s="2" t="n">
        <v>10495</v>
      </c>
      <c r="D3867" s="3" t="inlineStr">
        <is>
          <t>До новых встреч!</t>
        </is>
      </c>
      <c r="E3867" s="2" t="n">
        <v>1973</v>
      </c>
      <c r="F3867" s="2" t="inlineStr">
        <is>
          <t>фильм-спектакль</t>
        </is>
      </c>
      <c r="G3867" s="2" t="n"/>
      <c r="H3867" s="2" t="n">
        <v>414</v>
      </c>
      <c r="I3867" s="2" t="inlineStr"/>
      <c r="J3867" s="2" t="inlineStr"/>
      <c r="K3867" s="3" t="inlineStr">
        <is>
          <t>Действие проходит в годы Великой Отечественной Войны. По-разному складываются судьбы двух подруг — Люси и Люки. Люся — человек цельный и постоянный в своих привязанностях.
Люка, возлагая надежды лишь на свою красоту, стремилась любыми средствами достигнуть избранной цели — стать артисткой. Вновь встретились подруги после войны. Люся обрела свое подлинное счастье, а Люка так и не сумела найти свое место в жизни.</t>
        </is>
      </c>
      <c r="L3867" s="2" t="inlineStr">
        <is>
          <t>https://www.kino-teatr.ru/teatr/movie/92426/annot/</t>
        </is>
      </c>
      <c r="M3867" s="2">
        <f>HYPERLINK("https://ru.wikipedia.org/w/index.php?search=%D0%94%D0%BE%20%D0%BD%D0%BE%D0%B2%D1%8B%D1%85%20%D0%B2%D1%81%D1%82%D1%80%D0%B5%D1%87%21%201973%20%D1%84%D0%B8%D0%BB%D1%8C%D0%BC","искать")</f>
        <v/>
      </c>
      <c r="N3867" s="3" t="n"/>
      <c r="O3867" s="2" t="n"/>
    </row>
    <row r="3868">
      <c r="A3868" s="2" t="n">
        <v>3867</v>
      </c>
      <c r="B3868" s="2" t="inlineStr"/>
      <c r="C3868" s="2" t="n">
        <v>7515</v>
      </c>
      <c r="D3868" s="3" t="inlineStr">
        <is>
          <t>Для домашнего очага</t>
        </is>
      </c>
      <c r="E3868" s="2" t="n">
        <v>1970</v>
      </c>
      <c r="F3868" s="2" t="inlineStr">
        <is>
          <t>телефильм</t>
        </is>
      </c>
      <c r="G3868" s="2" t="n"/>
      <c r="H3868" s="2" t="n">
        <v>415</v>
      </c>
      <c r="I3868" s="2" t="inlineStr"/>
      <c r="J3868" s="2" t="inlineStr"/>
      <c r="K3868" s="3" t="inlineStr">
        <is>
          <t>Экранизация одноименной повести Ивана Франко. История счастливого семейства Анели и Антося Ангаровичей. Они любят друг друга, обожают своих детей и готовы на все для благополучия своего семейного очага. Ради этого Антось пять лет своей жизни отдал службе в Боснии. По-своему решила эту проблему Анеля: чтобы спасти честь своей семьи, которую она запятнала участием в криминальных делах, кончает жизнь самоубийством.</t>
        </is>
      </c>
      <c r="L3868" s="2" t="inlineStr">
        <is>
          <t>Кино_СССР сводный каталог.xlsx: список телефильмов</t>
        </is>
      </c>
      <c r="M3868" s="2">
        <f>HYPERLINK("https://ru.wikipedia.org/w/index.php?search=%D0%94%D0%BB%D1%8F%20%D0%B4%D0%BE%D0%BC%D0%B0%D1%88%D0%BD%D0%B5%D0%B3%D0%BE%20%D0%BE%D1%87%D0%B0%D0%B3%D0%B0%201970%20%D1%84%D0%B8%D0%BB%D1%8C%D0%BC","искать")</f>
        <v/>
      </c>
      <c r="N3868" s="3" t="n"/>
      <c r="O3868" s="2" t="n"/>
    </row>
    <row r="3869">
      <c r="A3869" s="2" t="n">
        <v>3868</v>
      </c>
      <c r="B3869" s="2" t="inlineStr"/>
      <c r="C3869" s="2" t="n">
        <v>9752</v>
      </c>
      <c r="D3869" s="3" t="inlineStr">
        <is>
          <t>Чернов</t>
        </is>
      </c>
      <c r="E3869" s="2" t="n">
        <v>1990</v>
      </c>
      <c r="F3869" s="2" t="inlineStr">
        <is>
          <t>кинофильм</t>
        </is>
      </c>
      <c r="G3869" s="2" t="n"/>
      <c r="H3869" s="2" t="n">
        <v>415</v>
      </c>
      <c r="I3869" s="2" t="inlineStr"/>
      <c r="J3869" s="2" t="inlineStr"/>
      <c r="K3869" s="3" t="inlineStr">
        <is>
          <t>По одноименной повести Сергея Юрского. Странное название объясняется тем, что в картине как бы два фильма: один — о реальном дне жизни реального московского архитектора Александра Петровича Чернова, его душевном кризисе; а другой — вымысел Чернова. Там — иная судьба, иная страна, иная жизнь. Именно в нее, в эту самую жизнь Чернов и стремится попасть — и ради поездки в Испанию ему придется пойти на предательство.</t>
        </is>
      </c>
      <c r="L3869" s="2" t="inlineStr">
        <is>
          <t>Кино_СССР сводный каталог.xlsx: список фильмов (доп.)</t>
        </is>
      </c>
      <c r="M3869" s="2">
        <f>HYPERLINK("https://ru.wikipedia.org/w/index.php?search=%D0%A7%D0%B5%D1%80%D0%BD%D0%BE%D0%B2%201990%20%D1%84%D0%B8%D0%BB%D1%8C%D0%BC","искать")</f>
        <v/>
      </c>
      <c r="N3869" s="3" t="n"/>
      <c r="O3869" s="2" t="n"/>
    </row>
    <row r="3870">
      <c r="A3870" s="2" t="n">
        <v>3869</v>
      </c>
      <c r="B3870" s="2" t="inlineStr"/>
      <c r="C3870" s="2" t="n">
        <v>7542</v>
      </c>
      <c r="D3870" s="3" t="inlineStr">
        <is>
          <t>Дом у кольцевой дороги</t>
        </is>
      </c>
      <c r="E3870" s="2" t="n">
        <v>1980</v>
      </c>
      <c r="F3870" s="2" t="inlineStr">
        <is>
          <t>телефильм</t>
        </is>
      </c>
      <c r="G3870" s="2" t="n"/>
      <c r="H3870" s="2" t="n">
        <v>416</v>
      </c>
      <c r="I3870" s="2" t="inlineStr"/>
      <c r="J3870" s="2" t="inlineStr"/>
      <c r="K3870" s="3" t="inlineStr">
        <is>
          <t>В центре повествования история с Колей Никифоровым, учащимся того самого ПТУ, где работают преподавателями снявшие на лето деревянный домик на Сиреневой улице Ксения, Саранцев и Семен Золотов. Из-за конфликта с отцом мальчик уходит из родного дома. Умение понять его, по-настоящему помочь — определяют нравственную сущность каждого из персонажей фильма и, в первую очередь, Надежды Казимировны, хозяйки старого дома.</t>
        </is>
      </c>
      <c r="L3870" s="2" t="inlineStr">
        <is>
          <t>Кино_СССР сводный каталог.xlsx: список телефильмов</t>
        </is>
      </c>
      <c r="M3870" s="2">
        <f>HYPERLINK("https://ru.wikipedia.org/w/index.php?search=%D0%94%D0%BE%D0%BC%20%D1%83%20%D0%BA%D0%BE%D0%BB%D1%8C%D1%86%D0%B5%D0%B2%D0%BE%D0%B9%20%D0%B4%D0%BE%D1%80%D0%BE%D0%B3%D0%B8%201980%20%D1%84%D0%B8%D0%BB%D1%8C%D0%BC","искать")</f>
        <v/>
      </c>
      <c r="N3870" s="3" t="n"/>
      <c r="O3870" s="2" t="n"/>
    </row>
    <row r="3871">
      <c r="A3871" s="2" t="n">
        <v>3870</v>
      </c>
      <c r="B3871" s="2" t="inlineStr"/>
      <c r="C3871" s="2" t="n">
        <v>7844</v>
      </c>
      <c r="D3871" s="3" t="inlineStr">
        <is>
          <t>Мальчик со шпагой</t>
        </is>
      </c>
      <c r="E3871" s="2" t="n">
        <v>1975</v>
      </c>
      <c r="F3871" s="2" t="inlineStr">
        <is>
          <t>телефильм</t>
        </is>
      </c>
      <c r="G3871" s="2" t="n"/>
      <c r="H3871" s="2" t="n">
        <v>416</v>
      </c>
      <c r="I3871" s="2" t="inlineStr"/>
      <c r="J3871" s="2" t="inlineStr"/>
      <c r="K3871" s="3" t="inlineStr">
        <is>
          <t>По одноименной повести Владислава Крапивина. ...Отличительная черта мальчишек из дворового клуба «Эспада» — нежелание мириться с несправедливостью, с жестокостью, где бы она ни проявлялась: во дворе, на улице, в школе или в далекой стране. Им до всего есть дело. Обижен ли малыш, пристали ли к кому-то хулиганы, убит ли в Чили их сверстник — мальчишки из «Эспады» всегда готовы обнажить свои шпаги в защиту человека.</t>
        </is>
      </c>
      <c r="L3871" s="2" t="inlineStr">
        <is>
          <t>Кино_СССР сводный каталог.xlsx: список телефильмов</t>
        </is>
      </c>
      <c r="M3871" s="2">
        <f>HYPERLINK("https://ru.wikipedia.org/w/index.php?search=%D0%9C%D0%B0%D0%BB%D1%8C%D1%87%D0%B8%D0%BA%20%D1%81%D0%BE%20%D1%88%D0%BF%D0%B0%D0%B3%D0%BE%D0%B9%201975%20%D1%84%D0%B8%D0%BB%D1%8C%D0%BC","искать")</f>
        <v/>
      </c>
      <c r="N3871" s="3" t="n"/>
      <c r="O3871" s="2" t="n"/>
    </row>
    <row r="3872">
      <c r="A3872" s="2" t="n">
        <v>3871</v>
      </c>
      <c r="B3872" s="2" t="inlineStr"/>
      <c r="C3872" s="2" t="n">
        <v>7962</v>
      </c>
      <c r="D3872" s="3" t="inlineStr">
        <is>
          <t>Не имеющий чина</t>
        </is>
      </c>
      <c r="E3872" s="2" t="n">
        <v>1985</v>
      </c>
      <c r="F3872" s="2" t="inlineStr">
        <is>
          <t>телефильм</t>
        </is>
      </c>
      <c r="G3872" s="2" t="n"/>
      <c r="H3872" s="2" t="n">
        <v>416</v>
      </c>
      <c r="I3872" s="2" t="inlineStr"/>
      <c r="J3872" s="2" t="inlineStr"/>
      <c r="K3872" s="3" t="inlineStr">
        <is>
          <t>Историко-биографический фильм о жизни М.В.Фрунзе. Действие фильма охватывает период с 1915 по 1916 год. Фильм посвящен одному из самых таинственных эпизодов жизни Михаила Фрунзе, когда он в 1915 году совершил побег из пересыльной тюрьмы. В блестящем дворянине Василенко жандармские офицеры не смогли вычислить дерзкого беглеца, ставшего после гражданской войны опасным оппонентом для набиравшего силу Иосифа Сталина.</t>
        </is>
      </c>
      <c r="L3872" s="2" t="inlineStr">
        <is>
          <t>Кино_СССР сводный каталог.xlsx: список телефильмов</t>
        </is>
      </c>
      <c r="M3872" s="2">
        <f>HYPERLINK("https://ru.wikipedia.org/w/index.php?search=%D0%9D%D0%B5%20%D0%B8%D0%BC%D0%B5%D1%8E%D1%89%D0%B8%D0%B9%20%D1%87%D0%B8%D0%BD%D0%B0%201985%20%D1%84%D0%B8%D0%BB%D1%8C%D0%BC","искать")</f>
        <v/>
      </c>
      <c r="N3872" s="3" t="n"/>
      <c r="O3872" s="2" t="n"/>
    </row>
    <row r="3873">
      <c r="A3873" s="2" t="n">
        <v>3872</v>
      </c>
      <c r="B3873" s="2" t="inlineStr"/>
      <c r="C3873" s="2" t="n">
        <v>8315</v>
      </c>
      <c r="D3873" s="3" t="inlineStr">
        <is>
          <t>Своё счастье</t>
        </is>
      </c>
      <c r="E3873" s="2" t="n">
        <v>1979</v>
      </c>
      <c r="F3873" s="2" t="inlineStr">
        <is>
          <t>телефильм</t>
        </is>
      </c>
      <c r="G3873" s="2" t="inlineStr">
        <is>
          <t>к/с им. Довженко</t>
        </is>
      </c>
      <c r="H3873" s="2" t="n">
        <v>416</v>
      </c>
      <c r="I3873" s="2" t="inlineStr"/>
      <c r="J3873" s="2" t="inlineStr"/>
      <c r="K3873" s="3" t="inlineStr">
        <is>
          <t>Телефильм по мотивам повести Николая Самохина «Так близко, так далеко». Александру Павловичу Резникову не хватает двухсот рублей (в 1970-е годы — полуторамесячный оклад служащего), чтобы оплатить путевки. Сосед-шабашник Юра предлагает Резникову заработать эти деньги за один день. Для этого Александр Палыч должен присутствовать при сносе старого деревянного дома в роли прораба, а Юра привлечет к работам студентов.</t>
        </is>
      </c>
      <c r="L3873" s="2" t="inlineStr">
        <is>
          <t>Кино_СССР сводный каталог.xlsx: список телефильмов</t>
        </is>
      </c>
      <c r="M3873" s="2">
        <f>HYPERLINK("https://ru.wikipedia.org/w/index.php?search=%D0%A1%D0%B2%D0%BE%D1%91%20%D1%81%D1%87%D0%B0%D1%81%D1%82%D1%8C%D0%B5%201979%20%D1%84%D0%B8%D0%BB%D1%8C%D0%BC","искать")</f>
        <v/>
      </c>
      <c r="N3873" s="3" t="n"/>
      <c r="O3873" s="2" t="n"/>
    </row>
    <row r="3874">
      <c r="A3874" s="2" t="n">
        <v>3873</v>
      </c>
      <c r="B3874" s="2" t="inlineStr"/>
      <c r="C3874" s="2" t="n">
        <v>8687</v>
      </c>
      <c r="D3874" s="3" t="inlineStr">
        <is>
          <t>Губернаторъ</t>
        </is>
      </c>
      <c r="E3874" s="2" t="n">
        <v>1991</v>
      </c>
      <c r="F3874" s="2" t="inlineStr">
        <is>
          <t>кинофильм</t>
        </is>
      </c>
      <c r="G3874" s="2" t="n"/>
      <c r="H3874" s="2" t="n">
        <v>416</v>
      </c>
      <c r="I3874" s="2" t="inlineStr"/>
      <c r="J3874" s="2" t="inlineStr"/>
      <c r="K3874" s="3" t="inlineStr">
        <is>
          <t>Россия. 1905 год. Небольшой уездный город. Перед домом губернатора собрались бастующие рабочие с женами и детьми. Толпа шумит, с губернатора пытаются сорвать погоны, его помощники с трудом вытаскивают его из толпы и уводят в дом. В окна летят камни. Губернатор выходит на балкон, достает платок. Солдаты, стоящие в оцеплении, нервничают, и неосторожный взмах платка губернатора расценивают, как приказ открыть огонь.</t>
        </is>
      </c>
      <c r="L3874" s="2" t="inlineStr">
        <is>
          <t>Кино_СССР сводный каталог.xlsx: список фильмов (доп.)</t>
        </is>
      </c>
      <c r="M3874" s="2">
        <f>HYPERLINK("https://ru.wikipedia.org/w/index.php?search=%D0%93%D1%83%D0%B1%D0%B5%D1%80%D0%BD%D0%B0%D1%82%D0%BE%D1%80%D1%8A%201991%20%D1%84%D0%B8%D0%BB%D1%8C%D0%BC","искать")</f>
        <v/>
      </c>
      <c r="N3874" s="3" t="n"/>
      <c r="O3874" s="2" t="n"/>
    </row>
    <row r="3875">
      <c r="A3875" s="2" t="n">
        <v>3874</v>
      </c>
      <c r="B3875" s="2" t="inlineStr"/>
      <c r="C3875" s="2" t="n">
        <v>8736</v>
      </c>
      <c r="D3875" s="3" t="inlineStr">
        <is>
          <t>Зелёная ветка мая</t>
        </is>
      </c>
      <c r="E3875" s="2" t="n">
        <v>1961</v>
      </c>
      <c r="F3875" s="2" t="inlineStr">
        <is>
          <t>кинофильм</t>
        </is>
      </c>
      <c r="G3875" s="2" t="n"/>
      <c r="H3875" s="2" t="n">
        <v>416</v>
      </c>
      <c r="I3875" s="2" t="inlineStr"/>
      <c r="J3875" s="2" t="inlineStr"/>
      <c r="K3875" s="3" t="inlineStr">
        <is>
          <t>Киноповесть о судьбе девушки, чье детство и юность проходили в годы революции и становления Советской власти. Героиня - девушка хорошего рода, её воспитывает тётка, выкупившая келью при монастыре. К тётке она попадает ещё в Первую мировую; вместе они переживают смутные революционные годы... После окончания школы героине предлагают поехать в деревню учительницей, потом она попадает на курсы повышения квалификации.</t>
        </is>
      </c>
      <c r="L3875" s="2" t="inlineStr">
        <is>
          <t>Кино_СССР сводный каталог.xlsx: список фильмов (доп.)</t>
        </is>
      </c>
      <c r="M3875" s="2">
        <f>HYPERLINK("https://ru.wikipedia.org/w/index.php?search=%D0%97%D0%B5%D0%BB%D1%91%D0%BD%D0%B0%D1%8F%20%D0%B2%D0%B5%D1%82%D0%BA%D0%B0%20%D0%BC%D0%B0%D1%8F%201961%20%D1%84%D0%B8%D0%BB%D1%8C%D0%BC","искать")</f>
        <v/>
      </c>
      <c r="N3875" s="3" t="n"/>
      <c r="O3875" s="2" t="n"/>
    </row>
    <row r="3876">
      <c r="A3876" s="2" t="n">
        <v>3875</v>
      </c>
      <c r="B3876" s="2" t="inlineStr"/>
      <c r="C3876" s="2" t="n">
        <v>7555</v>
      </c>
      <c r="D3876" s="3" t="inlineStr">
        <is>
          <t>Дороги Анны Фирлинг</t>
        </is>
      </c>
      <c r="E3876" s="2" t="n">
        <v>1985</v>
      </c>
      <c r="F3876" s="2" t="inlineStr">
        <is>
          <t>телефильм</t>
        </is>
      </c>
      <c r="G3876" s="2" t="n"/>
      <c r="H3876" s="2" t="n">
        <v>417</v>
      </c>
      <c r="I3876" s="2" t="inlineStr"/>
      <c r="J3876" s="2" t="inlineStr"/>
      <c r="K3876" s="3" t="inlineStr">
        <is>
          <t>Телеэкранизация пьесы Бертольта Брехта "Мамаша Кураж и её дети". Маркитантка Второго Финляндского полка Анна Фирлинг по прозвищу Кураж никогда - ни под ядрами, ни под пулями не бросала фургон с товаром. Дети ее - сыновья и немая дочь Катрин - настоящие дети войны: каждый имеет свою фамилию, и отцы их - солдаты разных армий, воевавшие под знаменами разных вероисповеданий,- все уже убиты или сгинули неизвестно куда.</t>
        </is>
      </c>
      <c r="L3876" s="2" t="inlineStr">
        <is>
          <t>Кино_СССР сводный каталог.xlsx: список телефильмов</t>
        </is>
      </c>
      <c r="M3876" s="2">
        <f>HYPERLINK("https://ru.wikipedia.org/w/index.php?search=%D0%94%D0%BE%D1%80%D0%BE%D0%B3%D0%B8%20%D0%90%D0%BD%D0%BD%D1%8B%20%D0%A4%D0%B8%D1%80%D0%BB%D0%B8%D0%BD%D0%B3%201985%20%D1%84%D0%B8%D0%BB%D1%8C%D0%BC","искать")</f>
        <v/>
      </c>
      <c r="N3876" s="3" t="n"/>
      <c r="O3876" s="2" t="n"/>
    </row>
    <row r="3877">
      <c r="A3877" s="2" t="n">
        <v>3876</v>
      </c>
      <c r="B3877" s="2" t="inlineStr"/>
      <c r="C3877" s="2" t="n">
        <v>8390</v>
      </c>
      <c r="D3877" s="3" t="inlineStr">
        <is>
          <t>Спираль</t>
        </is>
      </c>
      <c r="E3877" s="2" t="n">
        <v>1990</v>
      </c>
      <c r="F3877" s="2" t="inlineStr">
        <is>
          <t>телефильм</t>
        </is>
      </c>
      <c r="G3877" s="2" t="n"/>
      <c r="H3877" s="2" t="n">
        <v>417</v>
      </c>
      <c r="I3877" s="2" t="inlineStr"/>
      <c r="J3877" s="2" t="inlineStr"/>
      <c r="K3877" s="3" t="inlineStr">
        <is>
          <t>Телесериал. Научно-фантастический фильм по одноименному роману Гурама Панджикидзе. Физик Давид Гиоргадзе стоит на пороге открытия нового вида энергии, которая может не только изменить облик планеты, но и принести неожиданные разрушения. Однако сам ученый стар, дни его сочтены. И тогда профессор медицины Торадзе предлагает физику эксперимент: его мозг пересадить в тело молодого человека, погибшего в автокатастрофе.</t>
        </is>
      </c>
      <c r="L3877" s="2" t="inlineStr">
        <is>
          <t>Кино_СССР сводный каталог.xlsx: список телефильмов</t>
        </is>
      </c>
      <c r="M3877" s="2">
        <f>HYPERLINK("https://ru.wikipedia.org/w/index.php?search=%D0%A1%D0%BF%D0%B8%D1%80%D0%B0%D0%BB%D1%8C%201990%20%D1%84%D0%B8%D0%BB%D1%8C%D0%BC","искать")</f>
        <v/>
      </c>
      <c r="N3877" s="3" t="n"/>
      <c r="O3877" s="2" t="n"/>
    </row>
    <row r="3878">
      <c r="A3878" s="2" t="n">
        <v>3877</v>
      </c>
      <c r="B3878" s="2" t="inlineStr"/>
      <c r="C3878" s="2" t="n">
        <v>8404</v>
      </c>
      <c r="D3878" s="3" t="inlineStr">
        <is>
          <t>Сто вёрст по реке</t>
        </is>
      </c>
      <c r="E3878" s="2" t="n">
        <v>1990</v>
      </c>
      <c r="F3878" s="2" t="inlineStr">
        <is>
          <t>телефильм</t>
        </is>
      </c>
      <c r="G3878" s="2" t="n"/>
      <c r="H3878" s="2" t="n">
        <v>417</v>
      </c>
      <c r="I3878" s="2" t="inlineStr"/>
      <c r="J3878" s="2" t="inlineStr"/>
      <c r="K3878" s="3" t="inlineStr">
        <is>
          <t>По мотивам рассказов Александра Грина. Драматическое повествование о первом увлечении и разочаровании, любви и неверии, преступлении и наказании. Герой фильма Нок, пережив предательство возлюбленной, навсегда, казалось бы, теряет веру в любовь и преданность. Однако встреча с юной Гелли, совместное пребывание в нелегких условиях и постоянно грозящей опасности, заставляют их сблизиться, понять и полюбить друг друга.</t>
        </is>
      </c>
      <c r="L3878" s="2" t="inlineStr">
        <is>
          <t>Кино_СССР сводный каталог.xlsx: список телефильмов</t>
        </is>
      </c>
      <c r="M3878" s="2">
        <f>HYPERLINK("https://ru.wikipedia.org/w/index.php?search=%D0%A1%D1%82%D0%BE%20%D0%B2%D1%91%D1%80%D1%81%D1%82%20%D0%BF%D0%BE%20%D1%80%D0%B5%D0%BA%D0%B5%201990%20%D1%84%D0%B8%D0%BB%D1%8C%D0%BC","искать")</f>
        <v/>
      </c>
      <c r="N3878" s="3" t="n"/>
      <c r="O3878" s="2" t="n"/>
    </row>
    <row r="3879">
      <c r="A3879" s="2" t="n">
        <v>3878</v>
      </c>
      <c r="B3879" s="2" t="inlineStr"/>
      <c r="C3879" s="2" t="n">
        <v>11110</v>
      </c>
      <c r="D3879" s="3" t="inlineStr">
        <is>
          <t>Женитьба Бальзаминова</t>
        </is>
      </c>
      <c r="E3879" s="2" t="n">
        <v>1986</v>
      </c>
      <c r="F3879" s="2" t="inlineStr">
        <is>
          <t>фильм-спектакль</t>
        </is>
      </c>
      <c r="G3879" s="2" t="inlineStr">
        <is>
          <t>ТО “Экран”</t>
        </is>
      </c>
      <c r="H3879" s="2" t="n">
        <v>417</v>
      </c>
      <c r="I3879" s="2" t="inlineStr"/>
      <c r="J3879" s="2" t="inlineStr"/>
      <c r="K3879" s="3" t="inlineStr">
        <is>
          <t>По пьесам А.Н.Островского "Праздничный сон - до обеда", "Свои собаки грызутся, чужая не приставай!", "За чем пойдешь, то и найдешь" в постановке Малого театра.
Яркая и живописная постановка о похождениях мелкого чиновника Миши Бальзаминова, которому для полного счастья не хватает только одного - жениться на богатой невесте. Но до того как мечта осуществится, Михаила ждет множество недоразумений и забавных ситуаций</t>
        </is>
      </c>
      <c r="L3879" s="2" t="inlineStr">
        <is>
          <t>https://www.kino-teatr.ru/teatr/movie/82057/annot/</t>
        </is>
      </c>
      <c r="M3879" s="2">
        <f>HYPERLINK("https://ru.wikipedia.org/w/index.php?search=%D0%96%D0%B5%D0%BD%D0%B8%D1%82%D1%8C%D0%B1%D0%B0%20%D0%91%D0%B0%D0%BB%D1%8C%D0%B7%D0%B0%D0%BC%D0%B8%D0%BD%D0%BE%D0%B2%D0%B0%201986%20%D1%84%D0%B8%D0%BB%D1%8C%D0%BC","искать")</f>
        <v/>
      </c>
      <c r="N3879" s="3" t="n"/>
      <c r="O3879" s="2" t="n"/>
    </row>
    <row r="3880">
      <c r="A3880" s="2" t="n">
        <v>3879</v>
      </c>
      <c r="B3880" s="2" t="inlineStr"/>
      <c r="C3880" s="2" t="n">
        <v>8386</v>
      </c>
      <c r="D3880" s="3" t="inlineStr">
        <is>
          <t>Софья Ковалевская</t>
        </is>
      </c>
      <c r="E3880" s="2" t="n">
        <v>1985</v>
      </c>
      <c r="F3880" s="2" t="inlineStr">
        <is>
          <t>телефильм</t>
        </is>
      </c>
      <c r="G3880" s="2" t="n"/>
      <c r="H3880" s="2" t="n">
        <v>418</v>
      </c>
      <c r="I3880" s="2" t="inlineStr"/>
      <c r="J3880" s="2" t="inlineStr"/>
      <c r="K3880" s="3" t="inlineStr">
        <is>
          <t>Фильм о яркой судьбе русского математика Софьи Васильевны Ковалевской (1850-1891), первой женщины, ставшей членом-корреспондентом Петербургской Академии Наук. В жизни Софьи Ковалевской было много сложных и драматических перипетий. Это и фиктивный брак, позволивший ей получить высшее образование за границей; и период, когда она вместе с мужем пустилась в коммерческое предпринимательство; и, наконец, её разрыв с ним.</t>
        </is>
      </c>
      <c r="L3880" s="2" t="inlineStr">
        <is>
          <t>Кино_СССР сводный каталог.xlsx: список телефильмов</t>
        </is>
      </c>
      <c r="M3880" s="2">
        <f>HYPERLINK("https://ru.wikipedia.org/w/index.php?search=%D0%A1%D0%BE%D1%84%D1%8C%D1%8F%20%D0%9A%D0%BE%D0%B2%D0%B0%D0%BB%D0%B5%D0%B2%D1%81%D0%BA%D0%B0%D1%8F%201985%20%D1%84%D0%B8%D0%BB%D1%8C%D0%BC","искать")</f>
        <v/>
      </c>
      <c r="N3880" s="3" t="n"/>
      <c r="O3880" s="2" t="n"/>
    </row>
    <row r="3881">
      <c r="A3881" s="2" t="n">
        <v>3880</v>
      </c>
      <c r="B3881" s="2" t="inlineStr"/>
      <c r="C3881" s="2" t="n">
        <v>10376</v>
      </c>
      <c r="D3881" s="3" t="inlineStr">
        <is>
          <t>Уступи место...</t>
        </is>
      </c>
      <c r="E3881" s="2" t="n">
        <v>1970</v>
      </c>
      <c r="F3881" s="2" t="inlineStr">
        <is>
          <t>фильм-спектакль</t>
        </is>
      </c>
      <c r="G3881" s="2" t="inlineStr">
        <is>
          <t>Укртелефільм</t>
        </is>
      </c>
      <c r="H3881" s="2" t="n">
        <v>418</v>
      </c>
      <c r="I3881" s="2" t="inlineStr"/>
      <c r="J3881" s="2" t="inlineStr"/>
      <c r="K3881" s="3" t="inlineStr">
        <is>
          <t>Фильм-спектакль в постановке Киевского государственного академического драматического театра им. Ивана Франко по киноповести американской писательницы Винья Дельмар "Уступи место завтрашнему дню"(фильм 1937 года) на основе пьесы Хелен и Ноа Лири, которая, в свою очередь, была написана по роману Джозефины Лоуренс "Долгие годы" о пожилых супругах, разлученных собственными детьми после пятидесяти лет, прожитых вместе.</t>
        </is>
      </c>
      <c r="L3881" s="2" t="inlineStr">
        <is>
          <t>https://www.kino-teatr.ru/teatr/movie/91650/annot/</t>
        </is>
      </c>
      <c r="M3881" s="2">
        <f>HYPERLINK("https://ru.wikipedia.org/w/index.php?search=%D0%A3%D1%81%D1%82%D1%83%D0%BF%D0%B8%20%D0%BC%D0%B5%D1%81%D1%82%D0%BE...%201970%20%D1%84%D0%B8%D0%BB%D1%8C%D0%BC","искать")</f>
        <v/>
      </c>
      <c r="N3881" s="3" t="n"/>
      <c r="O3881" s="2" t="n"/>
    </row>
    <row r="3882">
      <c r="A3882" s="2" t="n">
        <v>3881</v>
      </c>
      <c r="B3882" s="2" t="inlineStr"/>
      <c r="C3882" s="2" t="n">
        <v>8728</v>
      </c>
      <c r="D3882" s="3" t="inlineStr">
        <is>
          <t>Загнанные</t>
        </is>
      </c>
      <c r="E3882" s="2" t="n">
        <v>1991</v>
      </c>
      <c r="F3882" s="2" t="inlineStr">
        <is>
          <t>кинофильм</t>
        </is>
      </c>
      <c r="G3882" s="2" t="n"/>
      <c r="H3882" s="2" t="n">
        <v>419</v>
      </c>
      <c r="I3882" s="2" t="inlineStr"/>
      <c r="J3882" s="2" t="inlineStr"/>
      <c r="K3882" s="3" t="inlineStr">
        <is>
          <t>Геворг Адамян, процветающий высокопоставленный функционер, зная о серьезных недоделках в системе безопасности будущего промышленного объекта, поспешно подписывает проект к сдаче и становится безнаказанным виновником катастрофы: после помпезно-торжественной сдачи на объекте происходит взрыв. На фоне служебной карьеры Геворга Адамяна в фильме рассказывается о его личной жизни, в которой он также лицемерен и вероломен.</t>
        </is>
      </c>
      <c r="L3882" s="2" t="inlineStr">
        <is>
          <t>Кино_СССР сводный каталог.xlsx: список фильмов (доп.)</t>
        </is>
      </c>
      <c r="M3882" s="2">
        <f>HYPERLINK("https://ru.wikipedia.org/w/index.php?search=%D0%97%D0%B0%D0%B3%D0%BD%D0%B0%D0%BD%D0%BD%D1%8B%D0%B5%201991%20%D1%84%D0%B8%D0%BB%D1%8C%D0%BC","искать")</f>
        <v/>
      </c>
      <c r="N3882" s="3" t="n"/>
      <c r="O3882" s="2" t="n"/>
    </row>
    <row r="3883">
      <c r="A3883" s="2" t="n">
        <v>3882</v>
      </c>
      <c r="B3883" s="2" t="inlineStr"/>
      <c r="C3883" s="2" t="n">
        <v>10904</v>
      </c>
      <c r="D3883" s="3" t="inlineStr">
        <is>
          <t>Приглашение к жизни</t>
        </is>
      </c>
      <c r="E3883" s="2" t="n">
        <v>1981</v>
      </c>
      <c r="F3883" s="2" t="inlineStr">
        <is>
          <t>фильм-спектакль</t>
        </is>
      </c>
      <c r="G3883" s="2" t="inlineStr">
        <is>
          <t>Центральное телевидение</t>
        </is>
      </c>
      <c r="H3883" s="2" t="n">
        <v>419</v>
      </c>
      <c r="I3883" s="2" t="inlineStr"/>
      <c r="J3883" s="2" t="inlineStr"/>
      <c r="K3883" s="3" t="inlineStr">
        <is>
          <t>По мотивам романа Леонида Леонова "Русский лес" в постановке Ленинградского государственного академического театра драмы имени А.С. Пушкина.
Об ученом-лесоводе Иване Вихрове, посвятившего жизнь лесу и борьбе с тем, что «лесоводство превращается в обычное лесопользование». Действие спектакля начинается в 1941 году и на протяжении спектакля то переносится в дореволюционные годы, то возвращается к событиям военных лет.</t>
        </is>
      </c>
      <c r="L3883" s="2" t="inlineStr">
        <is>
          <t>https://www.kino-teatr.ru/teatr/movie/15378/annot/</t>
        </is>
      </c>
      <c r="M3883" s="2">
        <f>HYPERLINK("https://ru.wikipedia.org/w/index.php?search=%D0%9F%D1%80%D0%B8%D0%B3%D0%BB%D0%B0%D1%88%D0%B5%D0%BD%D0%B8%D0%B5%20%D0%BA%20%D0%B6%D0%B8%D0%B7%D0%BD%D0%B8%201981%20%D1%84%D0%B8%D0%BB%D1%8C%D0%BC","искать")</f>
        <v/>
      </c>
      <c r="N3883" s="3" t="n"/>
      <c r="O3883" s="2" t="n"/>
    </row>
    <row r="3884">
      <c r="A3884" s="2" t="n">
        <v>3883</v>
      </c>
      <c r="B3884" s="2" t="inlineStr"/>
      <c r="C3884" s="2" t="n">
        <v>7359</v>
      </c>
      <c r="D3884" s="3" t="inlineStr">
        <is>
          <t>Возьми меня с собой</t>
        </is>
      </c>
      <c r="E3884" s="2" t="n">
        <v>1989</v>
      </c>
      <c r="F3884" s="2" t="inlineStr">
        <is>
          <t>телефильм</t>
        </is>
      </c>
      <c r="G3884" s="2" t="n"/>
      <c r="H3884" s="2" t="n">
        <v>420</v>
      </c>
      <c r="I3884" s="2" t="inlineStr"/>
      <c r="J3884" s="2" t="inlineStr"/>
      <c r="K3884" s="3" t="inlineStr">
        <is>
          <t>Телефильм. Моряк Андрей, отправляясь в отпуск, становится свидетелем мошенничества молодых людей, вымогающих деньги на вокзалах. Его привлекает героиня «аферы» - Светлана. Андрей проникается сочувствием к девушке, стремится помочь ей вырваться из порочного круга… Но выясняется, что это всего лишь специально срежиссированное действо, придуманное режиссером-авангардистом с целью оживления «отмирающих» театральных форм.</t>
        </is>
      </c>
      <c r="L3884" s="2" t="inlineStr">
        <is>
          <t>Кино_СССР сводный каталог.xlsx: список телефильмов</t>
        </is>
      </c>
      <c r="M3884" s="2">
        <f>HYPERLINK("https://ru.wikipedia.org/w/index.php?search=%D0%92%D0%BE%D0%B7%D1%8C%D0%BC%D0%B8%20%D0%BC%D0%B5%D0%BD%D1%8F%20%D1%81%20%D1%81%D0%BE%D0%B1%D0%BE%D0%B9%201989%20%D1%84%D0%B8%D0%BB%D1%8C%D0%BC","искать")</f>
        <v/>
      </c>
      <c r="N3884" s="3" t="n"/>
      <c r="O3884" s="2" t="n"/>
    </row>
    <row r="3885">
      <c r="A3885" s="2" t="n">
        <v>3884</v>
      </c>
      <c r="B3885" s="2" t="inlineStr"/>
      <c r="C3885" s="2" t="n">
        <v>8077</v>
      </c>
      <c r="D3885" s="3" t="inlineStr">
        <is>
          <t>Память</t>
        </is>
      </c>
      <c r="E3885" s="2" t="n">
        <v>1975</v>
      </c>
      <c r="F3885" s="2" t="inlineStr">
        <is>
          <t>телефильм</t>
        </is>
      </c>
      <c r="G3885" s="2" t="n"/>
      <c r="H3885" s="2" t="n">
        <v>420</v>
      </c>
      <c r="I3885" s="2" t="inlineStr"/>
      <c r="J3885" s="2" t="inlineStr"/>
      <c r="K3885" s="3" t="inlineStr">
        <is>
          <t>Телесериал. Рассказ о первых послевоенных годах жизни в Ленинграде. Героиня фильма ленинградка Мария осталась после войны вдовой с тремя детьми. Жизнь тяжелая, трудная, внезапно семью настигает новое горе — гибнет старший сын Сергей... А когда недавно вернувшийся с фронта Игорь, хочет предложить помощь и заботу Марии и ее детям, в семье вспыхивает конфликт: дочь Марина не хочет примириться с забвением памяти об отце.</t>
        </is>
      </c>
      <c r="L3885" s="2" t="inlineStr">
        <is>
          <t>Кино_СССР сводный каталог.xlsx: список телефильмов</t>
        </is>
      </c>
      <c r="M3885" s="2">
        <f>HYPERLINK("https://ru.wikipedia.org/w/index.php?search=%D0%9F%D0%B0%D0%BC%D1%8F%D1%82%D1%8C%201975%20%D1%84%D0%B8%D0%BB%D1%8C%D0%BC","искать")</f>
        <v/>
      </c>
      <c r="N3885" s="3" t="n"/>
      <c r="O3885" s="2" t="n"/>
    </row>
    <row r="3886">
      <c r="A3886" s="2" t="n">
        <v>3885</v>
      </c>
      <c r="B3886" s="2" t="inlineStr"/>
      <c r="C3886" s="2" t="n">
        <v>8675</v>
      </c>
      <c r="D3886" s="3" t="inlineStr">
        <is>
          <t>Выше гор</t>
        </is>
      </c>
      <c r="E3886" s="2" t="n">
        <v>1988</v>
      </c>
      <c r="F3886" s="2" t="inlineStr">
        <is>
          <t>кинофильм</t>
        </is>
      </c>
      <c r="G3886" s="2" t="n"/>
      <c r="H3886" s="2" t="n">
        <v>420</v>
      </c>
      <c r="I3886" s="2" t="inlineStr"/>
      <c r="J3886" s="2" t="inlineStr"/>
      <c r="K3886" s="3" t="inlineStr">
        <is>
          <t>Притча по очерку Геннадий Бочарова. Лесник из далекого лесничества Абдрахман Бегимбетов всю жизнь прожил в горах. Он расчищал склоны, сажал ели и яблоневые сады. Нелегкой была его жизнь: события 37 года, Великая Отечественная война, рождение и смерть четырех детей. Но несмотря на все удары судьбы, лесник продолжал трудиться, надеясь, что природа, возрожденная его руками, в конце концов противостоит человеческому злу.</t>
        </is>
      </c>
      <c r="L3886" s="2" t="inlineStr">
        <is>
          <t>Кино_СССР сводный каталог.xlsx: список фильмов (доп.)</t>
        </is>
      </c>
      <c r="M3886" s="2">
        <f>HYPERLINK("https://ru.wikipedia.org/w/index.php?search=%D0%92%D1%8B%D1%88%D0%B5%20%D0%B3%D0%BE%D1%80%201988%20%D1%84%D0%B8%D0%BB%D1%8C%D0%BC","искать")</f>
        <v/>
      </c>
      <c r="N3886" s="3" t="n"/>
      <c r="O3886" s="2" t="n"/>
    </row>
    <row r="3887">
      <c r="A3887" s="2" t="n">
        <v>3886</v>
      </c>
      <c r="B3887" s="2" t="inlineStr"/>
      <c r="C3887" s="2" t="n">
        <v>9226</v>
      </c>
      <c r="D3887" s="3" t="inlineStr">
        <is>
          <t>Безумной страстью ты сама ко мне пылаешь</t>
        </is>
      </c>
      <c r="E3887" s="2" t="n">
        <v>1991</v>
      </c>
      <c r="F3887" s="2" t="inlineStr">
        <is>
          <t>кинофильм</t>
        </is>
      </c>
      <c r="G3887" s="2" t="n"/>
      <c r="H3887" s="2" t="n">
        <v>420</v>
      </c>
      <c r="I3887" s="2" t="inlineStr"/>
      <c r="J3887" s="2" t="inlineStr"/>
      <c r="K3887" s="3" t="inlineStr">
        <is>
          <t>Лилипут Федор Безуглов работал в цирке в одном номере с известным иллюзионистом Антуаном Шаламовым. Несмотря на то, что его окружали самые разнообразные люди, чувствовал себя Федор страшно одиноким. Под цирковой суетой скрывалась пустота. И заполнить ее не мог никто. Светлая тоска по совершенству, предчувствие глубоких и сильных страстей однажды толкнули его на связь с обычной женщиной Анной - женой Антуана Шаламова.</t>
        </is>
      </c>
      <c r="L3887" s="2" t="inlineStr">
        <is>
          <t>Кино_СССР сводный каталог.xlsx: список фильмов (доп.)</t>
        </is>
      </c>
      <c r="M3887" s="2">
        <f>HYPERLINK("https://ru.wikipedia.org/w/index.php?search=%D0%91%D0%B5%D0%B7%D1%83%D0%BC%D0%BD%D0%BE%D0%B9%20%D1%81%D1%82%D1%80%D0%B0%D1%81%D1%82%D1%8C%D1%8E%20%D1%82%D1%8B%20%D1%81%D0%B0%D0%BC%D0%B0%20%D0%BA%D0%BE%20%D0%BC%D0%BD%D0%B5%20%D0%BF%D1%8B%D0%BB%D0%B0%D0%B5%D1%88%D1%8C%201991%20%D1%84%D0%B8%D0%BB%D1%8C%D0%BC","искать")</f>
        <v/>
      </c>
      <c r="N3887" s="3" t="n"/>
      <c r="O3887" s="2" t="n"/>
    </row>
    <row r="3888">
      <c r="A3888" s="2" t="n">
        <v>3887</v>
      </c>
      <c r="B3888" s="2" t="inlineStr"/>
      <c r="C3888" s="2" t="n">
        <v>10672</v>
      </c>
      <c r="D3888" s="3" t="inlineStr">
        <is>
          <t>Степной король Лир</t>
        </is>
      </c>
      <c r="E3888" s="2" t="n">
        <v>1976</v>
      </c>
      <c r="F3888" s="2" t="inlineStr">
        <is>
          <t>фильм-спектакль</t>
        </is>
      </c>
      <c r="G3888" s="2" t="inlineStr">
        <is>
          <t>ТО Телефильмов</t>
        </is>
      </c>
      <c r="H3888" s="2" t="n">
        <v>420</v>
      </c>
      <c r="I3888" s="2" t="inlineStr"/>
      <c r="J3888" s="2" t="inlineStr"/>
      <c r="K3888" s="3" t="inlineStr">
        <is>
          <t>По мотивам одноименной повести И.С. Тургенева.
В компании помещиков ведется неспешный разговор о шекспировских типах. Один из собеседников вспоминает, что в юности знавал одного "короля Лира". Человек прямой и неглупый, этот среднерусский Лир "очень на себя надеялся, решительно ничего не боялся, ни в ком не не заискивал, денег не просил". Закончил он, однако, так же трагически, как и его шекспировский предшественник.</t>
        </is>
      </c>
      <c r="L3888" s="2" t="inlineStr">
        <is>
          <t>https://www.kino-teatr.ru/teatr/movie/13161/annot/</t>
        </is>
      </c>
      <c r="M3888" s="2">
        <f>HYPERLINK("https://ru.wikipedia.org/w/index.php?search=%D0%A1%D1%82%D0%B5%D0%BF%D0%BD%D0%BE%D0%B9%20%D0%BA%D0%BE%D1%80%D0%BE%D0%BB%D1%8C%20%D0%9B%D0%B8%D1%80%201976%20%D1%84%D0%B8%D0%BB%D1%8C%D0%BC","искать")</f>
        <v/>
      </c>
      <c r="N3888" s="3" t="n"/>
      <c r="O3888" s="2" t="n"/>
    </row>
    <row r="3889">
      <c r="A3889" s="2" t="n">
        <v>3888</v>
      </c>
      <c r="B3889" s="2" t="inlineStr"/>
      <c r="C3889" s="2" t="n">
        <v>10674</v>
      </c>
      <c r="D3889" s="3" t="inlineStr">
        <is>
          <t>Топаз</t>
        </is>
      </c>
      <c r="E3889" s="2" t="n">
        <v>1976</v>
      </c>
      <c r="F3889" s="2" t="inlineStr">
        <is>
          <t>фильм-спектакль</t>
        </is>
      </c>
      <c r="G3889" s="2" t="n"/>
      <c r="H3889" s="2" t="n">
        <v>420</v>
      </c>
      <c r="I3889" s="2" t="inlineStr"/>
      <c r="J3889" s="2" t="inlineStr"/>
      <c r="K3889" s="3" t="inlineStr">
        <is>
          <t>По пьесе французского писателя Марселя Паньоля. Действие сатирической комедии происходит в небольшом городке. Молодой учитель Топаз подает большие надежды, но честность и принципиальность приводят его к увольнению. Юношу втягивают в крупную финансовую авантюру, воспользовавшись его доверчивостью. "Покрутившись" в мире беспринципных дельцов, Топаз сильно изменился и теперь может дать сто очков вперед своим "учителям".</t>
        </is>
      </c>
      <c r="L3889" s="2" t="inlineStr">
        <is>
          <t>https://www.kino-teatr.ru/teatr/movie/99454/annot/</t>
        </is>
      </c>
      <c r="M3889" s="2">
        <f>HYPERLINK("https://ru.wikipedia.org/w/index.php?search=%D0%A2%D0%BE%D0%BF%D0%B0%D0%B7%201976%20%D1%84%D0%B8%D0%BB%D1%8C%D0%BC","искать")</f>
        <v/>
      </c>
      <c r="N3889" s="3" t="n"/>
      <c r="O3889" s="2" t="n"/>
    </row>
    <row r="3890">
      <c r="A3890" s="2" t="n">
        <v>3889</v>
      </c>
      <c r="B3890" s="2" t="inlineStr"/>
      <c r="C3890" s="2" t="n">
        <v>11249</v>
      </c>
      <c r="D3890" s="3" t="inlineStr">
        <is>
          <t>Брестский мир</t>
        </is>
      </c>
      <c r="E3890" s="2" t="n">
        <v>1989</v>
      </c>
      <c r="F3890" s="2" t="inlineStr">
        <is>
          <t>фильм-спектакль</t>
        </is>
      </c>
      <c r="G3890" s="2" t="n"/>
      <c r="H3890" s="2" t="n">
        <v>420</v>
      </c>
      <c r="I3890" s="2" t="inlineStr"/>
      <c r="J3890" s="2" t="inlineStr"/>
      <c r="K3890" s="3" t="inlineStr">
        <is>
          <t>По пьесе Михаила Шатрова в постановке Театр им. Вахтангова. История заключения Брестского мира — огромного и чудовищного компромисса, на который пошло правительство большевиков ради спасения революции, — имела в своем размахе нечто шекспировское, что и позволило Роберту Стуруа, создателю увлекательнейших шекспировских спектаклей («Ричард III», «Король Лир»), поставить пьесу Шатрова как вариацию шекспировских хроник .</t>
        </is>
      </c>
      <c r="L3890" s="2" t="inlineStr">
        <is>
          <t>https://www.kino-teatr.ru/teatr/movie/81525/annot/</t>
        </is>
      </c>
      <c r="M3890" s="2">
        <f>HYPERLINK("https://ru.wikipedia.org/w/index.php?search=%D0%91%D1%80%D0%B5%D1%81%D1%82%D1%81%D0%BA%D0%B8%D0%B9%20%D0%BC%D0%B8%D1%80%201989%20%D1%84%D0%B8%D0%BB%D1%8C%D0%BC","искать")</f>
        <v/>
      </c>
      <c r="N3890" s="3" t="n"/>
      <c r="O3890" s="2" t="n"/>
    </row>
    <row r="3891">
      <c r="A3891" s="2" t="n">
        <v>3890</v>
      </c>
      <c r="B3891" s="2" t="inlineStr"/>
      <c r="C3891" s="2" t="n">
        <v>11005</v>
      </c>
      <c r="D3891" s="3" t="inlineStr">
        <is>
          <t>Полнолуние</t>
        </is>
      </c>
      <c r="E3891" s="2" t="n">
        <v>1983</v>
      </c>
      <c r="F3891" s="2" t="inlineStr">
        <is>
          <t>фильм-спектакль</t>
        </is>
      </c>
      <c r="G3891" s="2" t="inlineStr">
        <is>
          <t>Главная редакция литературно-драматических программ ЦТ</t>
        </is>
      </c>
      <c r="H3891" s="2" t="n">
        <v>421</v>
      </c>
      <c r="I3891" s="2" t="inlineStr"/>
      <c r="J3891" s="2" t="inlineStr"/>
      <c r="K3891" s="3" t="inlineStr">
        <is>
          <t>Из цикла "По Вашему письму".
Этот спектакль о том, как надо оберегать и ценить простое человеческое счастье: дом, семью, любовь, детей. В этой семье всех женщин по традиции называют - Вера, и женщины всегда верховодят. Но в то злополучное утро Вера Романовна узнает, что ее дочь Вера, решила развестись со своим мужем, внучка Верочка решила выйти замуж. Бабушка ошеломлена, так как Верочка еще не закончила десятый класс.</t>
        </is>
      </c>
      <c r="L3891" s="2" t="inlineStr">
        <is>
          <t>https://www.kino-teatr.ru/teatr/movie/17231/annot/</t>
        </is>
      </c>
      <c r="M3891" s="2">
        <f>HYPERLINK("https://ru.wikipedia.org/w/index.php?search=%D0%9F%D0%BE%D0%BB%D0%BD%D0%BE%D0%BB%D1%83%D0%BD%D0%B8%D0%B5%201983%20%D1%84%D0%B8%D0%BB%D1%8C%D0%BC","искать")</f>
        <v/>
      </c>
      <c r="N3891" s="3" t="n"/>
      <c r="O3891" s="2" t="n"/>
    </row>
    <row r="3892">
      <c r="A3892" s="2" t="n">
        <v>3891</v>
      </c>
      <c r="B3892" s="2" t="inlineStr"/>
      <c r="C3892" s="2" t="n">
        <v>11146</v>
      </c>
      <c r="D3892" s="3" t="inlineStr">
        <is>
          <t>Говори...</t>
        </is>
      </c>
      <c r="E3892" s="2" t="n">
        <v>1987</v>
      </c>
      <c r="F3892" s="2" t="inlineStr">
        <is>
          <t>фильм-спектакль</t>
        </is>
      </c>
      <c r="G3892" s="2" t="inlineStr">
        <is>
          <t>Главная редакция литературно-драматических программ ЦТ</t>
        </is>
      </c>
      <c r="H3892" s="2" t="n">
        <v>421</v>
      </c>
      <c r="I3892" s="2" t="inlineStr"/>
      <c r="J3892" s="2" t="inlineStr"/>
      <c r="K3892" s="3" t="inlineStr">
        <is>
          <t>Пьеса Александра Буравского по мотивам очерков "Районные будни" и страницам биографии писателя Валентина Овечкина.
Постановка Московского театра имени М.Н. Ермоловой.
Время действия - начало 50-х годов двадцатого века. Бесконечные заседания сельского райкома партии занимают почти всё время простых колхозников, мешают им работать и решать свои житейские проблемы...
Одно из главных событий театрального сезона 1985 года.</t>
        </is>
      </c>
      <c r="L3892" s="2" t="inlineStr">
        <is>
          <t>https://www.kino-teatr.ru/teatr/movie/81293/annot/</t>
        </is>
      </c>
      <c r="M3892" s="2">
        <f>HYPERLINK("https://ru.wikipedia.org/w/index.php?search=%D0%93%D0%BE%D0%B2%D0%BE%D1%80%D0%B8...%201987%20%D1%84%D0%B8%D0%BB%D1%8C%D0%BC","искать")</f>
        <v/>
      </c>
      <c r="N3892" s="3" t="n"/>
      <c r="O3892" s="2" t="n"/>
    </row>
    <row r="3893">
      <c r="A3893" s="2" t="n">
        <v>3892</v>
      </c>
      <c r="B3893" s="2" t="inlineStr"/>
      <c r="C3893" s="2" t="n">
        <v>9255</v>
      </c>
      <c r="D3893" s="3" t="inlineStr">
        <is>
          <t>Бумажные глаза Пришвина</t>
        </is>
      </c>
      <c r="E3893" s="2" t="n">
        <v>1989</v>
      </c>
      <c r="F3893" s="2" t="inlineStr">
        <is>
          <t>кинофильм</t>
        </is>
      </c>
      <c r="G3893" s="2" t="n"/>
      <c r="H3893" s="2" t="n">
        <v>422</v>
      </c>
      <c r="I3893" s="2" t="inlineStr"/>
      <c r="J3893" s="2" t="inlineStr"/>
      <c r="K3893" s="3" t="inlineStr">
        <is>
          <t>Телережиссер Павел Пришвин снимается у своего друга-кинорежиссера, фильм которого рассказывает о сталинизме. Павел играет капитана органов госбезопасности, ведущего одно из многочисленных дел. Фильм создается в высшей степени конъюнктурный. Павел понимает это, поскольку на телевидении он работает с документами сорокалетней давности, знакомится с людьми, о которых готовит передачу, посвященную пионерам телерадиовещания.</t>
        </is>
      </c>
      <c r="L3893" s="2" t="inlineStr">
        <is>
          <t>Кино_СССР сводный каталог.xlsx: список фильмов (доп.)</t>
        </is>
      </c>
      <c r="M3893" s="2">
        <f>HYPERLINK("https://ru.wikipedia.org/w/index.php?search=%D0%91%D1%83%D0%BC%D0%B0%D0%B6%D0%BD%D1%8B%D0%B5%20%D0%B3%D0%BB%D0%B0%D0%B7%D0%B0%20%D0%9F%D1%80%D0%B8%D1%88%D0%B2%D0%B8%D0%BD%D0%B0%201989%20%D1%84%D0%B8%D0%BB%D1%8C%D0%BC","искать")</f>
        <v/>
      </c>
      <c r="N3893" s="3" t="n"/>
      <c r="O3893" s="2" t="n"/>
    </row>
    <row r="3894">
      <c r="A3894" s="2" t="n">
        <v>3893</v>
      </c>
      <c r="B3894" s="2" t="inlineStr"/>
      <c r="C3894" s="2" t="n">
        <v>9748</v>
      </c>
      <c r="D3894" s="3" t="inlineStr">
        <is>
          <t>Человек, которого не было</t>
        </is>
      </c>
      <c r="E3894" s="2" t="n">
        <v>1989</v>
      </c>
      <c r="F3894" s="2" t="inlineStr">
        <is>
          <t>кинофильм</t>
        </is>
      </c>
      <c r="G3894" s="2" t="n"/>
      <c r="H3894" s="2" t="n">
        <v>422</v>
      </c>
      <c r="I3894" s="2" t="inlineStr"/>
      <c r="J3894" s="2" t="inlineStr"/>
      <c r="K3894" s="3" t="inlineStr">
        <is>
          <t>Приехав в Таллин, она получает работу в Доме радиовещания, становится знаменитой и вскоре известный радиокомментатор, чьи передачи она боготворила еще с детства, делает ей предложение. Но события 1949 года меняют жизнь. Возлюбленный вместе со многими высылается в Сибирь. Город пустеет. Не в силах читать тексты о пятилетке, досрочных выполнениях планов и капиталистическом упадничестве, героиня становится для всех немой.</t>
        </is>
      </c>
      <c r="L3894" s="2" t="inlineStr">
        <is>
          <t>Кино_СССР сводный каталог.xlsx: список фильмов (доп.)</t>
        </is>
      </c>
      <c r="M3894" s="2">
        <f>HYPERLINK("https://ru.wikipedia.org/w/index.php?search=%D0%A7%D0%B5%D0%BB%D0%BE%D0%B2%D0%B5%D0%BA%2C%20%D0%BA%D0%BE%D1%82%D0%BE%D1%80%D0%BE%D0%B3%D0%BE%20%D0%BD%D0%B5%20%D0%B1%D1%8B%D0%BB%D0%BE%201989%20%D1%84%D0%B8%D0%BB%D1%8C%D0%BC","искать")</f>
        <v/>
      </c>
      <c r="N3894" s="3" t="n"/>
      <c r="O3894" s="2" t="n"/>
    </row>
    <row r="3895">
      <c r="A3895" s="2" t="n">
        <v>3894</v>
      </c>
      <c r="B3895" s="2" t="inlineStr"/>
      <c r="C3895" s="2" t="n">
        <v>10303</v>
      </c>
      <c r="D3895" s="3" t="inlineStr">
        <is>
          <t>Грех</t>
        </is>
      </c>
      <c r="E3895" s="2" t="n">
        <v>1969</v>
      </c>
      <c r="F3895" s="2" t="inlineStr">
        <is>
          <t>фильм-спектакль</t>
        </is>
      </c>
      <c r="G3895" s="2" t="n"/>
      <c r="H3895" s="2" t="n">
        <v>422</v>
      </c>
      <c r="I3895" s="2" t="inlineStr"/>
      <c r="J3895" s="2" t="inlineStr"/>
      <c r="K3895" s="3" t="inlineStr">
        <is>
          <t>По одноименной пьесе польского писателя Стефана Жеромского.
В пансионе Ванды Огродской и ее младшей сестры Анны проживают богатая вдова Софья Пармен с гувернанткой Яниной и молодой адвокат Петр Букович, в которого влюблены все женщины дома. Пани Софья предлагает адвокату жениться на ней, но получает отказ - Петр любит бесприданницу Анну. В отместку Софья дает богатое приданое своей гувернантке, и Петр женится на Янине.</t>
        </is>
      </c>
      <c r="L3895" s="2" t="inlineStr">
        <is>
          <t>https://www.kino-teatr.ru/teatr/movie/81418/annot/</t>
        </is>
      </c>
      <c r="M3895" s="2">
        <f>HYPERLINK("https://ru.wikipedia.org/w/index.php?search=%D0%93%D1%80%D0%B5%D1%85%201969%20%D1%84%D0%B8%D0%BB%D1%8C%D0%BC","искать")</f>
        <v/>
      </c>
      <c r="N3895" s="3" t="n"/>
      <c r="O3895" s="2" t="n"/>
    </row>
    <row r="3896">
      <c r="A3896" s="2" t="n">
        <v>3895</v>
      </c>
      <c r="B3896" s="2" t="inlineStr"/>
      <c r="C3896" s="2" t="n">
        <v>7308</v>
      </c>
      <c r="D3896" s="3" t="inlineStr">
        <is>
          <t>Вариант "Омега"</t>
        </is>
      </c>
      <c r="E3896" s="2" t="n">
        <v>1975</v>
      </c>
      <c r="F3896" s="2" t="inlineStr">
        <is>
          <t>телефильм</t>
        </is>
      </c>
      <c r="G3896" s="2" t="inlineStr">
        <is>
          <t>Творческое объединение «Экран»</t>
        </is>
      </c>
      <c r="H3896" s="2" t="n">
        <v>423</v>
      </c>
      <c r="I3896" s="2" t="inlineStr"/>
      <c r="J3896" s="2" t="inlineStr"/>
      <c r="K3896" s="3" t="inlineStr">
        <is>
          <t>В основе фильма - документальный материал о действиях советской разведки в оккупированном гитлеровцами Таллине. 1942 год. Советский разведчик Сергей Скорин внедряется в разведорганы фашистской Германии стремящиеся дезинформировать ставку Верховного командования Советских Вооруженных Сил. В результате его действий стратегическая дезинформация поступает не в Москву, а в Берлин и вводит в заблуждение немецкое командование.</t>
        </is>
      </c>
      <c r="L3896" s="2" t="inlineStr">
        <is>
          <t>Кино_СССР сводный каталог.xlsx: список телефильмов</t>
        </is>
      </c>
      <c r="M3896" s="2">
        <f>HYPERLINK("https://ru.wikipedia.org/w/index.php?search=%D0%92%D0%B0%D1%80%D0%B8%D0%B0%D0%BD%D1%82%20%22%D0%9E%D0%BC%D0%B5%D0%B3%D0%B0%22%201975%20%D1%84%D0%B8%D0%BB%D1%8C%D0%BC","искать")</f>
        <v/>
      </c>
      <c r="N3896" s="3" t="n"/>
      <c r="O3896" s="2" t="n"/>
    </row>
    <row r="3897">
      <c r="A3897" s="2" t="n">
        <v>3896</v>
      </c>
      <c r="B3897" s="2" t="inlineStr"/>
      <c r="C3897" s="2" t="n">
        <v>7640</v>
      </c>
      <c r="D3897" s="3" t="inlineStr">
        <is>
          <t>Здравствуйте, я ваша тётя!</t>
        </is>
      </c>
      <c r="E3897" s="2" t="n">
        <v>1975</v>
      </c>
      <c r="F3897" s="2" t="inlineStr">
        <is>
          <t>телефильм</t>
        </is>
      </c>
      <c r="G3897" s="2" t="inlineStr">
        <is>
          <t>Творческое объединение «Экран»</t>
        </is>
      </c>
      <c r="H3897" s="2" t="n">
        <v>423</v>
      </c>
      <c r="I3897" s="2" t="inlineStr"/>
      <c r="J3897" s="2" t="inlineStr"/>
      <c r="K3897" s="3" t="inlineStr">
        <is>
          <t>По мотивам пьесы Брэндона Томаса "Тётка Чарлея". Англия начала ХХ века. Безработный Бабс волею случая попадает в богатый дом, где вынужден, спасаясь от преследования полицейских, играть роль тетушки-миллионерши, чтобы помочь двум юношам жениться на их возлюбленных. Самозванная бразильская миллионерша должна очаровать опекуна девушек; заодно жертвой ее обаяния (читай: миллионов) становится и отец одного из молодых людей.</t>
        </is>
      </c>
      <c r="L3897" s="2" t="inlineStr">
        <is>
          <t>Кино_СССР сводный каталог.xlsx: список телефильмов</t>
        </is>
      </c>
      <c r="M3897" s="2">
        <f>HYPERLINK("https://ru.wikipedia.org/w/index.php?search=%D0%97%D0%B4%D1%80%D0%B0%D0%B2%D1%81%D1%82%D0%B2%D1%83%D0%B9%D1%82%D0%B5%2C%20%D1%8F%20%D0%B2%D0%B0%D1%88%D0%B0%20%D1%82%D1%91%D1%82%D1%8F%21%201975%20%D1%84%D0%B8%D0%BB%D1%8C%D0%BC","искать")</f>
        <v/>
      </c>
      <c r="N3897" s="3" t="n"/>
      <c r="O3897" s="2" t="n"/>
    </row>
    <row r="3898">
      <c r="A3898" s="2" t="n">
        <v>3897</v>
      </c>
      <c r="B3898" s="2" t="inlineStr"/>
      <c r="C3898" s="2" t="n">
        <v>8833</v>
      </c>
      <c r="D3898" s="3" t="inlineStr">
        <is>
          <t>Месье!</t>
        </is>
      </c>
      <c r="E3898" s="2" t="n">
        <v>1986</v>
      </c>
      <c r="F3898" s="2" t="inlineStr">
        <is>
          <t>кинофильм</t>
        </is>
      </c>
      <c r="G3898" s="2" t="n"/>
      <c r="H3898" s="2" t="n">
        <v>423</v>
      </c>
      <c r="I3898" s="2" t="inlineStr"/>
      <c r="J3898" s="2" t="inlineStr"/>
      <c r="K3898" s="3" t="inlineStr">
        <is>
          <t>Фильм поставлен по пьесе французского писателя Ива Жамиака «Месье Амилькар, или Человек, который платит». Обеспеченный, обворожительный Александр Амилькар создает себе иллюзию счастья – то, что необходимо мужчине его возраста - верного друга, обожаемую жену и ребенка. Воспользовавшись весьма внушительной суммой наличности, Александр нанимает бомжа Машу, Элеонору - безработную актрису, и совсем юную проститутку Виржинию.</t>
        </is>
      </c>
      <c r="L3898" s="2" t="inlineStr">
        <is>
          <t>Кино_СССР сводный каталог.xlsx: список фильмов (доп.)</t>
        </is>
      </c>
      <c r="M3898" s="2">
        <f>HYPERLINK("https://ru.wikipedia.org/w/index.php?search=%D0%9C%D0%B5%D1%81%D1%8C%D0%B5%21%201986%20%D1%84%D0%B8%D0%BB%D1%8C%D0%BC","искать")</f>
        <v/>
      </c>
      <c r="N3898" s="3" t="n"/>
      <c r="O3898" s="2" t="n"/>
    </row>
    <row r="3899">
      <c r="A3899" s="2" t="n">
        <v>3898</v>
      </c>
      <c r="B3899" s="2" t="inlineStr"/>
      <c r="C3899" s="2" t="n">
        <v>7899</v>
      </c>
      <c r="D3899" s="3" t="inlineStr">
        <is>
          <t>Москва в нотах</t>
        </is>
      </c>
      <c r="E3899" s="2" t="n">
        <v>1969</v>
      </c>
      <c r="F3899" s="2" t="inlineStr">
        <is>
          <t>телефильм</t>
        </is>
      </c>
      <c r="G3899" s="2" t="inlineStr">
        <is>
          <t>Мосфильм, Bavaria Atelier</t>
        </is>
      </c>
      <c r="H3899" s="2" t="n">
        <v>424</v>
      </c>
      <c r="I3899" s="2" t="inlineStr"/>
      <c r="J3899" s="2" t="inlineStr"/>
      <c r="K3899" s="3" t="inlineStr">
        <is>
          <t>Фильм рассказывает о Москве. Город показан таким, каким его видят иностранцы. Картина состоит из нескольких музыкальных номеров, каждый из которых демонстрирует одну из достопримечательностей города или просто одну из вещей, которыми гордятся русские: Московский метрополитен, государственный университет, спорткомплекс Лужники, знаменитый русский балет, классические песни и танцы и, конечно, традиционные русские матрёшки.</t>
        </is>
      </c>
      <c r="L3899" s="2" t="inlineStr">
        <is>
          <t>Кино_СССР сводный каталог.xlsx: список телефильмов</t>
        </is>
      </c>
      <c r="M3899" s="2">
        <f>HYPERLINK("https://ru.wikipedia.org/w/index.php?search=%D0%9C%D0%BE%D1%81%D0%BA%D0%B2%D0%B0%20%D0%B2%20%D0%BD%D0%BE%D1%82%D0%B0%D1%85%201969%20%D1%84%D0%B8%D0%BB%D1%8C%D0%BC","искать")</f>
        <v/>
      </c>
      <c r="N3899" s="3" t="n"/>
      <c r="O3899" s="2" t="n"/>
    </row>
    <row r="3900">
      <c r="A3900" s="2" t="n">
        <v>3899</v>
      </c>
      <c r="B3900" s="2" t="inlineStr"/>
      <c r="C3900" s="2" t="n">
        <v>9302</v>
      </c>
      <c r="D3900" s="3" t="inlineStr">
        <is>
          <t>Гвоздь в сапоге</t>
        </is>
      </c>
      <c r="E3900" s="2" t="n">
        <v>1932</v>
      </c>
      <c r="F3900" s="2" t="inlineStr">
        <is>
          <t>кинофильм</t>
        </is>
      </c>
      <c r="G3900" s="2" t="inlineStr">
        <is>
          <t>Госкинпром Грузии</t>
        </is>
      </c>
      <c r="H3900" s="2" t="n">
        <v>424</v>
      </c>
      <c r="I3900" s="2" t="inlineStr"/>
      <c r="J3900" s="2" t="inlineStr"/>
      <c r="K3900" s="3" t="inlineStr">
        <is>
          <t>Оборонный агитпропфильм на тему «Бракоделы – вредители обороны!», снятый в форме притчи. Из-за негодных сапог рабочий не успевает передать важное донесение во время маневров, и команда бронепоезда «погибает» в условной газовой атаке. Герой оказывается на скамье подсудимых, но трибунал, как выясняется, виновен сам: в его составе – команда «погибшего» бронепоезда, в которую входят обувщики, изготовившие бракованные сапоги.</t>
        </is>
      </c>
      <c r="L3900" s="2" t="inlineStr">
        <is>
          <t>Кино_СССР сводный каталог.xlsx: список фильмов (доп.)</t>
        </is>
      </c>
      <c r="M3900" s="2">
        <f>HYPERLINK("https://ru.wikipedia.org/w/index.php?search=%D0%93%D0%B2%D0%BE%D0%B7%D0%B4%D1%8C%20%D0%B2%20%D1%81%D0%B0%D0%BF%D0%BE%D0%B3%D0%B5%201932%20%D1%84%D0%B8%D0%BB%D1%8C%D0%BC","искать")</f>
        <v/>
      </c>
      <c r="N3900" s="3" t="n"/>
      <c r="O3900" s="2" t="n"/>
    </row>
    <row r="3901">
      <c r="A3901" s="2" t="n">
        <v>3900</v>
      </c>
      <c r="B3901" s="2" t="inlineStr"/>
      <c r="C3901" s="2" t="n">
        <v>10073</v>
      </c>
      <c r="D3901" s="3" t="inlineStr">
        <is>
          <t>Обнажённая со скрипкой</t>
        </is>
      </c>
      <c r="E3901" s="2" t="n">
        <v>1959</v>
      </c>
      <c r="F3901" s="2" t="inlineStr">
        <is>
          <t>фильм-спектакль</t>
        </is>
      </c>
      <c r="G3901" s="2" t="inlineStr">
        <is>
          <t>Главная редакция литературно-драматических программ ЦТ</t>
        </is>
      </c>
      <c r="H3901" s="2" t="n">
        <v>424</v>
      </c>
      <c r="I3901" s="2" t="inlineStr"/>
      <c r="J3901" s="2" t="inlineStr"/>
      <c r="K3901" s="3" t="inlineStr">
        <is>
          <t>Телеверсия спектакля Московского Театра сатиры.
По одноименной комедии английского писателя Н. Кауарда.
Англия. 1950-е годы. Умер знаменитый художник Поль Сородэн. Его слуга Себастьян, которому Поль доверял, раскрывает перед родными и близкими умершего тайну: все картины Сородэна были написаны его любовницами и четырнадцатилетним сыном Себастьяна. По словам слуги, это был крестовый поход художника против лжи в искусстве.</t>
        </is>
      </c>
      <c r="L3901" s="2" t="inlineStr">
        <is>
          <t>https://www.kino-teatr.ru/teatr/movie/4620/annot/</t>
        </is>
      </c>
      <c r="M3901" s="2">
        <f>HYPERLINK("https://ru.wikipedia.org/w/index.php?search=%D0%9E%D0%B1%D0%BD%D0%B0%D0%B6%D1%91%D0%BD%D0%BD%D0%B0%D1%8F%20%D1%81%D0%BE%20%D1%81%D0%BA%D1%80%D0%B8%D0%BF%D0%BA%D0%BE%D0%B9%201959%20%D1%84%D0%B8%D0%BB%D1%8C%D0%BC","искать")</f>
        <v/>
      </c>
      <c r="N3901" s="3" t="n"/>
      <c r="O3901" s="2" t="n"/>
    </row>
    <row r="3902">
      <c r="A3902" s="2" t="n">
        <v>3901</v>
      </c>
      <c r="B3902" s="2" t="inlineStr"/>
      <c r="C3902" s="2" t="n">
        <v>8029</v>
      </c>
      <c r="D3902" s="3" t="inlineStr">
        <is>
          <t>Овод</t>
        </is>
      </c>
      <c r="E3902" s="2" t="n">
        <v>1980</v>
      </c>
      <c r="F3902" s="2" t="inlineStr">
        <is>
          <t>телефильм</t>
        </is>
      </c>
      <c r="G3902" s="2" t="inlineStr">
        <is>
          <t>к/с им. Довженко</t>
        </is>
      </c>
      <c r="H3902" s="2" t="n">
        <v>426</v>
      </c>
      <c r="I3902" s="2" t="inlineStr"/>
      <c r="J3902" s="2" t="inlineStr"/>
      <c r="K3902" s="3" t="inlineStr">
        <is>
          <t>События телесериала разворачиваются на фоне революционно- освободительного движения – борьбы итальянских патриотов против австрийских оккупантов. В судьбе романтического юноши Артура Бертона немало неординарных событий – тайна рождения, предательство близких людей, инсценированное самоубийство, трагическая безответная любовь, пронесенная через всю жизнь… 1-я серия - "Память"; 2-я серия - "Джемма"; 3-я серия - "Отец и сын".</t>
        </is>
      </c>
      <c r="L3902" s="2" t="inlineStr">
        <is>
          <t>Кино_СССР сводный каталог.xlsx: список телефильмов</t>
        </is>
      </c>
      <c r="M3902" s="2">
        <f>HYPERLINK("https://ru.wikipedia.org/w/index.php?search=%D0%9E%D0%B2%D0%BE%D0%B4%201980%20%D1%84%D0%B8%D0%BB%D1%8C%D0%BC","искать")</f>
        <v/>
      </c>
      <c r="N3902" s="3" t="n"/>
      <c r="O3902" s="2" t="n"/>
    </row>
    <row r="3903">
      <c r="A3903" s="2" t="n">
        <v>3902</v>
      </c>
      <c r="B3903" s="2" t="inlineStr"/>
      <c r="C3903" s="2" t="n">
        <v>9932</v>
      </c>
      <c r="D3903" s="3" t="inlineStr">
        <is>
          <t>У нас новенькая</t>
        </is>
      </c>
      <c r="E3903" s="2" t="n">
        <v>1977</v>
      </c>
      <c r="F3903" s="2" t="inlineStr">
        <is>
          <t>кинофильм</t>
        </is>
      </c>
      <c r="G3903" s="2" t="inlineStr">
        <is>
          <t>Одесская киностудия</t>
        </is>
      </c>
      <c r="H3903" s="2" t="n">
        <v>426</v>
      </c>
      <c r="I3903" s="2" t="inlineStr"/>
      <c r="J3903" s="2" t="inlineStr"/>
      <c r="K3903" s="3" t="inlineStr">
        <is>
          <t>По мотивам рассказа Бориса Екимова "Офицерша".
На стройке появляется новая рабочая - бойкая и принципиальная Шура Русакова. Ее открытое недовольство и непримиримость к беспорядкам на строительстве вызывают понимание и симпатии у мастера. Дружеские отношения между Шурой и Сергеем Петровичем очень скоро перерастают в любовь. Неожиданно на стройке появляется мужчина. Когда-то Шура его любила, но он не захотел на ней жениться.</t>
        </is>
      </c>
      <c r="L3903" s="2" t="inlineStr">
        <is>
          <t>https://www.kino-teatr.ru/short/movie/sov/7364/annot/</t>
        </is>
      </c>
      <c r="M3903" s="2">
        <f>HYPERLINK("https://ru.wikipedia.org/w/index.php?search=%D0%A3%20%D0%BD%D0%B0%D1%81%20%D0%BD%D0%BE%D0%B2%D0%B5%D0%BD%D1%8C%D0%BA%D0%B0%D1%8F%201977%20%D1%84%D0%B8%D0%BB%D1%8C%D0%BC","искать")</f>
        <v/>
      </c>
      <c r="N3903" s="3" t="n"/>
      <c r="O3903" s="2" t="n"/>
    </row>
    <row r="3904">
      <c r="A3904" s="2" t="n">
        <v>3903</v>
      </c>
      <c r="B3904" s="2" t="inlineStr"/>
      <c r="C3904" s="2" t="n">
        <v>10020</v>
      </c>
      <c r="D3904" s="3" t="inlineStr">
        <is>
          <t>Как я был самостоятельным</t>
        </is>
      </c>
      <c r="E3904" s="2" t="n">
        <v>1987</v>
      </c>
      <c r="F3904" s="2" t="inlineStr">
        <is>
          <t>телефильм</t>
        </is>
      </c>
      <c r="G3904" s="2" t="inlineStr">
        <is>
          <t>К/ст им. Горького по заказу Гостелерадио СССР</t>
        </is>
      </c>
      <c r="H3904" s="2" t="n">
        <v>426</v>
      </c>
      <c r="I3904" s="2" t="inlineStr"/>
      <c r="J3904" s="2" t="inlineStr"/>
      <c r="K3904" s="3" t="inlineStr">
        <is>
          <t>По мотивам одноименного рассказа Юрия Сотника.
Ладо очень хотелось доказать ребятам, что он "самостоятельный мужчина". Как-то раз его оставили одного в квартире. И Ладо пригласил товарищей по играм репетировать спектакль "дворового театра" к себе домой. В ход пошла мамина косметика, из оконных штор сделали занавес, а деревянного игрушечного коня переделали в козла. Теперь ребята смогли убедиться в "самостоятельности" Ладо.</t>
        </is>
      </c>
      <c r="L3904" s="2" t="inlineStr">
        <is>
          <t>https://www.kino-teatr.ru/short/movie/sov/81133/annot/</t>
        </is>
      </c>
      <c r="M3904" s="2">
        <f>HYPERLINK("https://ru.wikipedia.org/w/index.php?search=%D0%9A%D0%B0%D0%BA%20%D1%8F%20%D0%B1%D1%8B%D0%BB%20%D1%81%D0%B0%D0%BC%D0%BE%D1%81%D1%82%D0%BE%D1%8F%D1%82%D0%B5%D0%BB%D1%8C%D0%BD%D1%8B%D0%BC%201987%20%D1%84%D0%B8%D0%BB%D1%8C%D0%BC","искать")</f>
        <v/>
      </c>
      <c r="N3904" s="3" t="n"/>
      <c r="O3904" s="2" t="n"/>
    </row>
    <row r="3905">
      <c r="A3905" s="2" t="n">
        <v>3904</v>
      </c>
      <c r="B3905" s="2" t="inlineStr"/>
      <c r="C3905" s="2" t="n">
        <v>7854</v>
      </c>
      <c r="D3905" s="3" t="inlineStr">
        <is>
          <t>Мастер</t>
        </is>
      </c>
      <c r="E3905" s="2" t="n">
        <v>1976</v>
      </c>
      <c r="F3905" s="2" t="inlineStr">
        <is>
          <t>телефильм</t>
        </is>
      </c>
      <c r="G3905" s="2" t="n"/>
      <c r="H3905" s="2" t="n">
        <v>427</v>
      </c>
      <c r="I3905" s="2" t="inlineStr"/>
      <c r="J3905" s="2" t="inlineStr"/>
      <c r="K3905" s="3" t="inlineStr">
        <is>
          <t>Вернувшись из армии, парень хочет занять достойное место в производственном коллективе. Приглядитесь, сколько внутренних, нравственных задач он должен решить при этом и во взаимоотношениях на работе, и в личной жизни. То и дело молодой парень сталкивается с компромиссами повседневности, требующими сознательного выбора - поступков, которые могут показаться и недостаточно товарищескими и непрактичными, не выгодными ему лично.</t>
        </is>
      </c>
      <c r="L3905" s="2" t="inlineStr">
        <is>
          <t>Кино_СССР сводный каталог.xlsx: список телефильмов</t>
        </is>
      </c>
      <c r="M3905" s="2">
        <f>HYPERLINK("https://ru.wikipedia.org/w/index.php?search=%D0%9C%D0%B0%D1%81%D1%82%D0%B5%D1%80%201976%20%D1%84%D0%B8%D0%BB%D1%8C%D0%BC","искать")</f>
        <v/>
      </c>
      <c r="N3905" s="3" t="n"/>
      <c r="O3905" s="2" t="n"/>
    </row>
    <row r="3906">
      <c r="A3906" s="2" t="n">
        <v>3905</v>
      </c>
      <c r="B3906" s="2" t="inlineStr"/>
      <c r="C3906" s="2" t="n">
        <v>8879</v>
      </c>
      <c r="D3906" s="3" t="inlineStr">
        <is>
          <t>Ночи Полнолуния</t>
        </is>
      </c>
      <c r="E3906" s="2" t="n">
        <v>1990</v>
      </c>
      <c r="F3906" s="2" t="inlineStr">
        <is>
          <t>кинофильм</t>
        </is>
      </c>
      <c r="G3906" s="2" t="n"/>
      <c r="H3906" s="2" t="n">
        <v>427</v>
      </c>
      <c r="I3906" s="2" t="inlineStr"/>
      <c r="J3906" s="2" t="inlineStr"/>
      <c r="K3906" s="3" t="inlineStr">
        <is>
          <t>Фильм состоит из трёх частей. На протяжении фильма главный герой проходит через целый ряд искушений, которые губят его душу и доводят, в конце концов, до сумасшедшего дома. Фильм аллегорически показывает трагический путь российского люмпен-интеллигента, затерявшегося между прошлым и настоящим, не находящего в себе сил принять и осмыслить свалившихся на него неожиданных перемен, случившихся в нашей стране двадцать лет назад.</t>
        </is>
      </c>
      <c r="L3906" s="2" t="inlineStr">
        <is>
          <t>Кино_СССР сводный каталог.xlsx: список фильмов (доп.)</t>
        </is>
      </c>
      <c r="M3906" s="2">
        <f>HYPERLINK("https://ru.wikipedia.org/w/index.php?search=%D0%9D%D0%BE%D1%87%D0%B8%20%D0%9F%D0%BE%D0%BB%D0%BD%D0%BE%D0%BB%D1%83%D0%BD%D0%B8%D1%8F%201990%20%D1%84%D0%B8%D0%BB%D1%8C%D0%BC","искать")</f>
        <v/>
      </c>
      <c r="N3906" s="3" t="n"/>
      <c r="O3906" s="2" t="n"/>
    </row>
    <row r="3907">
      <c r="A3907" s="2" t="n">
        <v>3906</v>
      </c>
      <c r="B3907" s="2" t="inlineStr"/>
      <c r="C3907" s="2" t="n">
        <v>10275</v>
      </c>
      <c r="D3907" s="3" t="inlineStr">
        <is>
          <t>Судьба играет человеком</t>
        </is>
      </c>
      <c r="E3907" s="2" t="n">
        <v>1968</v>
      </c>
      <c r="F3907" s="2" t="inlineStr">
        <is>
          <t>фильм-спектакль</t>
        </is>
      </c>
      <c r="G3907" s="2" t="inlineStr">
        <is>
          <t>Главная редакция литературно-драматических программ</t>
        </is>
      </c>
      <c r="H3907" s="2" t="n">
        <v>427</v>
      </c>
      <c r="I3907" s="2" t="inlineStr"/>
      <c r="J3907" s="2" t="inlineStr"/>
      <c r="K3907" s="3" t="inlineStr">
        <is>
          <t>Спектакль Театра Сатиры по одноименной комедии Б.Рымаря.
Семь лет живут и работают в далеком сибирском городе Лиза и Антон. И вот наконец они собираются вернуться в Москву. Но у Антона, депутата горсовета, есть еще множество незавершенных дел, а у Лизы возникли проблемы с чертежами нового строительства. Супруги мечутся между мечтой о встрече Нового года в Москве и желанием уладить дела в городе, который стал для них родным.</t>
        </is>
      </c>
      <c r="L3907" s="2" t="inlineStr">
        <is>
          <t>https://www.kino-teatr.ru/teatr/movie/81440/annot/</t>
        </is>
      </c>
      <c r="M3907" s="2">
        <f>HYPERLINK("https://ru.wikipedia.org/w/index.php?search=%D0%A1%D1%83%D0%B4%D1%8C%D0%B1%D0%B0%20%D0%B8%D0%B3%D1%80%D0%B0%D0%B5%D1%82%20%D1%87%D0%B5%D0%BB%D0%BE%D0%B2%D0%B5%D0%BA%D0%BE%D0%BC%201968%20%D1%84%D0%B8%D0%BB%D1%8C%D0%BC","искать")</f>
        <v/>
      </c>
      <c r="N3907" s="3" t="n"/>
      <c r="O3907" s="2" t="n"/>
    </row>
    <row r="3908">
      <c r="A3908" s="2" t="n">
        <v>3907</v>
      </c>
      <c r="B3908" s="2" t="inlineStr"/>
      <c r="C3908" s="2" t="n">
        <v>10416</v>
      </c>
      <c r="D3908" s="3" t="inlineStr">
        <is>
          <t>РџСЂРѕ Р РѕРјРєСѓ Рё РµРіРѕ РґСЂСѓР·РµР№</t>
        </is>
      </c>
      <c r="E3908" s="2" t="n">
        <v>1971</v>
      </c>
      <c r="F3908" s="2" t="inlineStr">
        <is>
          <t>фильм-спектакль</t>
        </is>
      </c>
      <c r="G3908" s="2" t="n"/>
      <c r="H3908" s="2" t="n">
        <v>427</v>
      </c>
      <c r="I3908" s="2" t="inlineStr"/>
      <c r="J3908" s="2" t="inlineStr"/>
      <c r="K3908" s="3" t="inlineStr">
        <is>
          <t>РџРѕ РїСЊРµСЃРµ РђРЅР°С‚РѕР»РёСЏ РЎРѕР±РѕР»РµРІР° "РџРѕСЃРІСЏС‰РµРЅРёРµ РІ СЂС‹С†Р°СЂРё".
РћР± СѓС‡РµРЅРёРєР°С… РїСЏС‚РѕРіРѕ РєР»Р°СЃСЃР°, Рѕ Р РѕРјРµ Р”РµРЅРёСЃРѕРІРµ, РєРѕС‚РѕСЂС‹Р№ СЃСѓРјРµР» РІРѕСЃРїРёС‚Р°С‚СЊ РІ СЃРµР±Рµ СЃРёР»Сѓ РІРѕР»Рё. РћРЅ РЅРµ РїРѕР±РѕСЏР»СЃСЏ РїРѕСЂРІР°С‚СЊ СЃ РїР»РѕС…РѕР№ РєРѕРјРїР°РЅРёРµР№ Рё РґР°Р¶Рµ СЃРѕРІРµСЂС€РёС‚СЊ РїРѕСЃС‚СѓРїРѕРє, РєРѕС‚РѕСЂС‹Рј РІРѕСЃС…РёС‰Р°Р»СЃСЏ РІРµСЃСЊ РєР»Р°СЃСЃ.</t>
        </is>
      </c>
      <c r="L3908" s="2" t="inlineStr">
        <is>
          <t>https://www.kino-teatr.ru/teatr/movie/106193/annot/</t>
        </is>
      </c>
      <c r="M3908" s="2">
        <f>HYPERLINK("https://ru.wikipedia.org/w/index.php?search=%D0%A0%D1%9F%D0%A1%D0%82%D0%A0%D1%95%20%D0%A0%20%D0%A0%D1%95%D0%A0%D1%98%D0%A0%D1%94%D0%A1%D1%93%20%D0%A0%D1%91%20%D0%A0%C2%B5%D0%A0%D1%96%D0%A0%D1%95%20%D0%A0%D2%91%D0%A1%D0%82%D0%A1%D1%93%D0%A0%C2%B7%D0%A0%C2%B5%D0%A0%E2%84%96%201971%20%D1%84%D0%B8%D0%BB%D1%8C%D0%BC","искать")</f>
        <v/>
      </c>
      <c r="N3908" s="3" t="n"/>
      <c r="O3908" s="2" t="n"/>
    </row>
    <row r="3909">
      <c r="A3909" s="2" t="n">
        <v>3908</v>
      </c>
      <c r="B3909" s="2" t="inlineStr"/>
      <c r="C3909" s="2" t="n">
        <v>11297</v>
      </c>
      <c r="D3909" s="3" t="inlineStr">
        <is>
          <t>Два дня из жизни бывшего капитана</t>
        </is>
      </c>
      <c r="E3909" s="2" t="n">
        <v>1990</v>
      </c>
      <c r="F3909" s="2" t="inlineStr">
        <is>
          <t>фильм-спектакль</t>
        </is>
      </c>
      <c r="G3909" s="2" t="inlineStr">
        <is>
          <t>Главная редакция литературно-художественных программ ЦТ</t>
        </is>
      </c>
      <c r="H3909" s="2" t="n">
        <v>427</v>
      </c>
      <c r="I3909" s="2" t="inlineStr"/>
      <c r="J3909" s="2" t="inlineStr"/>
      <c r="K3909" s="3" t="inlineStr">
        <is>
          <t>Из цикла "Политический театр".
По одноименной пьесе Юрия Щекочихина.
Действие происходит в кабинете следователя. Два дня идет допрос капитана милиции Голубева. В ходе следствия он вышел на крупную мафиозную группу, которая была связана с высшими чинами МВД. Совершив самосуд, Голубев убивает главаря группы, считая, что исполнил свой гражданский долг. Но следователь Крамольников устанавливает, что был убит невиновный человек.</t>
        </is>
      </c>
      <c r="L3909" s="2" t="inlineStr">
        <is>
          <t>https://www.kino-teatr.ru/teatr/movie/14720/annot/</t>
        </is>
      </c>
      <c r="M3909" s="2">
        <f>HYPERLINK("https://ru.wikipedia.org/w/index.php?search=%D0%94%D0%B2%D0%B0%20%D0%B4%D0%BD%D1%8F%20%D0%B8%D0%B7%20%D0%B6%D0%B8%D0%B7%D0%BD%D0%B8%20%D0%B1%D1%8B%D0%B2%D1%88%D0%B5%D0%B3%D0%BE%20%D0%BA%D0%B0%D0%BF%D0%B8%D1%82%D0%B0%D0%BD%D0%B0%201990%20%D1%84%D0%B8%D0%BB%D1%8C%D0%BC","искать")</f>
        <v/>
      </c>
      <c r="N3909" s="3" t="n"/>
      <c r="O3909" s="2" t="n"/>
    </row>
    <row r="3910">
      <c r="A3910" s="2" t="n">
        <v>3909</v>
      </c>
      <c r="B3910" s="2" t="inlineStr"/>
      <c r="C3910" s="2" t="n">
        <v>7556</v>
      </c>
      <c r="D3910" s="3" t="inlineStr">
        <is>
          <t>Дорогой Эдисон!</t>
        </is>
      </c>
      <c r="E3910" s="2" t="n">
        <v>1986</v>
      </c>
      <c r="F3910" s="2" t="inlineStr">
        <is>
          <t>телефильм</t>
        </is>
      </c>
      <c r="G3910" s="2" t="n"/>
      <c r="H3910" s="2" t="n">
        <v>428</v>
      </c>
      <c r="I3910" s="2" t="inlineStr"/>
      <c r="J3910" s="2" t="inlineStr"/>
      <c r="K3910" s="3" t="inlineStr">
        <is>
          <t>Один из самых скандальных фильмов новой "перестроечной" волны, по материалам которого была развернута дискуссия на страницах "Правды" и "Известий". Молодой талантливый ученый Одинцов, выпускник столичного ВУЗа, попадает в жернова советских "аппаратных игр". Впервые на экране подробно, реалистично и психологически достоверно показана технология вполне "законного" уничтожения талантов хитроумной и опытной командой партократов.</t>
        </is>
      </c>
      <c r="L3910" s="2" t="inlineStr">
        <is>
          <t>Кино_СССР сводный каталог.xlsx: список телефильмов</t>
        </is>
      </c>
      <c r="M3910" s="2">
        <f>HYPERLINK("https://ru.wikipedia.org/w/index.php?search=%D0%94%D0%BE%D1%80%D0%BE%D0%B3%D0%BE%D0%B9%20%D0%AD%D0%B4%D0%B8%D1%81%D0%BE%D0%BD%21%201986%20%D1%84%D0%B8%D0%BB%D1%8C%D0%BC","искать")</f>
        <v/>
      </c>
      <c r="N3910" s="3" t="n"/>
      <c r="O3910" s="2" t="n"/>
    </row>
    <row r="3911">
      <c r="A3911" s="2" t="n">
        <v>3910</v>
      </c>
      <c r="B3911" s="2" t="inlineStr"/>
      <c r="C3911" s="2" t="n">
        <v>8060</v>
      </c>
      <c r="D3911" s="3" t="inlineStr">
        <is>
          <t>Остров Серафимы</t>
        </is>
      </c>
      <c r="E3911" s="2" t="n">
        <v>1978</v>
      </c>
      <c r="F3911" s="2" t="inlineStr">
        <is>
          <t>телефильм</t>
        </is>
      </c>
      <c r="G3911" s="2" t="n"/>
      <c r="H3911" s="2" t="n">
        <v>428</v>
      </c>
      <c r="I3911" s="2" t="inlineStr"/>
      <c r="J3911" s="2" t="inlineStr"/>
      <c r="K3911" s="3" t="inlineStr">
        <is>
          <t>По мотивам рассказа Л.Брандта. Двое полюбили друг друга, сыграли свадьбу. Он – биолог, работает лесничим в заповеднике; она – радиожурналистка и социолог, работает в городе. Мир природы соединяет. Он ярок и разнообразен: клекот аистов и лебедей, крики галок, серебряный блеск воды, трепетание травы, стройные и величественные деревья, словно стражи, охраняющие окружающую красоту,– во всем этом существует гармония и равновесие.</t>
        </is>
      </c>
      <c r="L3911" s="2" t="inlineStr">
        <is>
          <t>Кино_СССР сводный каталог.xlsx: список телефильмов</t>
        </is>
      </c>
      <c r="M3911" s="2">
        <f>HYPERLINK("https://ru.wikipedia.org/w/index.php?search=%D0%9E%D1%81%D1%82%D1%80%D0%BE%D0%B2%20%D0%A1%D0%B5%D1%80%D0%B0%D1%84%D0%B8%D0%BC%D1%8B%201978%20%D1%84%D0%B8%D0%BB%D1%8C%D0%BC","искать")</f>
        <v/>
      </c>
      <c r="N3911" s="3" t="n"/>
      <c r="O3911" s="2" t="n"/>
    </row>
    <row r="3912">
      <c r="A3912" s="2" t="n">
        <v>3911</v>
      </c>
      <c r="B3912" s="2" t="inlineStr"/>
      <c r="C3912" s="2" t="n">
        <v>8892</v>
      </c>
      <c r="D3912" s="3" t="inlineStr">
        <is>
          <t>Одно воскресенье</t>
        </is>
      </c>
      <c r="E3912" s="2" t="n">
        <v>1988</v>
      </c>
      <c r="F3912" s="2" t="inlineStr">
        <is>
          <t>кинофильм</t>
        </is>
      </c>
      <c r="G3912" s="2" t="n"/>
      <c r="H3912" s="2" t="n">
        <v>428</v>
      </c>
      <c r="I3912" s="2" t="inlineStr"/>
      <c r="J3912" s="2" t="inlineStr"/>
      <c r="K3912" s="3" t="inlineStr">
        <is>
          <t>Грустный фильм об одиночестве и неприкаянности юного парня и пожилого человека, живущих по-соседству. Николай Степанович посвятил все воскресенье сыну, а тот выпроводил его из своей квартиры, ожидая знакомую женщину... Дмитрий весь день провел у окна... И только в финале фильма старик и юноша встречаются в полупустом зале кинотеатра, где юноша до слез хохочет над фильмом, не замечая, что рядом сидящий пожилой человек - умер.</t>
        </is>
      </c>
      <c r="L3912" s="2" t="inlineStr">
        <is>
          <t>Кино_СССР сводный каталог.xlsx: список фильмов (доп.)</t>
        </is>
      </c>
      <c r="M3912" s="2">
        <f>HYPERLINK("https://ru.wikipedia.org/w/index.php?search=%D0%9E%D0%B4%D0%BD%D0%BE%20%D0%B2%D0%BE%D1%81%D0%BA%D1%80%D0%B5%D1%81%D0%B5%D0%BD%D1%8C%D0%B5%201988%20%D1%84%D0%B8%D0%BB%D1%8C%D0%BC","искать")</f>
        <v/>
      </c>
      <c r="N3912" s="3" t="n"/>
      <c r="O3912" s="2" t="n"/>
    </row>
    <row r="3913">
      <c r="A3913" s="2" t="n">
        <v>3912</v>
      </c>
      <c r="B3913" s="2" t="inlineStr"/>
      <c r="C3913" s="2" t="n">
        <v>9717</v>
      </c>
      <c r="D3913" s="3" t="inlineStr">
        <is>
          <t>Утомлённое солнце</t>
        </is>
      </c>
      <c r="E3913" s="2" t="n">
        <v>1988</v>
      </c>
      <c r="F3913" s="2" t="inlineStr">
        <is>
          <t>кинофильм</t>
        </is>
      </c>
      <c r="G3913" s="2" t="n"/>
      <c r="H3913" s="2" t="n">
        <v>428</v>
      </c>
      <c r="I3913" s="2" t="inlineStr"/>
      <c r="J3913" s="2" t="inlineStr"/>
      <c r="K3913" s="3" t="inlineStr">
        <is>
          <t>1945 год. В заброшенной шахте на территории Кореи, оккупированной японскими войсками, проводятся испытания бактериологического оружия. Советские разведчики, в числе которых юная радистка Маша (она же и медсестра), проникают в шахту... Прототипом героини фильма Маши Цукановой, сибирячки, было реально существующая девушка, санинструктор Мария Цуканова, получившая звание Героя Советского Союза 14 сентября 1945 года (посмертно).</t>
        </is>
      </c>
      <c r="L3913" s="2" t="inlineStr">
        <is>
          <t>Кино_СССР сводный каталог.xlsx: список фильмов (доп.)</t>
        </is>
      </c>
      <c r="M3913" s="2">
        <f>HYPERLINK("https://ru.wikipedia.org/w/index.php?search=%D0%A3%D1%82%D0%BE%D0%BC%D0%BB%D1%91%D0%BD%D0%BD%D0%BE%D0%B5%20%D1%81%D0%BE%D0%BB%D0%BD%D1%86%D0%B5%201988%20%D1%84%D0%B8%D0%BB%D1%8C%D0%BC","искать")</f>
        <v/>
      </c>
      <c r="N3913" s="3" t="n"/>
      <c r="O3913" s="2" t="n"/>
    </row>
    <row r="3914">
      <c r="A3914" s="2" t="n">
        <v>3913</v>
      </c>
      <c r="B3914" s="2" t="inlineStr"/>
      <c r="C3914" s="2" t="n">
        <v>9588</v>
      </c>
      <c r="D3914" s="3" t="inlineStr">
        <is>
          <t>Примите Адама</t>
        </is>
      </c>
      <c r="E3914" s="2" t="n">
        <v>1984</v>
      </c>
      <c r="F3914" s="2" t="inlineStr">
        <is>
          <t>кинофильм</t>
        </is>
      </c>
      <c r="G3914" s="2" t="n"/>
      <c r="H3914" s="2" t="n">
        <v>429</v>
      </c>
      <c r="I3914" s="2" t="inlineStr"/>
      <c r="J3914" s="2" t="inlineStr"/>
      <c r="K3914" s="3" t="inlineStr">
        <is>
          <t>Адам, неловкий и смешной человек, терпел одну неудачу за другой — и на службе, и в личной жизни. Монтажником-высотником его зачислили только из уважения к матери. И когда подвернулась горящая путевка на высокогорную турбазу в Алатау, никто особенно не возражал. Но эта поездка в корне изменила парня. Когда на канатной дороге произошла авария, именно Адам устранил все неисправности — и лыжники благополучно вернулись на турбазу.</t>
        </is>
      </c>
      <c r="L3914" s="2" t="inlineStr">
        <is>
          <t>Кино_СССР сводный каталог.xlsx: список фильмов (доп.)</t>
        </is>
      </c>
      <c r="M3914" s="2">
        <f>HYPERLINK("https://ru.wikipedia.org/w/index.php?search=%D0%9F%D1%80%D0%B8%D0%BC%D0%B8%D1%82%D0%B5%20%D0%90%D0%B4%D0%B0%D0%BC%D0%B0%201984%20%D1%84%D0%B8%D0%BB%D1%8C%D0%BC","искать")</f>
        <v/>
      </c>
      <c r="N3914" s="3" t="n"/>
      <c r="O3914" s="2" t="n"/>
    </row>
    <row r="3915">
      <c r="A3915" s="2" t="n">
        <v>3914</v>
      </c>
      <c r="B3915" s="2" t="inlineStr"/>
      <c r="C3915" s="2" t="n">
        <v>11327</v>
      </c>
      <c r="D3915" s="3" t="inlineStr">
        <is>
          <t>Там, где мы бывали...</t>
        </is>
      </c>
      <c r="E3915" s="2" t="n">
        <v>1990</v>
      </c>
      <c r="F3915" s="2" t="inlineStr">
        <is>
          <t>фильм-спектакль</t>
        </is>
      </c>
      <c r="G3915" s="2" t="inlineStr">
        <is>
          <t>Главная редакция литературно-драматических программ ЦТ</t>
        </is>
      </c>
      <c r="H3915" s="2" t="n">
        <v>429</v>
      </c>
      <c r="I3915" s="2" t="inlineStr"/>
      <c r="J3915" s="2" t="inlineStr"/>
      <c r="K3915" s="3" t="inlineStr">
        <is>
          <t>Телеспектакль был поставлен к 45-летию со дня Победы.
Название пьесе дали стихи Константина Симонова о военных корреспондентах.
Спектакль рассказывает о военных кинооператорах, чьим оружием была - кинокамера.
В спектакль также включены стихи А.Межирова, Б.Пастернака, А.Твардовского.
Использованы воспоминания Р.Кармена, В.Микоши, К.Симонова, Б.Небылицкого, С.Школьникова, А.Лебедева, фронтовых кинооператоров и другие материалы.</t>
        </is>
      </c>
      <c r="L3915" s="2" t="inlineStr">
        <is>
          <t>https://www.kino-teatr.ru/teatr/movie/102407/annot/</t>
        </is>
      </c>
      <c r="M3915" s="2">
        <f>HYPERLINK("https://ru.wikipedia.org/w/index.php?search=%D0%A2%D0%B0%D0%BC%2C%20%D0%B3%D0%B4%D0%B5%20%D0%BC%D1%8B%20%D0%B1%D1%8B%D0%B2%D0%B0%D0%BB%D0%B8...%201990%20%D1%84%D0%B8%D0%BB%D1%8C%D0%BC","искать")</f>
        <v/>
      </c>
      <c r="N3915" s="3" t="n"/>
      <c r="O3915" s="2" t="n"/>
    </row>
    <row r="3916">
      <c r="A3916" s="2" t="n">
        <v>3915</v>
      </c>
      <c r="B3916" s="2" t="inlineStr"/>
      <c r="C3916" s="2" t="n">
        <v>8830</v>
      </c>
      <c r="D3916" s="3" t="inlineStr">
        <is>
          <t>Мементо мори</t>
        </is>
      </c>
      <c r="E3916" s="2" t="n">
        <v>1991</v>
      </c>
      <c r="F3916" s="2" t="inlineStr">
        <is>
          <t>кинофильм</t>
        </is>
      </c>
      <c r="G3916" s="2" t="n"/>
      <c r="H3916" s="2" t="n">
        <v>430</v>
      </c>
      <c r="I3916" s="2" t="inlineStr"/>
      <c r="J3916" s="2" t="inlineStr"/>
      <c r="K3916" s="3" t="inlineStr">
        <is>
          <t>Действие происходит в одном из маленьких городков юга Украины. Герои ленты - подростки, компания которых распалась после нелепой гибели одного из друзей. О первом соприкосновении подростка со смертью и о том, как по-разному ведут себя ребята в этих трагических обстоятельствах. Подростки, компания которых распалась после нелепой гибели одного из друзей, боятся говорить родителям о его смерти, хотят сами похоронить своего друга.</t>
        </is>
      </c>
      <c r="L3916" s="2" t="inlineStr">
        <is>
          <t>Кино_СССР сводный каталог.xlsx: список фильмов (доп.)</t>
        </is>
      </c>
      <c r="M3916" s="2">
        <f>HYPERLINK("https://ru.wikipedia.org/w/index.php?search=%D0%9C%D0%B5%D0%BC%D0%B5%D0%BD%D1%82%D0%BE%20%D0%BC%D0%BE%D1%80%D0%B8%201991%20%D1%84%D0%B8%D0%BB%D1%8C%D0%BC","искать")</f>
        <v/>
      </c>
      <c r="N3916" s="3" t="n"/>
      <c r="O3916" s="2" t="n"/>
    </row>
    <row r="3917">
      <c r="A3917" s="2" t="n">
        <v>3916</v>
      </c>
      <c r="B3917" s="2" t="inlineStr"/>
      <c r="C3917" s="2" t="n">
        <v>10558</v>
      </c>
      <c r="D3917" s="3" t="inlineStr">
        <is>
          <t>Двери хлопают</t>
        </is>
      </c>
      <c r="E3917" s="2" t="n">
        <v>1974</v>
      </c>
      <c r="F3917" s="2" t="inlineStr">
        <is>
          <t>фильм-спектакль</t>
        </is>
      </c>
      <c r="G3917" s="2" t="inlineStr">
        <is>
          <t>Центральное телевидение</t>
        </is>
      </c>
      <c r="H3917" s="2" t="n">
        <v>430</v>
      </c>
      <c r="I3917" s="2" t="inlineStr"/>
      <c r="J3917" s="2" t="inlineStr"/>
      <c r="K3917" s="3" t="inlineStr">
        <is>
          <t>Спектакль театра им. Моссовета по комедии Мишеля Фермо.
Под одной крышей пытаются ужиться не очень старые родители, заметно подросшие дети и бодрая бабушка. Нет мира и согласия в большой французской семье — все рвутся в разные стороны. Они вечно спорят по утрам, кому занять единственную на всех ванную комнату, без конца выясняют отношения, ссорятся, хлопают дверьми… А наступит ли согласие, если у младшей дочери появится малыш?</t>
        </is>
      </c>
      <c r="L3917" s="2" t="inlineStr">
        <is>
          <t>https://www.kino-teatr.ru/teatr/movie/136758/annot/</t>
        </is>
      </c>
      <c r="M3917" s="2">
        <f>HYPERLINK("https://ru.wikipedia.org/w/index.php?search=%D0%94%D0%B2%D0%B5%D1%80%D0%B8%20%D1%85%D0%BB%D0%BE%D0%BF%D0%B0%D1%8E%D1%82%201974%20%D1%84%D0%B8%D0%BB%D1%8C%D0%BC","искать")</f>
        <v/>
      </c>
      <c r="N3917" s="3" t="n"/>
      <c r="O3917" s="2" t="n"/>
    </row>
    <row r="3918">
      <c r="A3918" s="2" t="n">
        <v>3917</v>
      </c>
      <c r="B3918" s="2" t="inlineStr"/>
      <c r="C3918" s="2" t="n">
        <v>11107</v>
      </c>
      <c r="D3918" s="3" t="inlineStr">
        <is>
          <t>Дождь будет</t>
        </is>
      </c>
      <c r="E3918" s="2" t="n">
        <v>1986</v>
      </c>
      <c r="F3918" s="2" t="inlineStr">
        <is>
          <t>фильм-спектакль</t>
        </is>
      </c>
      <c r="G3918" s="2" t="inlineStr">
        <is>
          <t>Главная редакция литературно-драматических программ ЦТ</t>
        </is>
      </c>
      <c r="H3918" s="2" t="n">
        <v>430</v>
      </c>
      <c r="I3918" s="2" t="inlineStr"/>
      <c r="J3918" s="2" t="inlineStr"/>
      <c r="K3918" s="3" t="inlineStr">
        <is>
          <t>По произведению Бориса Можаева.
Главный герой телеспектакля - председатель колхоза Пётр Звонарёв - отличный организатор, высококвалифицированный специалист, выведший хозяйство из отстающих в передовые. Он ратует за то, чтобы колхозник был подлинным хозяином на земле. Основной конфликт возникает между Звонарёвым и начальником Сельхозуправления Басмановым, бюрократом и интриганом. Но все интриги Басманова заканчиваются неудачей.</t>
        </is>
      </c>
      <c r="L3918" s="2" t="inlineStr">
        <is>
          <t>https://www.kino-teatr.ru/teatr/movie/101319/annot/</t>
        </is>
      </c>
      <c r="M3918" s="2">
        <f>HYPERLINK("https://ru.wikipedia.org/w/index.php?search=%D0%94%D0%BE%D0%B6%D0%B4%D1%8C%20%D0%B1%D1%83%D0%B4%D0%B5%D1%82%201986%20%D1%84%D0%B8%D0%BB%D1%8C%D0%BC","искать")</f>
        <v/>
      </c>
      <c r="N3918" s="3" t="n"/>
      <c r="O3918" s="2" t="n"/>
    </row>
    <row r="3919">
      <c r="A3919" s="2" t="n">
        <v>3918</v>
      </c>
      <c r="B3919" s="2" t="inlineStr"/>
      <c r="C3919" s="2" t="n">
        <v>7665</v>
      </c>
      <c r="D3919" s="3" t="inlineStr">
        <is>
          <t>И снова Анискин</t>
        </is>
      </c>
      <c r="E3919" s="2" t="n">
        <v>1977</v>
      </c>
      <c r="F3919" s="2" t="inlineStr">
        <is>
          <t>телефильм</t>
        </is>
      </c>
      <c r="G3919" s="2" t="n"/>
      <c r="H3919" s="2" t="n">
        <v>431</v>
      </c>
      <c r="I3919" s="2" t="inlineStr"/>
      <c r="J3919" s="2" t="inlineStr"/>
      <c r="K3919" s="3" t="inlineStr">
        <is>
          <t>Телесериал. Заключительный фильм трилогии: "Деревенский детектив" (1968), "Анискин и Фантомас" (1974), "И снова Анискин". Из сельского музея похищены старинные предметы прикладного искусства. Под подозрение попадают сразу несколько местных жителей. После тщательного расследования обстоятельств дела о музейной краже Анискин пришёл к выводу, что человек, пытавшийся скрыться с похищенными ценностями на речном пароходе, и есть вор.</t>
        </is>
      </c>
      <c r="L3919" s="2" t="inlineStr">
        <is>
          <t>Кино_СССР сводный каталог.xlsx: список телефильмов</t>
        </is>
      </c>
      <c r="M3919" s="2">
        <f>HYPERLINK("https://ru.wikipedia.org/w/index.php?search=%D0%98%20%D1%81%D0%BD%D0%BE%D0%B2%D0%B0%20%D0%90%D0%BD%D0%B8%D1%81%D0%BA%D0%B8%D0%BD%201977%20%D1%84%D0%B8%D0%BB%D1%8C%D0%BC","искать")</f>
        <v/>
      </c>
      <c r="N3919" s="3" t="n"/>
      <c r="O3919" s="2" t="n"/>
    </row>
    <row r="3920">
      <c r="A3920" s="2" t="n">
        <v>3919</v>
      </c>
      <c r="B3920" s="2" t="inlineStr"/>
      <c r="C3920" s="2" t="n">
        <v>8358</v>
      </c>
      <c r="D3920" s="3" t="inlineStr">
        <is>
          <t>Случай в аэропорту</t>
        </is>
      </c>
      <c r="E3920" s="2" t="n">
        <v>1987</v>
      </c>
      <c r="F3920" s="2" t="inlineStr">
        <is>
          <t>телефильм</t>
        </is>
      </c>
      <c r="G3920" s="2" t="inlineStr">
        <is>
          <t>Таджикфильм</t>
        </is>
      </c>
      <c r="H3920" s="2" t="n">
        <v>432</v>
      </c>
      <c r="I3920" s="2" t="inlineStr"/>
      <c r="J3920" s="2" t="inlineStr"/>
      <c r="K3920" s="3" t="inlineStr">
        <is>
          <t>Майор милиции Джураев занят малоинтересным будничным делом - расследованием ограбления квартиры старой актрисы Курбатовой, у которой похитили украшения. В преступлении сознался уже отбывший срок Бахор Мурадов. Он специально "попался", проникнув в салон для новобрачных и ничего там не взяв. И вдруг - случай в аэропорту… Отравлены два сотрудника вневедомственной охраны, а их груз - уникальные украшения из чистого золота - украден.</t>
        </is>
      </c>
      <c r="L3920" s="2" t="inlineStr">
        <is>
          <t>Кино_СССР сводный каталог.xlsx: список телефильмов</t>
        </is>
      </c>
      <c r="M3920" s="2">
        <f>HYPERLINK("https://ru.wikipedia.org/w/index.php?search=%D0%A1%D0%BB%D1%83%D1%87%D0%B0%D0%B9%20%D0%B2%20%D0%B0%D1%8D%D1%80%D0%BE%D0%BF%D0%BE%D1%80%D1%82%D1%83%201987%20%D1%84%D0%B8%D0%BB%D1%8C%D0%BC","искать")</f>
        <v/>
      </c>
      <c r="N3920" s="3" t="n"/>
      <c r="O3920" s="2" t="n"/>
    </row>
    <row r="3921">
      <c r="A3921" s="2" t="n">
        <v>3920</v>
      </c>
      <c r="B3921" s="2" t="inlineStr"/>
      <c r="C3921" s="2" t="n">
        <v>8485</v>
      </c>
      <c r="D3921" s="3" t="inlineStr">
        <is>
          <t>Тропинины</t>
        </is>
      </c>
      <c r="E3921" s="2" t="n">
        <v>1981</v>
      </c>
      <c r="F3921" s="2" t="inlineStr">
        <is>
          <t>телефильм</t>
        </is>
      </c>
      <c r="G3921" s="2" t="n"/>
      <c r="H3921" s="2" t="n">
        <v>433</v>
      </c>
      <c r="I3921" s="2" t="inlineStr"/>
      <c r="J3921" s="2" t="inlineStr"/>
      <c r="K3921" s="3" t="inlineStr">
        <is>
          <t>Телефильм. Главный герой — полковник Алексей Тропинин, возглавляющий районный военкомат небольшого города. В его руках патриотическое воспитание будущих воинов. Он ведет работу с теми, кто уже отслужил в армии, заботится о ветеранах. И они доверчиво идут к нему со своими заботами, просьбами. Может быть еще и потому, что избранная Тропининым профессия — дело глубоко личное: на войне погиб отец, память о котором свято чтят в семье.</t>
        </is>
      </c>
      <c r="L3921" s="2" t="inlineStr">
        <is>
          <t>Кино_СССР сводный каталог.xlsx: список телефильмов</t>
        </is>
      </c>
      <c r="M3921" s="2">
        <f>HYPERLINK("https://ru.wikipedia.org/w/index.php?search=%D0%A2%D1%80%D0%BE%D0%BF%D0%B8%D0%BD%D0%B8%D0%BD%D1%8B%201981%20%D1%84%D0%B8%D0%BB%D1%8C%D0%BC","искать")</f>
        <v/>
      </c>
      <c r="N3921" s="3" t="n"/>
      <c r="O3921" s="2" t="n"/>
    </row>
    <row r="3922">
      <c r="A3922" s="2" t="n">
        <v>3921</v>
      </c>
      <c r="B3922" s="2" t="inlineStr"/>
      <c r="C3922" s="2" t="n">
        <v>8930</v>
      </c>
      <c r="D3922" s="3" t="inlineStr">
        <is>
          <t>Плач перелетной птицы</t>
        </is>
      </c>
      <c r="E3922" s="2" t="n">
        <v>1990</v>
      </c>
      <c r="F3922" s="2" t="inlineStr">
        <is>
          <t>кинофильм</t>
        </is>
      </c>
      <c r="G3922" s="2" t="n"/>
      <c r="H3922" s="2" t="n">
        <v>433</v>
      </c>
      <c r="I3922" s="2" t="inlineStr"/>
      <c r="J3922" s="2" t="inlineStr"/>
      <c r="K3922" s="3" t="inlineStr">
        <is>
          <t>По повести Чингиза Айтматова «Лицом к лицу». Во избежании сурового наказания за дезертирство Исмаил прячется в горах недалеко от родного аила. Иногда тайком герой ночью пробирается домой, где его всякий раз ждет жена Сейда. Однажды ее вызывает майор НКВД и требует от нее признания. Женщина не выдает мужа и, встретившись с ним вновь, соглашается идти за перевал — туда, где их никто не знает и где, возможно они еще будут счастливы.</t>
        </is>
      </c>
      <c r="L3922" s="2" t="inlineStr">
        <is>
          <t>Кино_СССР сводный каталог.xlsx: список фильмов (доп.)</t>
        </is>
      </c>
      <c r="M3922" s="2">
        <f>HYPERLINK("https://ru.wikipedia.org/w/index.php?search=%D0%9F%D0%BB%D0%B0%D1%87%20%D0%BF%D0%B5%D1%80%D0%B5%D0%BB%D0%B5%D1%82%D0%BD%D0%BE%D0%B9%20%D0%BF%D1%82%D0%B8%D1%86%D1%8B%201990%20%D1%84%D0%B8%D0%BB%D1%8C%D0%BC","искать")</f>
        <v/>
      </c>
      <c r="N3922" s="3" t="n"/>
      <c r="O3922" s="2" t="n"/>
    </row>
    <row r="3923">
      <c r="A3923" s="2" t="n">
        <v>3922</v>
      </c>
      <c r="B3923" s="2" t="inlineStr"/>
      <c r="C3923" s="2" t="n">
        <v>9505</v>
      </c>
      <c r="D3923" s="3" t="inlineStr">
        <is>
          <t>Неустрашимые</t>
        </is>
      </c>
      <c r="E3923" s="2" t="n">
        <v>1937</v>
      </c>
      <c r="F3923" s="2" t="inlineStr">
        <is>
          <t>кинофильм</t>
        </is>
      </c>
      <c r="G3923" s="2" t="n"/>
      <c r="H3923" s="2" t="n">
        <v>433</v>
      </c>
      <c r="I3923" s="2" t="inlineStr"/>
      <c r="J3923" s="2" t="inlineStr"/>
      <c r="K3923" s="3" t="inlineStr">
        <is>
          <t>Фильм начинается с клятвы советских воинов защищать землю от напавшего врага. После боя на территории противника сводно-казачий полк расположился в захваченном монастыре, где получил очередную боевую задачу переправиться через реку и остановить подходящие резервы вражеских войск. Коварный враг, подслушав при помощи служителей церкви планы командования полка, решил устроить засаду нашему полку, тщательно замаскировав свои позиции.</t>
        </is>
      </c>
      <c r="L3923" s="2" t="inlineStr">
        <is>
          <t>Кино_СССР сводный каталог.xlsx: список фильмов (доп.)</t>
        </is>
      </c>
      <c r="M3923" s="2">
        <f>HYPERLINK("https://ru.wikipedia.org/w/index.php?search=%D0%9D%D0%B5%D1%83%D1%81%D1%82%D1%80%D0%B0%D1%88%D0%B8%D0%BC%D1%8B%D0%B5%201937%20%D1%84%D0%B8%D0%BB%D1%8C%D0%BC","искать")</f>
        <v/>
      </c>
      <c r="N3923" s="3" t="n"/>
      <c r="O3923" s="2" t="n"/>
    </row>
    <row r="3924">
      <c r="A3924" s="2" t="n">
        <v>3923</v>
      </c>
      <c r="B3924" s="2" t="inlineStr"/>
      <c r="C3924" s="2" t="n">
        <v>8028</v>
      </c>
      <c r="D3924" s="3" t="inlineStr">
        <is>
          <t>Обычный месяц</t>
        </is>
      </c>
      <c r="E3924" s="2" t="n">
        <v>1976</v>
      </c>
      <c r="F3924" s="2" t="inlineStr">
        <is>
          <t>телефильм</t>
        </is>
      </c>
      <c r="G3924" s="2" t="n"/>
      <c r="H3924" s="2" t="n">
        <v>435</v>
      </c>
      <c r="I3924" s="2" t="inlineStr"/>
      <c r="J3924" s="2" t="inlineStr"/>
      <c r="K3924" s="3" t="inlineStr">
        <is>
          <t>Телесериал по одноименному роману Ильи Штемлера. Главный инженер приборостроительного завода Греков ищет выход из тяжелого положения, сложившегося на заводе: подводят поставщики — приходится прибегать к штурмовщине, нарушается технология, страдает качество. Институт проблем управления производством, в который Греков обращается за помощью, предлагает внедрить на заводе новую, еще не испытанную систему автоматизированного управления.</t>
        </is>
      </c>
      <c r="L3924" s="2" t="inlineStr">
        <is>
          <t>Кино_СССР сводный каталог.xlsx: список телефильмов</t>
        </is>
      </c>
      <c r="M3924" s="2">
        <f>HYPERLINK("https://ru.wikipedia.org/w/index.php?search=%D0%9E%D0%B1%D1%8B%D1%87%D0%BD%D1%8B%D0%B9%20%D0%BC%D0%B5%D1%81%D1%8F%D1%86%201976%20%D1%84%D0%B8%D0%BB%D1%8C%D0%BC","искать")</f>
        <v/>
      </c>
      <c r="N3924" s="3" t="n"/>
      <c r="O3924" s="2" t="n"/>
    </row>
    <row r="3925">
      <c r="A3925" s="2" t="n">
        <v>3924</v>
      </c>
      <c r="B3925" s="2" t="inlineStr"/>
      <c r="C3925" s="2" t="n">
        <v>8757</v>
      </c>
      <c r="D3925" s="3" t="inlineStr">
        <is>
          <t>Камми</t>
        </is>
      </c>
      <c r="E3925" s="2" t="n">
        <v>1991</v>
      </c>
      <c r="F3925" s="2" t="inlineStr">
        <is>
          <t>кинофильм</t>
        </is>
      </c>
      <c r="G3925" s="2" t="n"/>
      <c r="H3925" s="2" t="n">
        <v>435</v>
      </c>
      <c r="I3925" s="2" t="inlineStr"/>
      <c r="J3925" s="2" t="inlineStr"/>
      <c r="K3925" s="3" t="inlineStr">
        <is>
          <t>Еврейская девушка из Ташкента переживает любовную драму, в которой сошлись три истории. "Тело человека, где бы он ни жил, На 90 процентов состоит из воды, А все остальное — только 10 процентов. Жизнь человека, где бы он ни жил, На 90 процентов похожа на жизнь любого другого. Мало, кто согласится с последним утверждением и я первый, если в эту минуту позабыл о той десятой части, которая — моя тайна, которая — мой ум и душа, мой дух.</t>
        </is>
      </c>
      <c r="L3925" s="2" t="inlineStr">
        <is>
          <t>Кино_СССР сводный каталог.xlsx: список фильмов (доп.)</t>
        </is>
      </c>
      <c r="M3925" s="2">
        <f>HYPERLINK("https://ru.wikipedia.org/w/index.php?search=%D0%9A%D0%B0%D0%BC%D0%BC%D0%B8%201991%20%D1%84%D0%B8%D0%BB%D1%8C%D0%BC","искать")</f>
        <v/>
      </c>
      <c r="N3925" s="3" t="n"/>
      <c r="O3925" s="2" t="n"/>
    </row>
    <row r="3926">
      <c r="A3926" s="2" t="n">
        <v>3925</v>
      </c>
      <c r="B3926" s="2" t="inlineStr"/>
      <c r="C3926" s="2" t="n">
        <v>10187</v>
      </c>
      <c r="D3926" s="3" t="inlineStr">
        <is>
          <t>Волшебник страны Оз</t>
        </is>
      </c>
      <c r="E3926" s="2" t="n">
        <v>1967</v>
      </c>
      <c r="F3926" s="2" t="inlineStr">
        <is>
          <t>фильм-спектакль</t>
        </is>
      </c>
      <c r="G3926" s="2" t="inlineStr">
        <is>
          <t>Ленинградское телевидение, Связанные проекты, Волшебник страны Оз, (1925),, (1939),, Истории о стране Оз, (1961),, Возвращение в страну Оз, (1964),, Чудесная страна Оз, (1969),</t>
        </is>
      </c>
      <c r="H3926" s="2" t="n">
        <v>435</v>
      </c>
      <c r="I3926" s="2" t="inlineStr"/>
      <c r="J3926" s="2" t="inlineStr"/>
      <c r="K3926" s="3" t="inlineStr">
        <is>
          <t>Музыкальный телеспектакль по сказке Френка Баума.
Девочку Элли и собачку Тотошку смерч уносит вместе с домиком в сказочную страну Оз. Там она становится обладательницей волшебных туфель. Элли, собачка Тотошка и её новые друзья — Страшила, Железный Дровосек и Трусливый Лев — идут по дороге из жёлтого кирпича в Изумрудный город, чтобы просить всемогущего волшебника помочь ей вернуться домой, а друзьям — выполнить их заветные желания.</t>
        </is>
      </c>
      <c r="L3926" s="2" t="inlineStr">
        <is>
          <t>https://www.kino-teatr.ru/teatr/movie/103917/annot/</t>
        </is>
      </c>
      <c r="M3926" s="2">
        <f>HYPERLINK("https://ru.wikipedia.org/w/index.php?search=%D0%92%D0%BE%D0%BB%D1%88%D0%B5%D0%B1%D0%BD%D0%B8%D0%BA%20%D1%81%D1%82%D1%80%D0%B0%D0%BD%D1%8B%20%D0%9E%D0%B7%201967%20%D1%84%D0%B8%D0%BB%D1%8C%D0%BC","искать")</f>
        <v/>
      </c>
      <c r="N3926" s="3" t="n"/>
      <c r="O3926" s="2" t="n"/>
    </row>
    <row r="3927">
      <c r="A3927" s="2" t="n">
        <v>3926</v>
      </c>
      <c r="B3927" s="2" t="inlineStr"/>
      <c r="C3927" s="2" t="n">
        <v>7695</v>
      </c>
      <c r="D3927" s="3" t="inlineStr">
        <is>
          <t>Кавказская повесть</t>
        </is>
      </c>
      <c r="E3927" s="2" t="n">
        <v>1978</v>
      </c>
      <c r="F3927" s="2" t="inlineStr">
        <is>
          <t>телефильм</t>
        </is>
      </c>
      <c r="G3927" s="2" t="n"/>
      <c r="H3927" s="2" t="n">
        <v>436</v>
      </c>
      <c r="I3927" s="2" t="inlineStr"/>
      <c r="J3927" s="2" t="inlineStr"/>
      <c r="K3927" s="3" t="inlineStr">
        <is>
          <t>По мотивам повести Л.Н.Толстого «Казаки». С молодых лет оставшись без родителей, Дмитрий Андреевич Оленин к двадцати четырем годам промотал половину состояния, нигде не кончил курса и нигде не служил. Не зная с уверенностью, на что же направить силу молодости, которую ясно чувствует в себе, Оленин надеется, с отъездом в кавказский пехотный полк, куда зачислен юнкером, переменить жизнь, чтобы не стало в ней больше ошибок и раскаяния.</t>
        </is>
      </c>
      <c r="L3927" s="2" t="inlineStr">
        <is>
          <t>Кино_СССР сводный каталог.xlsx: список телефильмов</t>
        </is>
      </c>
      <c r="M3927" s="2">
        <f>HYPERLINK("https://ru.wikipedia.org/w/index.php?search=%D0%9A%D0%B0%D0%B2%D0%BA%D0%B0%D0%B7%D1%81%D0%BA%D0%B0%D1%8F%20%D0%BF%D0%BE%D0%B2%D0%B5%D1%81%D1%82%D1%8C%201978%20%D1%84%D0%B8%D0%BB%D1%8C%D0%BC","искать")</f>
        <v/>
      </c>
      <c r="N3927" s="3" t="n"/>
      <c r="O3927" s="2" t="n"/>
    </row>
    <row r="3928">
      <c r="A3928" s="2" t="n">
        <v>3927</v>
      </c>
      <c r="B3928" s="2" t="inlineStr"/>
      <c r="C3928" s="2" t="n">
        <v>10627</v>
      </c>
      <c r="D3928" s="3" t="inlineStr">
        <is>
          <t>Страницы журнала Печорина</t>
        </is>
      </c>
      <c r="E3928" s="2" t="n">
        <v>1975</v>
      </c>
      <c r="F3928" s="2" t="inlineStr">
        <is>
          <t>фильм-спектакль</t>
        </is>
      </c>
      <c r="G3928" s="2" t="inlineStr">
        <is>
          <t>Гл. ред. лит-драм программ</t>
        </is>
      </c>
      <c r="H3928" s="2" t="n">
        <v>436</v>
      </c>
      <c r="I3928" s="2" t="inlineStr"/>
      <c r="J3928" s="2" t="inlineStr"/>
      <c r="K3928" s="3" t="inlineStr">
        <is>
          <t>По мотивам романа М.Ю. Лермонтова "Герой нашего времени". Взять не все произведение, а только одну страничку журнала Печорина (часть "Княжна Мери") — такова была первоначальная мысль режиссера. Юная кокетливая княжна Мери Лиговская становится предметом соперничества двух молодых людей - пылкого Грушницкого и расчетливого Печорина. В результате эта недостойная игра забавляет одного и убивает другого.
Консультант - Ираклий Андроников.</t>
        </is>
      </c>
      <c r="L3928" s="2" t="inlineStr">
        <is>
          <t>https://www.kino-teatr.ru/teatr/movie/6819/annot/</t>
        </is>
      </c>
      <c r="M3928" s="2">
        <f>HYPERLINK("https://ru.wikipedia.org/w/index.php?search=%D0%A1%D1%82%D1%80%D0%B0%D0%BD%D0%B8%D1%86%D1%8B%20%D0%B6%D1%83%D1%80%D0%BD%D0%B0%D0%BB%D0%B0%20%D0%9F%D0%B5%D1%87%D0%BE%D1%80%D0%B8%D0%BD%D0%B0%201975%20%D1%84%D0%B8%D0%BB%D1%8C%D0%BC","искать")</f>
        <v/>
      </c>
      <c r="N3928" s="3" t="n"/>
      <c r="O3928" s="2" t="n"/>
    </row>
    <row r="3929">
      <c r="A3929" s="2" t="n">
        <v>3928</v>
      </c>
      <c r="B3929" s="2" t="inlineStr"/>
      <c r="C3929" s="2" t="n">
        <v>10808</v>
      </c>
      <c r="D3929" s="3" t="inlineStr">
        <is>
          <t>Кот в сапогах</t>
        </is>
      </c>
      <c r="E3929" s="2" t="n">
        <v>1979</v>
      </c>
      <c r="F3929" s="2" t="inlineStr">
        <is>
          <t>фильм-спектакль</t>
        </is>
      </c>
      <c r="G3929" s="2" t="inlineStr">
        <is>
          <t>Центральное телевидение</t>
        </is>
      </c>
      <c r="H3929" s="2" t="n">
        <v>436</v>
      </c>
      <c r="I3929" s="2" t="inlineStr"/>
      <c r="J3929" s="2" t="inlineStr"/>
      <c r="K3929" s="3" t="inlineStr">
        <is>
          <t>По одноименной пьесе-сказке Гейнца Калау в постановке Государственного академического театра имени Евг. Вахтангова.
Досталось трем братьям от отца наследство, да только поделили они его несправедливо: старший и средний забрали себе дом и мельницу, а младшего брата выгнали из дома с котом. Расстроился было парень, да вот только кот оказался ...в сапогах! Вот этот-то Кот, благодаря своему уму, и помогает Стефану жениться на принцессе!</t>
        </is>
      </c>
      <c r="L3929" s="2" t="inlineStr">
        <is>
          <t>https://www.kino-teatr.ru/teatr/movie/81541/annot/</t>
        </is>
      </c>
      <c r="M3929" s="2">
        <f>HYPERLINK("https://ru.wikipedia.org/w/index.php?search=%D0%9A%D0%BE%D1%82%20%D0%B2%20%D1%81%D0%B0%D0%BF%D0%BE%D0%B3%D0%B0%D1%85%201979%20%D1%84%D0%B8%D0%BB%D1%8C%D0%BC","искать")</f>
        <v/>
      </c>
      <c r="N3929" s="3" t="n"/>
      <c r="O3929" s="2" t="n"/>
    </row>
    <row r="3930">
      <c r="A3930" s="2" t="n">
        <v>3929</v>
      </c>
      <c r="B3930" s="2" t="inlineStr"/>
      <c r="C3930" s="2" t="n">
        <v>7788</v>
      </c>
      <c r="D3930" s="3" t="inlineStr">
        <is>
          <t>Лев ушел из дома</t>
        </is>
      </c>
      <c r="E3930" s="2" t="n">
        <v>1977</v>
      </c>
      <c r="F3930" s="2" t="inlineStr">
        <is>
          <t>телефильм</t>
        </is>
      </c>
      <c r="G3930" s="2" t="n"/>
      <c r="H3930" s="2" t="n">
        <v>437</v>
      </c>
      <c r="I3930" s="2" t="inlineStr"/>
      <c r="J3930" s="2" t="inlineStr"/>
      <c r="K3930" s="3" t="inlineStr">
        <is>
          <t>Телефильм по мотивам одноименной сказки-повести Ю.Яковлева. Дебют кинооператора Расима Исмаилова, как режиссера. Фильм повествует о дружбе детей с животными. Маленький Рустам, находясь в зоопарке у клетки льва, думал о том, как было бы хорошо иметь такого сильного и преданного товарища. Фантазия мальчика преобразила окружающий мир: вместо обычного зоопарка появился чудесный зооград, где звери устраивали малышам веселые представления.</t>
        </is>
      </c>
      <c r="L3930" s="2" t="inlineStr">
        <is>
          <t>Кино_СССР сводный каталог.xlsx: список телефильмов</t>
        </is>
      </c>
      <c r="M3930" s="2">
        <f>HYPERLINK("https://ru.wikipedia.org/w/index.php?search=%D0%9B%D0%B5%D0%B2%20%D1%83%D1%88%D0%B5%D0%BB%20%D0%B8%D0%B7%20%D0%B4%D0%BE%D0%BC%D0%B0%201977%20%D1%84%D0%B8%D0%BB%D1%8C%D0%BC","искать")</f>
        <v/>
      </c>
      <c r="N3930" s="3" t="n"/>
      <c r="O3930" s="2" t="n"/>
    </row>
    <row r="3931">
      <c r="A3931" s="2" t="n">
        <v>3930</v>
      </c>
      <c r="B3931" s="2" t="inlineStr"/>
      <c r="C3931" s="2" t="n">
        <v>8230</v>
      </c>
      <c r="D3931" s="3" t="inlineStr">
        <is>
          <t>Продолжение</t>
        </is>
      </c>
      <c r="E3931" s="2" t="n">
        <v>1974</v>
      </c>
      <c r="F3931" s="2" t="inlineStr">
        <is>
          <t>телефильм</t>
        </is>
      </c>
      <c r="G3931" s="2" t="n"/>
      <c r="H3931" s="2" t="n">
        <v>438</v>
      </c>
      <c r="I3931" s="2" t="inlineStr"/>
      <c r="J3931" s="2" t="inlineStr"/>
      <c r="K3931" s="3" t="inlineStr">
        <is>
          <t>В фильме развиваются два параллельные линии - в военном и настоящем времени. О социальных и этических проблемах.
Молодая супружеская пара, Тоомас и Айли стоят перед выбором: впустить в свою жизнь маленького гражданина мира или все больше спешить к следующим временным целям. Отчим Тоомаса, Март, связанный с сыном трагическим событием военного времени, хочет помочь юноше, хотя даже ищет ответ на вопрос: в чем смысл нашей жизни и бытия?</t>
        </is>
      </c>
      <c r="L3931" s="2" t="inlineStr">
        <is>
          <t>Кино_СССР сводный каталог.xlsx: список телефильмов</t>
        </is>
      </c>
      <c r="M3931" s="2">
        <f>HYPERLINK("https://ru.wikipedia.org/w/index.php?search=%D0%9F%D1%80%D0%BE%D0%B4%D0%BE%D0%BB%D0%B6%D0%B5%D0%BD%D0%B8%D0%B5%201974%20%D1%84%D0%B8%D0%BB%D1%8C%D0%BC","искать")</f>
        <v/>
      </c>
      <c r="N3931" s="3" t="n"/>
      <c r="O3931" s="2" t="n"/>
    </row>
    <row r="3932">
      <c r="A3932" s="2" t="n">
        <v>3931</v>
      </c>
      <c r="B3932" s="2" t="inlineStr"/>
      <c r="C3932" s="2" t="n">
        <v>8286</v>
      </c>
      <c r="D3932" s="3" t="inlineStr">
        <is>
          <t>Руины стреляют...</t>
        </is>
      </c>
      <c r="E3932" s="2" t="n">
        <v>1970</v>
      </c>
      <c r="F3932" s="2" t="inlineStr">
        <is>
          <t>телефильм</t>
        </is>
      </c>
      <c r="G3932" s="2" t="n"/>
      <c r="H3932" s="2" t="n">
        <v>438</v>
      </c>
      <c r="I3932" s="2" t="inlineStr"/>
      <c r="J3932" s="2" t="inlineStr"/>
      <c r="K3932" s="3" t="inlineStr">
        <is>
          <t>Телесериал по документальной повести Ивана Новикова "Руины стреляют в упор" о героях Минского подполья в годы Великой Отечественной войны. 1 и 2 серии сняты в 1970 г., 3-4 серии - в 1971 г., 5-6 серии - в 1972 г. В центре сюжета - реальные люди : инженер-нефтяник Исай Казинец, военнослужащий Иван Кабушкин, студент-журналист Владимир Омельянюк, профессор-медик Евгений Клумов, партийный и советский работник Сергей Благоразумов и другие.</t>
        </is>
      </c>
      <c r="L3932" s="2" t="inlineStr">
        <is>
          <t>Кино_СССР сводный каталог.xlsx: список телефильмов</t>
        </is>
      </c>
      <c r="M3932" s="2">
        <f>HYPERLINK("https://ru.wikipedia.org/w/index.php?search=%D0%A0%D1%83%D0%B8%D0%BD%D1%8B%20%D1%81%D1%82%D1%80%D0%B5%D0%BB%D1%8F%D1%8E%D1%82...%201970%20%D1%84%D0%B8%D0%BB%D1%8C%D0%BC","искать")</f>
        <v/>
      </c>
      <c r="N3932" s="3" t="n"/>
      <c r="O3932" s="2" t="n"/>
    </row>
    <row r="3933">
      <c r="A3933" s="2" t="n">
        <v>3932</v>
      </c>
      <c r="B3933" s="2" t="inlineStr"/>
      <c r="C3933" s="2" t="n">
        <v>8168</v>
      </c>
      <c r="D3933" s="3" t="inlineStr">
        <is>
          <t>Последний довод королей</t>
        </is>
      </c>
      <c r="E3933" s="2" t="n">
        <v>1983</v>
      </c>
      <c r="F3933" s="2" t="inlineStr">
        <is>
          <t>телефильм</t>
        </is>
      </c>
      <c r="G3933" s="2" t="inlineStr">
        <is>
          <t>Укртелефильм</t>
        </is>
      </c>
      <c r="H3933" s="2" t="n">
        <v>439</v>
      </c>
      <c r="I3933" s="2" t="inlineStr"/>
      <c r="J3933" s="2" t="inlineStr"/>
      <c r="K3933" s="3" t="inlineStr">
        <is>
          <t>Экранизация романа Флетчера Нибела и Чарльза Бейли "Семь дней в мае". В центре сюжета - масштабный заговор группы военных США, возглавляемый генералом Джеймсом Скоттом, против действующего президента Джордана Лимена. Дальнейшие события показывают, что президент, пославший на расследование своих ближайших помощников и друзей, легко и почти равнодушно принимает сообщения об их гибели, потому что интересует его только собственная персона.</t>
        </is>
      </c>
      <c r="L3933" s="2" t="inlineStr">
        <is>
          <t>Кино_СССР сводный каталог.xlsx: список телефильмов</t>
        </is>
      </c>
      <c r="M3933" s="2">
        <f>HYPERLINK("https://ru.wikipedia.org/w/index.php?search=%D0%9F%D0%BE%D1%81%D0%BB%D0%B5%D0%B4%D0%BD%D0%B8%D0%B9%20%D0%B4%D0%BE%D0%B2%D0%BE%D0%B4%20%D0%BA%D0%BE%D1%80%D0%BE%D0%BB%D0%B5%D0%B9%201983%20%D1%84%D0%B8%D0%BB%D1%8C%D0%BC","искать")</f>
        <v/>
      </c>
      <c r="N3933" s="3" t="n"/>
      <c r="O3933" s="2" t="n"/>
    </row>
    <row r="3934">
      <c r="A3934" s="2" t="n">
        <v>3933</v>
      </c>
      <c r="B3934" s="2" t="inlineStr"/>
      <c r="C3934" s="2" t="n">
        <v>7701</v>
      </c>
      <c r="D3934" s="3" t="inlineStr">
        <is>
          <t>Как Хашим был большим</t>
        </is>
      </c>
      <c r="E3934" s="2" t="n">
        <v>1975</v>
      </c>
      <c r="F3934" s="2" t="inlineStr">
        <is>
          <t>телефильм</t>
        </is>
      </c>
      <c r="G3934" s="2" t="n"/>
      <c r="H3934" s="2" t="n">
        <v>440</v>
      </c>
      <c r="I3934" s="2" t="inlineStr"/>
      <c r="J3934" s="2" t="inlineStr"/>
      <c r="K3934" s="3" t="inlineStr">
        <is>
          <t>Снят по мотивам повести Хадайберды Тухтабаева "Волшебная шапка". Телефильм. Музыкальная сказка о четверокласснике Хашиме, который плохо учился в школе и не помогал дома маме и младшей сестренке Айше, вообще был лентяем и хвастунишкой, в результате он оказывается в сетях коварной волшебницы матушки Лени и ее сыновей Незная и Зазная, они его уговаривают больше не учится, и он убегает с ними из дома и по его просьбе делают Хашима взрослым.</t>
        </is>
      </c>
      <c r="L3934" s="2" t="inlineStr">
        <is>
          <t>Кино_СССР сводный каталог.xlsx: список телефильмов</t>
        </is>
      </c>
      <c r="M3934" s="2">
        <f>HYPERLINK("https://ru.wikipedia.org/w/index.php?search=%D0%9A%D0%B0%D0%BA%20%D0%A5%D0%B0%D1%88%D0%B8%D0%BC%20%D0%B1%D1%8B%D0%BB%20%D0%B1%D0%BE%D0%BB%D1%8C%D1%88%D0%B8%D0%BC%201975%20%D1%84%D0%B8%D0%BB%D1%8C%D0%BC","искать")</f>
        <v/>
      </c>
      <c r="N3934" s="3" t="n"/>
      <c r="O3934" s="2" t="n"/>
    </row>
    <row r="3935">
      <c r="A3935" s="2" t="n">
        <v>3934</v>
      </c>
      <c r="B3935" s="2" t="inlineStr"/>
      <c r="C3935" s="2" t="n">
        <v>9363</v>
      </c>
      <c r="D3935" s="3" t="inlineStr">
        <is>
          <t>За кем замужем певица?</t>
        </is>
      </c>
      <c r="E3935" s="2" t="n">
        <v>1988</v>
      </c>
      <c r="F3935" s="2" t="inlineStr">
        <is>
          <t>кинофильм</t>
        </is>
      </c>
      <c r="G3935" s="2" t="n"/>
      <c r="H3935" s="2" t="n">
        <v>441</v>
      </c>
      <c r="I3935" s="2" t="inlineStr"/>
      <c r="J3935" s="2" t="inlineStr"/>
      <c r="K3935" s="3" t="inlineStr">
        <is>
          <t>Иногда для души она поет в хоре местной самодеятельности. Но как-то однажды к ним в типографию зашел руководитель городского фольклорного ансамбля, они разговорились, и он предложил Ксении прийти к нему на прослушивание. Она приходит, репетирует со всеми, но на концерты ее почему-то не выпускают. Там же случайно она знакомится с одним шустрым администратором, который собирает концертную бригаду и предлагает ей поехать с ними на гастроли.</t>
        </is>
      </c>
      <c r="L3935" s="2" t="inlineStr">
        <is>
          <t>Кино_СССР сводный каталог.xlsx: список фильмов (доп.)</t>
        </is>
      </c>
      <c r="M3935" s="2">
        <f>HYPERLINK("https://ru.wikipedia.org/w/index.php?search=%D0%97%D0%B0%20%D0%BA%D0%B5%D0%BC%20%D0%B7%D0%B0%D0%BC%D1%83%D0%B6%D0%B5%D0%BC%20%D0%BF%D0%B5%D0%B2%D0%B8%D1%86%D0%B0%3F%201988%20%D1%84%D0%B8%D0%BB%D1%8C%D0%BC","искать")</f>
        <v/>
      </c>
      <c r="N3935" s="3" t="n"/>
      <c r="O3935" s="2" t="n"/>
    </row>
    <row r="3936">
      <c r="A3936" s="2" t="n">
        <v>3935</v>
      </c>
      <c r="B3936" s="2" t="inlineStr"/>
      <c r="C3936" s="2" t="n">
        <v>9756</v>
      </c>
      <c r="D3936" s="3" t="inlineStr">
        <is>
          <t>Член парламента</t>
        </is>
      </c>
      <c r="E3936" s="2" t="n">
        <v>1918</v>
      </c>
      <c r="F3936" s="2" t="inlineStr">
        <is>
          <t>кинофильм</t>
        </is>
      </c>
      <c r="G3936" s="2" t="n"/>
      <c r="H3936" s="2" t="n">
        <v>441</v>
      </c>
      <c r="I3936" s="2" t="inlineStr"/>
      <c r="J3936" s="2" t="inlineStr"/>
      <c r="K3936" s="3" t="inlineStr">
        <is>
          <t>Джон Шилькотт, член английского парламента, нервный, болезненный человек, уже давно потерял всякую энергию к работе, и только временами все увеличивающиеся дозы морфия, которые он себе впрыскивает, дают ему еще иллюзию притока жизненных сил. В семейной жизни у него тоже не все обстоит благополучно: за последние три года он отдалился от жены, никакой духовной близости между ними нет, и Эва Шилькотт умоляет отца помочь ей добиться развода.</t>
        </is>
      </c>
      <c r="L3936" s="2" t="inlineStr">
        <is>
          <t>Кино_СССР сводный каталог.xlsx: список фильмов (доп.)</t>
        </is>
      </c>
      <c r="M3936" s="2">
        <f>HYPERLINK("https://ru.wikipedia.org/w/index.php?search=%D0%A7%D0%BB%D0%B5%D0%BD%20%D0%BF%D0%B0%D1%80%D0%BB%D0%B0%D0%BC%D0%B5%D0%BD%D1%82%D0%B0%201918%20%D1%84%D0%B8%D0%BB%D1%8C%D0%BC","искать")</f>
        <v/>
      </c>
      <c r="N3936" s="3" t="n"/>
      <c r="O3936" s="2" t="n"/>
    </row>
    <row r="3937">
      <c r="A3937" s="2" t="n">
        <v>3936</v>
      </c>
      <c r="B3937" s="2" t="inlineStr"/>
      <c r="C3937" s="2" t="n">
        <v>10175</v>
      </c>
      <c r="D3937" s="3" t="inlineStr">
        <is>
          <t>Театральные встречи БДТ в Москве</t>
        </is>
      </c>
      <c r="E3937" s="2" t="n">
        <v>1966</v>
      </c>
      <c r="F3937" s="2" t="inlineStr">
        <is>
          <t>фильм-спектакль</t>
        </is>
      </c>
      <c r="G3937" s="2" t="n"/>
      <c r="H3937" s="2" t="n">
        <v>442</v>
      </c>
      <c r="I3937" s="2" t="inlineStr"/>
      <c r="J3937" s="2" t="inlineStr"/>
      <c r="K3937" s="3" t="inlineStr">
        <is>
          <t>Один из первых выпусков телевизионных "Театральных встреч" 1966 года. БДТ не был в Москве с гастролями три года и вот теперь театр представительной компанией ведущих актеров предстал в ЦДА перед коллегами из Москвы. Получился веселый театральный капустник.
Шутки, которые можно услышать только в особых актерских компаниях разыгрывались перед камерами ТВ. Но, кроме того, ленинградцы показали несколько отрывков из своих последних постановок.</t>
        </is>
      </c>
      <c r="L3937" s="2" t="inlineStr">
        <is>
          <t>https://www.kino-teatr.ru/teatr/movie/102228/annot/</t>
        </is>
      </c>
      <c r="M3937" s="2">
        <f>HYPERLINK("https://ru.wikipedia.org/w/index.php?search=%D0%A2%D0%B5%D0%B0%D1%82%D1%80%D0%B0%D0%BB%D1%8C%D0%BD%D1%8B%D0%B5%20%D0%B2%D1%81%D1%82%D1%80%D0%B5%D1%87%D0%B8%20%D0%91%D0%94%D0%A2%20%D0%B2%20%D0%9C%D0%BE%D1%81%D0%BA%D0%B2%D0%B5%201966%20%D1%84%D0%B8%D0%BB%D1%8C%D0%BC","искать")</f>
        <v/>
      </c>
      <c r="N3937" s="3" t="n"/>
      <c r="O3937" s="2" t="n"/>
    </row>
    <row r="3938">
      <c r="A3938" s="2" t="n">
        <v>3937</v>
      </c>
      <c r="B3938" s="2" t="inlineStr"/>
      <c r="C3938" s="2" t="n">
        <v>9434</v>
      </c>
      <c r="D3938" s="3" t="inlineStr">
        <is>
          <t>Коршуны добычей не делятся</t>
        </is>
      </c>
      <c r="E3938" s="2" t="n">
        <v>1988</v>
      </c>
      <c r="F3938" s="2" t="inlineStr">
        <is>
          <t>кинофильм</t>
        </is>
      </c>
      <c r="G3938" s="2" t="n"/>
      <c r="H3938" s="2" t="n">
        <v>443</v>
      </c>
      <c r="I3938" s="2" t="inlineStr"/>
      <c r="J3938" s="2" t="inlineStr"/>
      <c r="K3938" s="3" t="inlineStr">
        <is>
          <t>Молдавская деревня конца сороковых годов. Андрей Бруме - комсомолец, студент университета и лейтенант МГБ - выполняет задание по борьбе с преступной бандой. Ситуация предельно драматичная. С одной стороны - ночные налеты банды Стратана, с другой - бесконечные официальные поборы, уважительно именуемые "государственным займом", когда председатель колхоза Мария Жосан, нащупывая курок револьвера, призывает трудяг откликнуться на призыв Родины.</t>
        </is>
      </c>
      <c r="L3938" s="2" t="inlineStr">
        <is>
          <t>Кино_СССР сводный каталог.xlsx: список фильмов (доп.)</t>
        </is>
      </c>
      <c r="M3938" s="2">
        <f>HYPERLINK("https://ru.wikipedia.org/w/index.php?search=%D0%9A%D0%BE%D1%80%D1%88%D1%83%D0%BD%D1%8B%20%D0%B4%D0%BE%D0%B1%D1%8B%D1%87%D0%B5%D0%B9%20%D0%BD%D0%B5%20%D0%B4%D0%B5%D0%BB%D1%8F%D1%82%D1%81%D1%8F%201988%20%D1%84%D0%B8%D0%BB%D1%8C%D0%BC","искать")</f>
        <v/>
      </c>
      <c r="N3938" s="3" t="n"/>
      <c r="O3938" s="2" t="n"/>
    </row>
    <row r="3939">
      <c r="A3939" s="2" t="n">
        <v>3938</v>
      </c>
      <c r="B3939" s="2" t="inlineStr"/>
      <c r="C3939" s="2" t="n">
        <v>8216</v>
      </c>
      <c r="D3939" s="3" t="inlineStr">
        <is>
          <t>Принцесса цирка</t>
        </is>
      </c>
      <c r="E3939" s="2" t="n">
        <v>1982</v>
      </c>
      <c r="F3939" s="2" t="inlineStr">
        <is>
          <t>телефильм</t>
        </is>
      </c>
      <c r="G3939" s="2" t="n"/>
      <c r="H3939" s="2" t="n">
        <v>444</v>
      </c>
      <c r="I3939" s="2" t="inlineStr"/>
      <c r="J3939" s="2" t="inlineStr"/>
      <c r="K3939" s="3" t="inlineStr">
        <is>
          <t>Телефильм по мотивам одноименной оперетты Имре Кальмана. Все в городе стремятся в цирк, чтобы посмотреть смертельный номер знаменитого мистера Икс. Приходит сюда и богатая вдова графа, ради расположения которой любой мужчина готов на всё. Кто добьётся любви красавицы? Таинственный мистер Икс, цирковой артист, ежедневно рискующий жизнью, или блестящий аристократ - интриган, домогающийся героини, готовый идти по головам ради достижения цели?.</t>
        </is>
      </c>
      <c r="L3939" s="2" t="inlineStr">
        <is>
          <t>Кино_СССР сводный каталог.xlsx: список телефильмов</t>
        </is>
      </c>
      <c r="M3939" s="2">
        <f>HYPERLINK("https://ru.wikipedia.org/w/index.php?search=%D0%9F%D1%80%D0%B8%D0%BD%D1%86%D0%B5%D1%81%D1%81%D0%B0%20%D1%86%D0%B8%D1%80%D0%BA%D0%B0%201982%20%D1%84%D0%B8%D0%BB%D1%8C%D0%BC","искать")</f>
        <v/>
      </c>
      <c r="N3939" s="3" t="n"/>
      <c r="O3939" s="2" t="n"/>
    </row>
    <row r="3940">
      <c r="A3940" s="2" t="n">
        <v>3939</v>
      </c>
      <c r="B3940" s="2" t="inlineStr"/>
      <c r="C3940" s="2" t="n">
        <v>9266</v>
      </c>
      <c r="D3940" s="3" t="inlineStr">
        <is>
          <t>Ваш выход, девочки...</t>
        </is>
      </c>
      <c r="E3940" s="2" t="n">
        <v>1991</v>
      </c>
      <c r="F3940" s="2" t="inlineStr">
        <is>
          <t>кинофильм</t>
        </is>
      </c>
      <c r="G3940" s="2" t="n"/>
      <c r="H3940" s="2" t="n">
        <v>445</v>
      </c>
      <c r="I3940" s="2" t="inlineStr"/>
      <c r="J3940" s="2" t="inlineStr"/>
      <c r="K3940" s="3" t="inlineStr">
        <is>
          <t>Манекенщица Нелли переживает обычные тяготы судьбы: полулюбовь, полуматеринство, полужизнь. Судьба ставит ей ловушку, и Нелли вынуждена принять твердое и однозначное решение. За Неллей наблюдает еще совсем молоденькая Света, которая пока только мечтает стать манекенщицей (ее играет Юлия Алексеева, манекенщица из Театра мод Валентина Юдашкина) и которой в этом рьяно помогает молодой и известный (что, как правило, не бывает) композитор Андрей.</t>
        </is>
      </c>
      <c r="L3940" s="2" t="inlineStr">
        <is>
          <t>Кино_СССР сводный каталог.xlsx: список фильмов (доп.)</t>
        </is>
      </c>
      <c r="M3940" s="2">
        <f>HYPERLINK("https://ru.wikipedia.org/w/index.php?search=%D0%92%D0%B0%D1%88%20%D0%B2%D1%8B%D1%85%D0%BE%D0%B4%2C%20%D0%B4%D0%B5%D0%B2%D0%BE%D1%87%D0%BA%D0%B8...%201991%20%D1%84%D0%B8%D0%BB%D1%8C%D0%BC","искать")</f>
        <v/>
      </c>
      <c r="N3940" s="3" t="n"/>
      <c r="O3940" s="2" t="n"/>
    </row>
    <row r="3941">
      <c r="A3941" s="2" t="n">
        <v>3940</v>
      </c>
      <c r="B3941" s="2" t="inlineStr"/>
      <c r="C3941" s="2" t="n">
        <v>10557</v>
      </c>
      <c r="D3941" s="3" t="inlineStr">
        <is>
          <t>Два клена</t>
        </is>
      </c>
      <c r="E3941" s="2" t="n">
        <v>1974</v>
      </c>
      <c r="F3941" s="2" t="inlineStr">
        <is>
          <t>фильм-спектакль</t>
        </is>
      </c>
      <c r="G3941" s="2" t="inlineStr">
        <is>
          <t>Ленинградское Телевидение</t>
        </is>
      </c>
      <c r="H3941" s="2" t="n">
        <v>446</v>
      </c>
      <c r="I3941" s="2" t="inlineStr"/>
      <c r="J3941" s="2" t="inlineStr"/>
      <c r="K3941" s="3" t="inlineStr">
        <is>
          <t>Телеспектакль, музыкальная сказка по одноименной пьесе Евгения Шварца.
Жил-был волшебник. И решил он однажды рассказать детям сказку. Есть в этой сказке и Баба-Яга, и Василиса Прекрасная и другие сказочные персонажи. Баба-Яга, конечно, злая и коварная: забрала она детей у Василисы. И пришлось Василисе наняться к Бабе-Яге батрачить, чтобы детей своих спасти. Ни за что бы не справиться ей с противной Ягой, если бы не помощь кота, собаки и мишки</t>
        </is>
      </c>
      <c r="L3941" s="2" t="inlineStr">
        <is>
          <t>https://www.kino-teatr.ru/teatr/movie/1631/annot/</t>
        </is>
      </c>
      <c r="M3941" s="2">
        <f>HYPERLINK("https://ru.wikipedia.org/w/index.php?search=%D0%94%D0%B2%D0%B0%20%D0%BA%D0%BB%D0%B5%D0%BD%D0%B0%201974%20%D1%84%D0%B8%D0%BB%D1%8C%D0%BC","искать")</f>
        <v/>
      </c>
      <c r="N3941" s="3" t="n"/>
      <c r="O3941" s="2" t="n"/>
    </row>
    <row r="3942">
      <c r="A3942" s="2" t="n">
        <v>3941</v>
      </c>
      <c r="B3942" s="2" t="inlineStr"/>
      <c r="C3942" s="2" t="n">
        <v>10692</v>
      </c>
      <c r="D3942" s="3" t="inlineStr">
        <is>
          <t>Кто есть кто?</t>
        </is>
      </c>
      <c r="E3942" s="2" t="n">
        <v>1977</v>
      </c>
      <c r="F3942" s="2" t="inlineStr">
        <is>
          <t>фильм-спектакль</t>
        </is>
      </c>
      <c r="G3942" s="2" t="inlineStr">
        <is>
          <t>Главная редакция литературно-драматических программ ЦТ</t>
        </is>
      </c>
      <c r="H3942" s="2" t="n">
        <v>446</v>
      </c>
      <c r="I3942" s="2" t="inlineStr"/>
      <c r="J3942" s="2" t="inlineStr"/>
      <c r="K3942" s="3" t="inlineStr">
        <is>
          <t>В день 40-летия доктора наук, директора НИИ Андрея Андреевича Щукина к нему в дом приходит некто Щагин и заявляет, что Щукин - это он, и все заслуги настоящего Щукина по праву принадлежат ему, потому что в роддоме их перепутали. Он доказывает Андрею Андреевичу, что все его достижения не результат таланта и способностей, а заботы папы-академика. В конце концов выясняется, что Щагин нашел не того Щукина, поскольку они родились в разных городах.</t>
        </is>
      </c>
      <c r="L3942" s="2" t="inlineStr">
        <is>
          <t>https://www.kino-teatr.ru/teatr/movie/80862/annot/</t>
        </is>
      </c>
      <c r="M3942" s="2">
        <f>HYPERLINK("https://ru.wikipedia.org/w/index.php?search=%D0%9A%D1%82%D0%BE%20%D0%B5%D1%81%D1%82%D1%8C%20%D0%BA%D1%82%D0%BE%3F%201977%20%D1%84%D0%B8%D0%BB%D1%8C%D0%BC","искать")</f>
        <v/>
      </c>
      <c r="N3942" s="3" t="n"/>
      <c r="O3942" s="2" t="n"/>
    </row>
    <row r="3943">
      <c r="A3943" s="2" t="n">
        <v>3942</v>
      </c>
      <c r="B3943" s="2" t="inlineStr"/>
      <c r="C3943" s="2" t="n">
        <v>9317</v>
      </c>
      <c r="D3943" s="3" t="inlineStr">
        <is>
          <t>Графиня</t>
        </is>
      </c>
      <c r="E3943" s="2" t="n">
        <v>1991</v>
      </c>
      <c r="F3943" s="2" t="inlineStr">
        <is>
          <t>кинофильм</t>
        </is>
      </c>
      <c r="G3943" s="2" t="inlineStr">
        <is>
          <t>ЛОГОС</t>
        </is>
      </c>
      <c r="H3943" s="2" t="n">
        <v>447</v>
      </c>
      <c r="I3943" s="2" t="inlineStr"/>
      <c r="J3943" s="2" t="inlineStr"/>
      <c r="K3943" s="3" t="inlineStr">
        <is>
          <t>Удивительная романтическая история происходит в русской усадьбе XVIII века, где в настоящее время располагается Дом Творчества союза писателей СССР под Новый год. Нина, немолодая, но все еще красивая женщина, поселяется со своими детьми в покоях Графини. Там же работает над новым романом молодой и талантливый писатель Никита Шувалов под покровительством маститого писателя, которому он продает свои рукописи и позволяет присваивать их авторство.</t>
        </is>
      </c>
      <c r="L3943" s="2" t="inlineStr">
        <is>
          <t>Кино_СССР сводный каталог.xlsx: список фильмов (доп.)</t>
        </is>
      </c>
      <c r="M3943" s="2">
        <f>HYPERLINK("https://ru.wikipedia.org/w/index.php?search=%D0%93%D1%80%D0%B0%D1%84%D0%B8%D0%BD%D1%8F%201991%20%D1%84%D0%B8%D0%BB%D1%8C%D0%BC","искать")</f>
        <v/>
      </c>
      <c r="N3943" s="3" t="n"/>
      <c r="O3943" s="2" t="n"/>
    </row>
    <row r="3944">
      <c r="A3944" s="2" t="n">
        <v>3943</v>
      </c>
      <c r="B3944" s="2" t="inlineStr"/>
      <c r="C3944" s="2" t="n">
        <v>7744</v>
      </c>
      <c r="D3944" s="3" t="inlineStr">
        <is>
          <t>Комбаты</t>
        </is>
      </c>
      <c r="E3944" s="2" t="n">
        <v>1983</v>
      </c>
      <c r="F3944" s="2" t="inlineStr">
        <is>
          <t>телефильм</t>
        </is>
      </c>
      <c r="G3944" s="2" t="n"/>
      <c r="H3944" s="2" t="n">
        <v>449</v>
      </c>
      <c r="I3944" s="2" t="inlineStr"/>
      <c r="J3944" s="2" t="inlineStr"/>
      <c r="K3944" s="3" t="inlineStr">
        <is>
          <t>Телефильм. В одной воинской части служат друзья - командиры танковых батальонов, майоры Олег Седов, Владимир Лихачев, Иван Зверко. Во время учений Седов принимает рискованное решение прорваться через болото. Его батальону удается первым занять высоту, но батальон Лихачева отстает от первого батальона всего лишь на десять минут, но при этом Лихачев, как всегда сохраняет осторожность и не соглашается на рискованное предложение пройти через болото.</t>
        </is>
      </c>
      <c r="L3944" s="2" t="inlineStr">
        <is>
          <t>Кино_СССР сводный каталог.xlsx: список телефильмов</t>
        </is>
      </c>
      <c r="M3944" s="2">
        <f>HYPERLINK("https://ru.wikipedia.org/w/index.php?search=%D0%9A%D0%BE%D0%BC%D0%B1%D0%B0%D1%82%D1%8B%201983%20%D1%84%D0%B8%D0%BB%D1%8C%D0%BC","искать")</f>
        <v/>
      </c>
      <c r="N3944" s="3" t="n"/>
      <c r="O3944" s="2" t="n"/>
    </row>
    <row r="3945">
      <c r="A3945" s="2" t="n">
        <v>3944</v>
      </c>
      <c r="B3945" s="2" t="inlineStr"/>
      <c r="C3945" s="2" t="n">
        <v>11182</v>
      </c>
      <c r="D3945" s="3" t="inlineStr">
        <is>
          <t>Победительница</t>
        </is>
      </c>
      <c r="E3945" s="2" t="n">
        <v>1987</v>
      </c>
      <c r="F3945" s="2" t="inlineStr">
        <is>
          <t>фильм-спектакль</t>
        </is>
      </c>
      <c r="G3945" s="2" t="inlineStr">
        <is>
          <t>Рижская киностудия</t>
        </is>
      </c>
      <c r="H3945" s="2" t="n">
        <v>449</v>
      </c>
      <c r="I3945" s="2" t="inlineStr"/>
      <c r="J3945" s="2" t="inlineStr"/>
      <c r="K3945" s="3" t="inlineStr">
        <is>
          <t>По одноименной пьесе Алексея Арбузова в постановке Государственного театра юного зрителя Латвийской ССР.
День сорокалетия Майи Александровны Алейниковой стал для нее днем подведения итогов. Вглядываясь в прошлое, она понимает, что прожила жизнь, в которой все было подчинено одной цели - любой ценой добиться высокого общественного положения. Перед судом своей собственной совести она осознает, что все победы обернулись в конечном счете поражением.</t>
        </is>
      </c>
      <c r="L3945" s="2" t="inlineStr">
        <is>
          <t>https://www.kino-teatr.ru/teatr/movie/81144/annot/</t>
        </is>
      </c>
      <c r="M3945" s="2">
        <f>HYPERLINK("https://ru.wikipedia.org/w/index.php?search=%D0%9F%D0%BE%D0%B1%D0%B5%D0%B4%D0%B8%D1%82%D0%B5%D0%BB%D1%8C%D0%BD%D0%B8%D1%86%D0%B0%201987%20%D1%84%D0%B8%D0%BB%D1%8C%D0%BC","искать")</f>
        <v/>
      </c>
      <c r="N3945" s="3" t="n"/>
      <c r="O3945" s="2" t="n"/>
    </row>
    <row r="3946">
      <c r="A3946" s="2" t="n">
        <v>3945</v>
      </c>
      <c r="B3946" s="2" t="inlineStr"/>
      <c r="C3946" s="2" t="n">
        <v>9350</v>
      </c>
      <c r="D3946" s="3" t="inlineStr">
        <is>
          <t>Дураки умирают по пятницам</t>
        </is>
      </c>
      <c r="E3946" s="2" t="n">
        <v>1990</v>
      </c>
      <c r="F3946" s="2" t="inlineStr">
        <is>
          <t>кинофильм</t>
        </is>
      </c>
      <c r="G3946" s="2" t="n"/>
      <c r="H3946" s="2" t="n">
        <v>450</v>
      </c>
      <c r="I3946" s="2" t="inlineStr"/>
      <c r="J3946" s="2" t="inlineStr"/>
      <c r="K3946" s="3" t="inlineStr">
        <is>
          <t>Офицер милиции Андрей выходит из тюрьмы, где провел три года, осужденный по ложному обвинению. Придя в гости к старому другу, он неожиданно натыкается на его труп. Приходится вновь спасаться от милиции. События нарастают стремительно. Андрей понимает, что за ним идет настоящая охота. Кому опять понадобилась его жизнь и свобода? На этот вопрос не может ответить ни его друг, майор милиции, ни Яна - внезапно ворвавшаяся в его жизнь любовь и надежда.</t>
        </is>
      </c>
      <c r="L3946" s="2" t="inlineStr">
        <is>
          <t>Кино_СССР сводный каталог.xlsx: список фильмов (доп.)</t>
        </is>
      </c>
      <c r="M3946" s="2">
        <f>HYPERLINK("https://ru.wikipedia.org/w/index.php?search=%D0%94%D1%83%D1%80%D0%B0%D0%BA%D0%B8%20%D1%83%D0%BC%D0%B8%D1%80%D0%B0%D1%8E%D1%82%20%D0%BF%D0%BE%20%D0%BF%D1%8F%D1%82%D0%BD%D0%B8%D1%86%D0%B0%D0%BC%201990%20%D1%84%D0%B8%D0%BB%D1%8C%D0%BC","искать")</f>
        <v/>
      </c>
      <c r="N3946" s="3" t="n"/>
      <c r="O3946" s="2" t="n"/>
    </row>
    <row r="3947">
      <c r="A3947" s="2" t="n">
        <v>3946</v>
      </c>
      <c r="B3947" s="2" t="inlineStr"/>
      <c r="C3947" s="2" t="n">
        <v>10649</v>
      </c>
      <c r="D3947" s="3" t="inlineStr">
        <is>
          <t>Как король хотел достать луну и что из этого получилось</t>
        </is>
      </c>
      <c r="E3947" s="2" t="n">
        <v>1976</v>
      </c>
      <c r="F3947" s="2" t="inlineStr">
        <is>
          <t>фильм-спектакль</t>
        </is>
      </c>
      <c r="G3947" s="2" t="inlineStr">
        <is>
          <t>Эстонской телевидение</t>
        </is>
      </c>
      <c r="H3947" s="2" t="n">
        <v>450</v>
      </c>
      <c r="I3947" s="2" t="inlineStr"/>
      <c r="J3947" s="2" t="inlineStr"/>
      <c r="K3947" s="3" t="inlineStr">
        <is>
          <t>В королевстве был глупый король, он хочет на Луну. Король так сильно хочет этого, и для этого он приглашает к себе майора, который, в свою очередь, просит плотника построить башню с винтовой лестницей, ведущей на Луну. Молитва короля не из легких, и поэтому он обращается к кузнецу, который решает отправить короля на Луну с пушечным ядром! Однако эта идея не совсем хороша, и находчивая компания строит башню из ящиков, которая может достигать Луны.</t>
        </is>
      </c>
      <c r="L3947" s="2" t="inlineStr">
        <is>
          <t>https://www.kino-teatr.ru/teatr/movie/86551/annot/</t>
        </is>
      </c>
      <c r="M3947" s="2">
        <f>HYPERLINK("https://ru.wikipedia.org/w/index.php?search=%D0%9A%D0%B0%D0%BA%20%D0%BA%D0%BE%D1%80%D0%BE%D0%BB%D1%8C%20%D1%85%D0%BE%D1%82%D0%B5%D0%BB%20%D0%B4%D0%BE%D1%81%D1%82%D0%B0%D1%82%D1%8C%20%D0%BB%D1%83%D0%BD%D1%83%20%D0%B8%20%D1%87%D1%82%D0%BE%20%D0%B8%D0%B7%20%D1%8D%D1%82%D0%BE%D0%B3%D0%BE%20%D0%BF%D0%BE%D0%BB%D1%83%D1%87%D0%B8%D0%BB%D0%BE%D1%81%D1%8C%201976%20%D1%84%D0%B8%D0%BB%D1%8C%D0%BC","искать")</f>
        <v/>
      </c>
      <c r="N3947" s="3" t="n"/>
      <c r="O3947" s="2" t="n"/>
    </row>
    <row r="3948">
      <c r="A3948" s="2" t="n">
        <v>3947</v>
      </c>
      <c r="B3948" s="2" t="inlineStr"/>
      <c r="C3948" s="2" t="n">
        <v>7949</v>
      </c>
      <c r="D3948" s="3" t="inlineStr">
        <is>
          <t>Нарвский водопад</t>
        </is>
      </c>
      <c r="E3948" s="2" t="n">
        <v>1988</v>
      </c>
      <c r="F3948" s="2" t="inlineStr">
        <is>
          <t>телефильм</t>
        </is>
      </c>
      <c r="G3948" s="2" t="n"/>
      <c r="H3948" s="2" t="n">
        <v>451</v>
      </c>
      <c r="I3948" s="2" t="inlineStr"/>
      <c r="J3948" s="2" t="inlineStr"/>
      <c r="K3948" s="3" t="inlineStr">
        <is>
          <t>Фильм снят по мотивам одноименного романа эстонского писателя Владимира Бээкмана (1929-2009). Главная героиня фильма Сийна вспоминает свою молодость и первую любовь, которая совпала с трагическими событиями в Эстонии, в первый год ее независимости после распада Российской империи. Рассказ разворачивается на фоне исторического и политического острого периода 1918 года после заключения Брестского мирного договора между Советской Россией и Германией.</t>
        </is>
      </c>
      <c r="L3948" s="2" t="inlineStr">
        <is>
          <t>Кино_СССР сводный каталог.xlsx: список телефильмов</t>
        </is>
      </c>
      <c r="M3948" s="2">
        <f>HYPERLINK("https://ru.wikipedia.org/w/index.php?search=%D0%9D%D0%B0%D1%80%D0%B2%D1%81%D0%BA%D0%B8%D0%B9%20%D0%B2%D0%BE%D0%B4%D0%BE%D0%BF%D0%B0%D0%B4%201988%20%D1%84%D0%B8%D0%BB%D1%8C%D0%BC","искать")</f>
        <v/>
      </c>
      <c r="N3948" s="3" t="n"/>
      <c r="O3948" s="2" t="n"/>
    </row>
    <row r="3949">
      <c r="A3949" s="2" t="n">
        <v>3948</v>
      </c>
      <c r="B3949" s="2" t="inlineStr"/>
      <c r="C3949" s="2" t="n">
        <v>7693</v>
      </c>
      <c r="D3949" s="3" t="inlineStr">
        <is>
          <t>К кому залетел певчий кенар</t>
        </is>
      </c>
      <c r="E3949" s="2" t="n">
        <v>1980</v>
      </c>
      <c r="F3949" s="2" t="inlineStr">
        <is>
          <t>телефильм</t>
        </is>
      </c>
      <c r="G3949" s="2" t="n"/>
      <c r="H3949" s="2" t="n">
        <v>452</v>
      </c>
      <c r="I3949" s="2" t="inlineStr"/>
      <c r="J3949" s="2" t="inlineStr"/>
      <c r="K3949" s="3" t="inlineStr">
        <is>
          <t>Киноповесть о молодежи, стоящей в самом начале жизненного пути. Главный герой Володя недавно закончил ленинградскую школу, но провалил вступительные экзамены в институт. Теперь он работает на заводе над созданием искусственной почки, вопреки желанию родителей, мечтавших о его учебе в институте. Только попав на испытания опытного образца в больницу, он осознает всю важность своей работы, здесь-то он и находит верных друзей и свое истинное призвание.</t>
        </is>
      </c>
      <c r="L3949" s="2" t="inlineStr">
        <is>
          <t>Кино_СССР сводный каталог.xlsx: список телефильмов</t>
        </is>
      </c>
      <c r="M3949" s="2">
        <f>HYPERLINK("https://ru.wikipedia.org/w/index.php?search=%D0%9A%20%D0%BA%D0%BE%D0%BC%D1%83%20%D0%B7%D0%B0%D0%BB%D0%B5%D1%82%D0%B5%D0%BB%20%D0%BF%D0%B5%D0%B2%D1%87%D0%B8%D0%B9%20%D0%BA%D0%B5%D0%BD%D0%B0%D1%80%201980%20%D1%84%D0%B8%D0%BB%D1%8C%D0%BC","искать")</f>
        <v/>
      </c>
      <c r="N3949" s="3" t="n"/>
      <c r="O3949" s="2" t="n"/>
    </row>
    <row r="3950">
      <c r="A3950" s="2" t="n">
        <v>3949</v>
      </c>
      <c r="B3950" s="2" t="inlineStr"/>
      <c r="C3950" s="2" t="n">
        <v>10102</v>
      </c>
      <c r="D3950" s="3" t="inlineStr">
        <is>
          <t>Седьмой спутник</t>
        </is>
      </c>
      <c r="E3950" s="2" t="n">
        <v>1962</v>
      </c>
      <c r="F3950" s="2" t="inlineStr">
        <is>
          <t>фильм-спектакль</t>
        </is>
      </c>
      <c r="G3950" s="2" t="inlineStr">
        <is>
          <t>Гл. ред. лит.-драм. программ</t>
        </is>
      </c>
      <c r="H3950" s="2" t="n">
        <v>452</v>
      </c>
      <c r="I3950" s="2" t="inlineStr"/>
      <c r="J3950" s="2" t="inlineStr"/>
      <c r="K3950" s="3" t="inlineStr">
        <is>
          <t>По одноименной повести Б.Лавренева.
Передовой русский интеллигент Евгений Павлович Адамов еще в 1905 году, будучи военным прокурором Севастополя, отказался поддерживать обвинение в суде против революционеров. Однако в первые месяцы советской власти он не до конца принял революцию и находился в роли пассивного наблюдателя. Осознав свой долг перед народом, Адамов сражается против контрреволюции и погибает в рядах защитников революционного Петрограда.</t>
        </is>
      </c>
      <c r="L3950" s="2" t="inlineStr">
        <is>
          <t>https://www.kino-teatr.ru/teatr/movie/80895/annot/</t>
        </is>
      </c>
      <c r="M3950" s="2">
        <f>HYPERLINK("https://ru.wikipedia.org/w/index.php?search=%D0%A1%D0%B5%D0%B4%D1%8C%D0%BC%D0%BE%D0%B9%20%D1%81%D0%BF%D1%83%D1%82%D0%BD%D0%B8%D0%BA%201962%20%D1%84%D0%B8%D0%BB%D1%8C%D0%BC","искать")</f>
        <v/>
      </c>
      <c r="N3950" s="3" t="n"/>
      <c r="O3950" s="2" t="n"/>
    </row>
    <row r="3951">
      <c r="A3951" s="2" t="n">
        <v>3950</v>
      </c>
      <c r="B3951" s="2" t="inlineStr"/>
      <c r="C3951" s="2" t="n">
        <v>10602</v>
      </c>
      <c r="D3951" s="3" t="inlineStr">
        <is>
          <t>Возвращение</t>
        </is>
      </c>
      <c r="E3951" s="2" t="n">
        <v>1975</v>
      </c>
      <c r="F3951" s="2" t="inlineStr">
        <is>
          <t>фильм-спектакль</t>
        </is>
      </c>
      <c r="G3951" s="2" t="n"/>
      <c r="H3951" s="2" t="n">
        <v>453</v>
      </c>
      <c r="I3951" s="2" t="inlineStr"/>
      <c r="J3951" s="2" t="inlineStr"/>
      <c r="K3951" s="3" t="inlineStr">
        <is>
          <t>Спектакль по повести И.С.Тургенева "Два приятеля".
О двух приятелях, живущих в одной из губерний средней полосы России. Петр Васильич решает женить своего молодого друга Бориса Андреича. Они посещают с визитом одну вдовушку, двух сестер-барышень на выданье и семейство Барсуковых, состоящее из отца и дочери Верочки 19 лет от роду. Вскоре Борис Андреич женится на Верочке, но через некоторое время, заскучав, уезжает за границу, где и погибает на дуэли.</t>
        </is>
      </c>
      <c r="L3951" s="2" t="inlineStr">
        <is>
          <t>https://www.kino-teatr.ru/teatr/movie/15842/annot/</t>
        </is>
      </c>
      <c r="M3951" s="2">
        <f>HYPERLINK("https://ru.wikipedia.org/w/index.php?search=%D0%92%D0%BE%D0%B7%D0%B2%D1%80%D0%B0%D1%89%D0%B5%D0%BD%D0%B8%D0%B5%201975%20%D1%84%D0%B8%D0%BB%D1%8C%D0%BC","искать")</f>
        <v/>
      </c>
      <c r="N3951" s="3" t="n"/>
      <c r="O3951" s="2" t="n"/>
    </row>
    <row r="3952">
      <c r="A3952" s="2" t="n">
        <v>3951</v>
      </c>
      <c r="B3952" s="2" t="inlineStr"/>
      <c r="C3952" s="2" t="n">
        <v>10621</v>
      </c>
      <c r="D3952" s="3" t="inlineStr">
        <is>
          <t>Продавец дождя</t>
        </is>
      </c>
      <c r="E3952" s="2" t="n">
        <v>1975</v>
      </c>
      <c r="F3952" s="2" t="inlineStr">
        <is>
          <t>фильм-спектакль</t>
        </is>
      </c>
      <c r="G3952" s="2" t="inlineStr">
        <is>
          <t>Экран (Останкино)</t>
        </is>
      </c>
      <c r="H3952" s="2" t="n">
        <v>453</v>
      </c>
      <c r="I3952" s="2" t="inlineStr"/>
      <c r="J3952" s="2" t="inlineStr"/>
      <c r="K3952" s="3" t="inlineStr">
        <is>
          <t>По пьесе Ричарда Нэша.
В основе - спектакль Московского драматического театра им. Станиславского (постановщик Л.Варпаховский).
Бил Старбак возрождает в людях утраченные надежды. Он приходит к ним в пору засухи и продает дождь, то есть обещание вызвать дождь. Он ставит одно условие - надо верить в чудо. Бил заставляет Лиззи, дочь фермера, поверить в то, что она достойна любви. Дождь действительно пошел, а любимый мужчина Лиззи ответил ей взаимностью.</t>
        </is>
      </c>
      <c r="L3952" s="2" t="inlineStr">
        <is>
          <t>https://www.kino-teatr.ru/teatr/movie/5737/annot/</t>
        </is>
      </c>
      <c r="M3952" s="2">
        <f>HYPERLINK("https://ru.wikipedia.org/w/index.php?search=%D0%9F%D1%80%D0%BE%D0%B4%D0%B0%D0%B2%D0%B5%D1%86%20%D0%B4%D0%BE%D0%B6%D0%B4%D1%8F%201975%20%D1%84%D0%B8%D0%BB%D1%8C%D0%BC","искать")</f>
        <v/>
      </c>
      <c r="N3952" s="3" t="n"/>
      <c r="O3952" s="2" t="n"/>
    </row>
    <row r="3953">
      <c r="A3953" s="2" t="n">
        <v>3952</v>
      </c>
      <c r="B3953" s="2" t="inlineStr"/>
      <c r="C3953" s="2" t="n">
        <v>10699</v>
      </c>
      <c r="D3953" s="3" t="inlineStr">
        <is>
          <t>Мещанин во дворянстве</t>
        </is>
      </c>
      <c r="E3953" s="2" t="n">
        <v>1977</v>
      </c>
      <c r="F3953" s="2" t="inlineStr">
        <is>
          <t>фильм-спектакль</t>
        </is>
      </c>
      <c r="G3953" s="2" t="inlineStr">
        <is>
          <t>Гостелерадио</t>
        </is>
      </c>
      <c r="H3953" s="2" t="n">
        <v>453</v>
      </c>
      <c r="I3953" s="2" t="inlineStr"/>
      <c r="J3953" s="2" t="inlineStr"/>
      <c r="K3953" s="3" t="inlineStr">
        <is>
          <t>Запись спектакля Театра им. Евг. Вахтангова по пьесе Ж.-Б. Мольера.
Мещанин во дворянстве - блестящая, искрометная комедия классика французской литературы Жана Батиста Мольера. Попытки необразованного, невежественного, неотесанного мужлана с большими деньгами выглядеть как благородный дворянин не могут не вызывать смех. Главный герой то и дело попадает в нелепые ситуации, а окружающие не упускают возможности воспользоваться его манией себе во благо.</t>
        </is>
      </c>
      <c r="L3953" s="2" t="inlineStr">
        <is>
          <t>https://www.kino-teatr.ru/teatr/movie/80186/annot/</t>
        </is>
      </c>
      <c r="M3953" s="2">
        <f>HYPERLINK("https://ru.wikipedia.org/w/index.php?search=%D0%9C%D0%B5%D1%89%D0%B0%D0%BD%D0%B8%D0%BD%20%D0%B2%D0%BE%20%D0%B4%D0%B2%D0%BE%D1%80%D1%8F%D0%BD%D1%81%D1%82%D0%B2%D0%B5%201977%20%D1%84%D0%B8%D0%BB%D1%8C%D0%BC","искать")</f>
        <v/>
      </c>
      <c r="N3953" s="3" t="n"/>
      <c r="O3953" s="2" t="n"/>
    </row>
    <row r="3954">
      <c r="A3954" s="2" t="n">
        <v>3953</v>
      </c>
      <c r="B3954" s="2" t="inlineStr"/>
      <c r="C3954" s="2" t="n">
        <v>11163</v>
      </c>
      <c r="D3954" s="3" t="inlineStr">
        <is>
          <t>Костюмер</t>
        </is>
      </c>
      <c r="E3954" s="2" t="n">
        <v>1987</v>
      </c>
      <c r="F3954" s="2" t="inlineStr">
        <is>
          <t>фильм-спектакль</t>
        </is>
      </c>
      <c r="G3954" s="2" t="inlineStr">
        <is>
          <t>Главная редакция литературно-драматических программ ЦТ</t>
        </is>
      </c>
      <c r="H3954" s="2" t="n">
        <v>453</v>
      </c>
      <c r="I3954" s="2" t="inlineStr"/>
      <c r="J3954" s="2" t="inlineStr"/>
      <c r="K3954" s="3" t="inlineStr">
        <is>
          <t>По одноименной пьесе Р.Харвуда в постановке Московского театра имени М.Н.Ермоловой.
Костюмер Норман 20 лет верой и правдой служит своему хозяину - актеру сэру Джону. Каждый вечер он гримирует сэра Джона, повторяет с ним роль и помогает выйти на сцену. Старый актер поверяет костюмеру тайну - он пишет книгу о своей жизни в театре. Неожиданно сэр Джон умирает. Норман в отчаянии: человек, которому он был так предан, даже не упомянул о нем в своей книге.</t>
        </is>
      </c>
      <c r="L3954" s="2" t="inlineStr">
        <is>
          <t>https://www.kino-teatr.ru/teatr/movie/15080/annot/</t>
        </is>
      </c>
      <c r="M3954" s="2">
        <f>HYPERLINK("https://ru.wikipedia.org/w/index.php?search=%D0%9A%D0%BE%D1%81%D1%82%D1%8E%D0%BC%D0%B5%D1%80%201987%20%D1%84%D0%B8%D0%BB%D1%8C%D0%BC","искать")</f>
        <v/>
      </c>
      <c r="N3954" s="3" t="n"/>
      <c r="O3954" s="2" t="n"/>
    </row>
    <row r="3955">
      <c r="A3955" s="2" t="n">
        <v>3954</v>
      </c>
      <c r="B3955" s="2" t="inlineStr"/>
      <c r="C3955" s="2" t="n">
        <v>8148</v>
      </c>
      <c r="D3955" s="3" t="inlineStr">
        <is>
          <t>Поздний ребёнок</t>
        </is>
      </c>
      <c r="E3955" s="2" t="n">
        <v>1970</v>
      </c>
      <c r="F3955" s="2" t="inlineStr">
        <is>
          <t>телефильм</t>
        </is>
      </c>
      <c r="G3955" s="2" t="inlineStr">
        <is>
          <t>к/с им. Довженко</t>
        </is>
      </c>
      <c r="H3955" s="2" t="n">
        <v>454</v>
      </c>
      <c r="I3955" s="2" t="inlineStr"/>
      <c r="J3955" s="2" t="inlineStr"/>
      <c r="K3955" s="3" t="inlineStr">
        <is>
          <t>Телефильм. Автор повести "Поздний ребенок"(1968) - Анатолий Алексин. Рассказ ведется от имени мальчика Лёни - позднего ребенка. Счастливая семья, где второго ребенка ждали 16 лет. "Ранние дети появляются быстро, сами собой, как отметки в дневнике, если ты пошел в школу". Сестра Лёни, архитектор Людмила, собралась со своим женихом Иваном в командировку на полгода, а с отцом (Василий Меркурьев), этим неунывающим весельчаком, балагуром случился инфаркт.</t>
        </is>
      </c>
      <c r="L3955" s="2" t="inlineStr">
        <is>
          <t>Кино_СССР сводный каталог.xlsx: список телефильмов</t>
        </is>
      </c>
      <c r="M3955" s="2">
        <f>HYPERLINK("https://ru.wikipedia.org/w/index.php?search=%D0%9F%D0%BE%D0%B7%D0%B4%D0%BD%D0%B8%D0%B9%20%D1%80%D0%B5%D0%B1%D1%91%D0%BD%D0%BE%D0%BA%201970%20%D1%84%D0%B8%D0%BB%D1%8C%D0%BC","искать")</f>
        <v/>
      </c>
      <c r="N3955" s="3" t="n"/>
      <c r="O3955" s="2" t="n"/>
    </row>
    <row r="3956">
      <c r="A3956" s="2" t="n">
        <v>3955</v>
      </c>
      <c r="B3956" s="2" t="inlineStr"/>
      <c r="C3956" s="2" t="n">
        <v>10875</v>
      </c>
      <c r="D3956" s="3" t="inlineStr">
        <is>
          <t>Безобразная Эльза</t>
        </is>
      </c>
      <c r="E3956" s="2" t="n">
        <v>1981</v>
      </c>
      <c r="F3956" s="2" t="inlineStr">
        <is>
          <t>фильм-спектакль</t>
        </is>
      </c>
      <c r="G3956" s="2" t="inlineStr">
        <is>
          <t>Центральное телевидение</t>
        </is>
      </c>
      <c r="H3956" s="2" t="n">
        <v>454</v>
      </c>
      <c r="I3956" s="2" t="inlineStr"/>
      <c r="J3956" s="2" t="inlineStr"/>
      <c r="K3956" s="3" t="inlineStr">
        <is>
          <t>По пьесе финского драматурга Энсио Рислакки.
Постановка Московского театра им. Моссовета.
У профессорской вдовы Виви Кассель - три дочери: хорошенькие Ирма и Паула и малопривлекательная, но умная, острая на язык Эльза, которую унижает снисходительное отношение сестер и матери. Она решает доказать, что быть женщиной гораздо проще, чем личностью. Посетив косметический салон, она влюбляет в себя не только женихов сестер, но и претендента на руку матери.</t>
        </is>
      </c>
      <c r="L3956" s="2" t="inlineStr">
        <is>
          <t>https://www.kino-teatr.ru/teatr/movie/448/annot/</t>
        </is>
      </c>
      <c r="M3956" s="2">
        <f>HYPERLINK("https://ru.wikipedia.org/w/index.php?search=%D0%91%D0%B5%D0%B7%D0%BE%D0%B1%D1%80%D0%B0%D0%B7%D0%BD%D0%B0%D1%8F%20%D0%AD%D0%BB%D1%8C%D0%B7%D0%B0%201981%20%D1%84%D0%B8%D0%BB%D1%8C%D0%BC","искать")</f>
        <v/>
      </c>
      <c r="N3956" s="3" t="n"/>
      <c r="O3956" s="2" t="n"/>
    </row>
    <row r="3957">
      <c r="A3957" s="2" t="n">
        <v>3956</v>
      </c>
      <c r="B3957" s="2" t="inlineStr"/>
      <c r="C3957" s="2" t="n">
        <v>7225</v>
      </c>
      <c r="D3957" s="3" t="inlineStr">
        <is>
          <t>Атланты и кариатиды</t>
        </is>
      </c>
      <c r="E3957" s="2" t="n">
        <v>1980</v>
      </c>
      <c r="F3957" s="2" t="inlineStr">
        <is>
          <t>телефильм</t>
        </is>
      </c>
      <c r="G3957" s="2" t="n"/>
      <c r="H3957" s="2" t="n">
        <v>455</v>
      </c>
      <c r="I3957" s="2" t="inlineStr"/>
      <c r="J3957" s="2" t="inlineStr"/>
      <c r="K3957" s="3" t="inlineStr">
        <is>
          <t>По одноименному роману Ивана Шамякина. Главный архитектор города Максим Карнач переживает трудный период в своей личной жизни и карьере. Долгие годы непонимания, упреков и семейных скандалов заставили его принять горькое, но твердое решение: подать на развод со своей красавицей-женой Дашей. Друзья и сослуживцы Карнача не подозревают, что происходит у него в семье, поэтому им непонятен и другой его поступок: самоотвод своей кандидатуры в горком партии.</t>
        </is>
      </c>
      <c r="L3957" s="2" t="inlineStr">
        <is>
          <t>Кино_СССР сводный каталог.xlsx: список телефильмов</t>
        </is>
      </c>
      <c r="M3957" s="2">
        <f>HYPERLINK("https://ru.wikipedia.org/w/index.php?search=%D0%90%D1%82%D0%BB%D0%B0%D0%BD%D1%82%D1%8B%20%D0%B8%20%D0%BA%D0%B0%D1%80%D0%B8%D0%B0%D1%82%D0%B8%D0%B4%D1%8B%201980%20%D1%84%D0%B8%D0%BB%D1%8C%D0%BC","искать")</f>
        <v/>
      </c>
      <c r="N3957" s="3" t="n"/>
      <c r="O3957" s="2" t="n"/>
    </row>
    <row r="3958">
      <c r="A3958" s="2" t="n">
        <v>3957</v>
      </c>
      <c r="B3958" s="2" t="inlineStr"/>
      <c r="C3958" s="2" t="n">
        <v>7482</v>
      </c>
      <c r="D3958" s="3" t="inlineStr">
        <is>
          <t>Двери</t>
        </is>
      </c>
      <c r="E3958" s="2" t="n">
        <v>1969</v>
      </c>
      <c r="F3958" s="2" t="inlineStr">
        <is>
          <t>телефильм</t>
        </is>
      </c>
      <c r="G3958" s="2" t="n"/>
      <c r="H3958" s="2" t="n">
        <v>455</v>
      </c>
      <c r="I3958" s="2" t="inlineStr"/>
      <c r="J3958" s="2" t="inlineStr"/>
      <c r="K3958" s="3" t="inlineStr">
        <is>
          <t>Концертная программа, состоящая из трех частей, стильная и позволяет познакомиться с лучшей эстонской современной легкой музыкой в ​​трех аспектах: 1) современная обработка народных мелодий, 2) популярная эстрадная песня, 3) современный джаз. Авторы нашли воображаемый сюжет для соединения трех частей концерта и отдельных номеров, изображающих небольшие концерты, гармонирующее со стилем народное творчество и выставку современного прикладного искусства.</t>
        </is>
      </c>
      <c r="L3958" s="2" t="inlineStr">
        <is>
          <t>Кино_СССР сводный каталог.xlsx: список телефильмов</t>
        </is>
      </c>
      <c r="M3958" s="2">
        <f>HYPERLINK("https://ru.wikipedia.org/w/index.php?search=%D0%94%D0%B2%D0%B5%D1%80%D0%B8%201969%20%D1%84%D0%B8%D0%BB%D1%8C%D0%BC","искать")</f>
        <v/>
      </c>
      <c r="N3958" s="3" t="n"/>
      <c r="O3958" s="2" t="n"/>
    </row>
    <row r="3959">
      <c r="A3959" s="2" t="n">
        <v>3958</v>
      </c>
      <c r="B3959" s="2" t="inlineStr"/>
      <c r="C3959" s="2" t="n">
        <v>11166</v>
      </c>
      <c r="D3959" s="3" t="inlineStr">
        <is>
          <t>Кукарача</t>
        </is>
      </c>
      <c r="E3959" s="2" t="n">
        <v>1987</v>
      </c>
      <c r="F3959" s="2" t="inlineStr">
        <is>
          <t>фильм-спектакль</t>
        </is>
      </c>
      <c r="G3959" s="2" t="inlineStr">
        <is>
          <t>Главная редакция литературно-драматических программ ЦТ</t>
        </is>
      </c>
      <c r="H3959" s="2" t="n">
        <v>455</v>
      </c>
      <c r="I3959" s="2" t="inlineStr"/>
      <c r="J3959" s="2" t="inlineStr"/>
      <c r="K3959" s="3" t="inlineStr">
        <is>
          <t>По одноименной повести Н.Думбазе в постановке Грузинского государственного театра юного зрителя.
Действие происходит в довоенном Тбилиси. Бродячая труппа актеров разыгрывает спектакль о милиционере по прозвищу Кукарача, аптекарше Инге и бандите Муртальо. Во имя любви к Инге, нарушив свой служебный долг, Кукарача отпускает задержанного бандита. За это он расплачивается жизнью - Муртальо убивает его. А Инга, преодолев страх, разоблачает Муртальо в суде.</t>
        </is>
      </c>
      <c r="L3959" s="2" t="inlineStr">
        <is>
          <t>https://www.kino-teatr.ru/teatr/movie/81354/annot/</t>
        </is>
      </c>
      <c r="M3959" s="2">
        <f>HYPERLINK("https://ru.wikipedia.org/w/index.php?search=%D0%9A%D1%83%D0%BA%D0%B0%D1%80%D0%B0%D1%87%D0%B0%201987%20%D1%84%D0%B8%D0%BB%D1%8C%D0%BC","искать")</f>
        <v/>
      </c>
      <c r="N3959" s="3" t="n"/>
      <c r="O3959" s="2" t="n"/>
    </row>
    <row r="3960">
      <c r="A3960" s="2" t="n">
        <v>3959</v>
      </c>
      <c r="B3960" s="2" t="inlineStr"/>
      <c r="C3960" s="2" t="n">
        <v>7180</v>
      </c>
      <c r="D3960" s="3" t="inlineStr">
        <is>
          <t>12 стульев</t>
        </is>
      </c>
      <c r="E3960" s="2" t="n">
        <v>1976</v>
      </c>
      <c r="F3960" s="2" t="inlineStr">
        <is>
          <t>телефильм</t>
        </is>
      </c>
      <c r="G3960" s="2" t="n"/>
      <c r="H3960" s="2" t="n">
        <v>458</v>
      </c>
      <c r="I3960" s="2" t="inlineStr"/>
      <c r="J3960" s="2" t="inlineStr"/>
      <c r="K3960" s="3" t="inlineStr">
        <is>
          <t>Замечательная экранизация бессмертной книги Ильфа и Петрова поставлена в жанре мюзикла. Андрей Миронов и Анатолий Папанов, казалось, самим Богом были предназначены, чтобы сыграть парочку авантюристов - охотников за стульями работы мастера Гамбса. А режиссер Марк Захаров, поставивший это ироничное и смешное представление, куда больше похожее на театральный спектакль, чем на фильм, позаботился окружить главных героев целым созвездием замечательных актеров.</t>
        </is>
      </c>
      <c r="L3960" s="2" t="inlineStr">
        <is>
          <t>Кино_СССР сводный каталог.xlsx: список телефильмов</t>
        </is>
      </c>
      <c r="M3960" s="2">
        <f>HYPERLINK("https://ru.wikipedia.org/w/index.php?search=12%20%D1%81%D1%82%D1%83%D0%BB%D1%8C%D0%B5%D0%B2%201976%20%D1%84%D0%B8%D0%BB%D1%8C%D0%BC","искать")</f>
        <v/>
      </c>
      <c r="N3960" s="3" t="n"/>
      <c r="O3960" s="2" t="n"/>
    </row>
    <row r="3961">
      <c r="A3961" s="2" t="n">
        <v>3960</v>
      </c>
      <c r="B3961" s="2" t="inlineStr"/>
      <c r="C3961" s="2" t="n">
        <v>11150</v>
      </c>
      <c r="D3961" s="3" t="inlineStr">
        <is>
          <t>Дни портных в Силмачах</t>
        </is>
      </c>
      <c r="E3961" s="2" t="n">
        <v>1987</v>
      </c>
      <c r="F3961" s="2" t="inlineStr">
        <is>
          <t>фильм-спектакль</t>
        </is>
      </c>
      <c r="G3961" s="2" t="n"/>
      <c r="H3961" s="2" t="n">
        <v>458</v>
      </c>
      <c r="I3961" s="2" t="inlineStr"/>
      <c r="J3961" s="2" t="inlineStr"/>
      <c r="K3961" s="3" t="inlineStr">
        <is>
          <t>Спектакль Латвийского театра им. Упита по пьесе Р.Блауманиса.
Антония Янош, владелица Силмачей, собирается выйти замуж за Алексиса. За неделю до свадьбы дома много чего надо сделать. Чтобы подготовить свадебные платья, приезжает портной Дударс со своим учеником Рудисом и швеёй Зарой. За ними также вслед приезжают купцы Абрам и его сын Иоске. Бебену также наняли в качестве помощника. Кроме того, у слуг Пичук и Ауце родился сын, о котором заботится Томули.</t>
        </is>
      </c>
      <c r="L3961" s="2" t="inlineStr">
        <is>
          <t>https://www.kino-teatr.ru/teatr/movie/138565/annot/</t>
        </is>
      </c>
      <c r="M3961" s="2">
        <f>HYPERLINK("https://ru.wikipedia.org/w/index.php?search=%D0%94%D0%BD%D0%B8%20%D0%BF%D0%BE%D1%80%D1%82%D0%BD%D1%8B%D1%85%20%D0%B2%20%D0%A1%D0%B8%D0%BB%D0%BC%D0%B0%D1%87%D0%B0%D1%85%201987%20%D1%84%D0%B8%D0%BB%D1%8C%D0%BC","искать")</f>
        <v/>
      </c>
      <c r="N3961" s="3" t="n"/>
      <c r="O3961" s="2" t="n"/>
    </row>
    <row r="3962">
      <c r="A3962" s="2" t="n">
        <v>3961</v>
      </c>
      <c r="B3962" s="2" t="inlineStr"/>
      <c r="C3962" s="2" t="n">
        <v>10352</v>
      </c>
      <c r="D3962" s="3" t="inlineStr">
        <is>
          <t>Говорящая машина</t>
        </is>
      </c>
      <c r="E3962" s="2" t="n">
        <v>1970</v>
      </c>
      <c r="F3962" s="2" t="inlineStr">
        <is>
          <t>фильм-спектакль</t>
        </is>
      </c>
      <c r="G3962" s="2" t="inlineStr">
        <is>
          <t>Ленинградское телевидение</t>
        </is>
      </c>
      <c r="H3962" s="2" t="n">
        <v>459</v>
      </c>
      <c r="I3962" s="2" t="inlineStr"/>
      <c r="J3962" s="2" t="inlineStr"/>
      <c r="K3962" s="3" t="inlineStr">
        <is>
          <t>По рассказу Дж.Крюсса.
Профессор Розкам создал удивительную машину, способную переводить язык зверей и птиц на человеческий и наоборот. Действие своего детища изобретатель решил опробовать на питомцах соседей. Поначалу эксперимент казался удачным, соседи узнали много интересного и порой неожиданного о своих воспитанниках. Но дальнейшие события показали, что нельзя таким образом вмешиваться в жизнь животных, где существуют свои собственные взаимоотношения.</t>
        </is>
      </c>
      <c r="L3962" s="2" t="inlineStr">
        <is>
          <t>https://www.kino-teatr.ru/teatr/movie/116686/annot/</t>
        </is>
      </c>
      <c r="M3962" s="2">
        <f>HYPERLINK("https://ru.wikipedia.org/w/index.php?search=%D0%93%D0%BE%D0%B2%D0%BE%D1%80%D1%8F%D1%89%D0%B0%D1%8F%20%D0%BC%D0%B0%D1%88%D0%B8%D0%BD%D0%B0%201970%20%D1%84%D0%B8%D0%BB%D1%8C%D0%BC","искать")</f>
        <v/>
      </c>
      <c r="N3962" s="3" t="n"/>
      <c r="O3962" s="2" t="n"/>
    </row>
    <row r="3963">
      <c r="A3963" s="2" t="n">
        <v>3962</v>
      </c>
      <c r="B3963" s="2" t="inlineStr"/>
      <c r="C3963" s="2" t="n">
        <v>11056</v>
      </c>
      <c r="D3963" s="3" t="inlineStr">
        <is>
          <t>Деньги для Марии</t>
        </is>
      </c>
      <c r="E3963" s="2" t="n">
        <v>1985</v>
      </c>
      <c r="F3963" s="2" t="inlineStr">
        <is>
          <t>фильм-спектакль</t>
        </is>
      </c>
      <c r="G3963" s="2" t="inlineStr">
        <is>
          <t>ТО "Экран"</t>
        </is>
      </c>
      <c r="H3963" s="2" t="n">
        <v>459</v>
      </c>
      <c r="I3963" s="2" t="inlineStr"/>
      <c r="J3963" s="2" t="inlineStr"/>
      <c r="K3963" s="3" t="inlineStr">
        <is>
          <t>По одноименному произведению В.Распутина в постановке Московского театра имени М.Н.Ермоловой.
Односельчане уговорили Марию стать продавцом в сельском магазине. Через год обнаружилась недостача, в которой она была неповинна. Ревизор дал три дня на то, чтобы муж Марии, Кузьма, собрал недостающую сумму. В процессе сбора денег проявляются различные черты характеров многих жителей деревни: их порядочность, доброта, готовность помочь человеку, попавшему в беду.</t>
        </is>
      </c>
      <c r="L3963" s="2" t="inlineStr">
        <is>
          <t>https://www.kino-teatr.ru/teatr/movie/80787/annot/</t>
        </is>
      </c>
      <c r="M3963" s="2">
        <f>HYPERLINK("https://ru.wikipedia.org/w/index.php?search=%D0%94%D0%B5%D0%BD%D1%8C%D0%B3%D0%B8%20%D0%B4%D0%BB%D1%8F%20%D0%9C%D0%B0%D1%80%D0%B8%D0%B8%201985%20%D1%84%D0%B8%D0%BB%D1%8C%D0%BC","искать")</f>
        <v/>
      </c>
      <c r="N3963" s="3" t="n"/>
      <c r="O3963" s="2" t="n"/>
    </row>
    <row r="3964">
      <c r="A3964" s="2" t="n">
        <v>3963</v>
      </c>
      <c r="B3964" s="2" t="inlineStr"/>
      <c r="C3964" s="2" t="n">
        <v>10306</v>
      </c>
      <c r="D3964" s="3" t="inlineStr">
        <is>
          <t>Егор Булычов и другие</t>
        </is>
      </c>
      <c r="E3964" s="2" t="n">
        <v>1969</v>
      </c>
      <c r="F3964" s="2" t="inlineStr">
        <is>
          <t>фильм-спектакль</t>
        </is>
      </c>
      <c r="G3964" s="2" t="inlineStr">
        <is>
          <t>Главная редакция литературно-драматических программ ЦТ</t>
        </is>
      </c>
      <c r="H3964" s="2" t="n">
        <v>460</v>
      </c>
      <c r="I3964" s="2" t="inlineStr"/>
      <c r="J3964" s="2" t="inlineStr"/>
      <c r="K3964" s="3" t="inlineStr">
        <is>
          <t>Спектакль по одноименной пьесе М.Горького в постановке Московского Художественного академического театра.
Крупный лесопромышленник Егор Булычев неизлечимо болен. В своем доме он окружен ничтожными и жадными людьми, с нетерпением ждущими его смерти. Умный и прозорливый Егор понимает, что прожил всю жизнь с чужими. Он по-своему выражает протест против ханжества и лицемерия "хозяев" - духовенства, либералов, против устоев идущего к краху буржуазного общества.</t>
        </is>
      </c>
      <c r="L3964" s="2" t="inlineStr">
        <is>
          <t>https://www.kino-teatr.ru/teatr/movie/17145/annot/</t>
        </is>
      </c>
      <c r="M3964" s="2">
        <f>HYPERLINK("https://ru.wikipedia.org/w/index.php?search=%D0%95%D0%B3%D0%BE%D1%80%20%D0%91%D1%83%D0%BB%D1%8B%D1%87%D0%BE%D0%B2%20%D0%B8%20%D0%B4%D1%80%D1%83%D0%B3%D0%B8%D0%B5%201969%20%D1%84%D0%B8%D0%BB%D1%8C%D0%BC","искать")</f>
        <v/>
      </c>
      <c r="N3964" s="3" t="n"/>
      <c r="O3964" s="2" t="n"/>
    </row>
    <row r="3965">
      <c r="A3965" s="2" t="n">
        <v>3964</v>
      </c>
      <c r="B3965" s="2" t="inlineStr"/>
      <c r="C3965" s="2" t="n">
        <v>10884</v>
      </c>
      <c r="D3965" s="3" t="inlineStr">
        <is>
          <t>Именем земли и солнца</t>
        </is>
      </c>
      <c r="E3965" s="2" t="n">
        <v>1981</v>
      </c>
      <c r="F3965" s="2" t="inlineStr">
        <is>
          <t>фильм-спектакль</t>
        </is>
      </c>
      <c r="G3965" s="2" t="inlineStr">
        <is>
          <t>Экран</t>
        </is>
      </c>
      <c r="H3965" s="2" t="n">
        <v>460</v>
      </c>
      <c r="I3965" s="2" t="inlineStr"/>
      <c r="J3965" s="2" t="inlineStr"/>
      <c r="K3965" s="3" t="inlineStr">
        <is>
          <t>По одноименной пьесе Иона Друцэ в постановке Московского театра имени Ленинского комсомола. Учитель сельской школы Хория, стремясь привить ученикам любовь к своему краю, рассказывает им легенды, связанные со старинной звонницей. Это вызывает недовольство директора школы, который не понял подлинных мотивов поведения учителя. Сгорает во время пожара звонница, уезжает из села Хория. Но все доброе, полезное, что делал Хория, не пропадает. Остаются его ученики.</t>
        </is>
      </c>
      <c r="L3965" s="2" t="inlineStr">
        <is>
          <t>https://www.kino-teatr.ru/teatr/movie/79235/annot/</t>
        </is>
      </c>
      <c r="M3965" s="2">
        <f>HYPERLINK("https://ru.wikipedia.org/w/index.php?search=%D0%98%D0%BC%D0%B5%D0%BD%D0%B5%D0%BC%20%D0%B7%D0%B5%D0%BC%D0%BB%D0%B8%20%D0%B8%20%D1%81%D0%BE%D0%BB%D0%BD%D1%86%D0%B0%201981%20%D1%84%D0%B8%D0%BB%D1%8C%D0%BC","искать")</f>
        <v/>
      </c>
      <c r="N3965" s="3" t="n"/>
      <c r="O3965" s="2" t="n"/>
    </row>
    <row r="3966">
      <c r="A3966" s="2" t="n">
        <v>3965</v>
      </c>
      <c r="B3966" s="2" t="inlineStr"/>
      <c r="C3966" s="2" t="n">
        <v>9770</v>
      </c>
      <c r="D3966" s="3" t="inlineStr">
        <is>
          <t>Штаны</t>
        </is>
      </c>
      <c r="E3966" s="2" t="n">
        <v>1988</v>
      </c>
      <c r="F3966" s="2" t="inlineStr">
        <is>
          <t>кинофильм</t>
        </is>
      </c>
      <c r="G3966" s="2" t="n"/>
      <c r="H3966" s="2" t="n">
        <v>461</v>
      </c>
      <c r="I3966" s="2" t="inlineStr"/>
      <c r="J3966" s="2" t="inlineStr"/>
      <c r="K3966" s="3" t="inlineStr">
        <is>
          <t>Для бывшего провинциального актёра Бацанова барьер между понятием "сцена" и "жизнь" разрушен. На склоне лет он пытается найти душевный контакт с коллегами, с сыном Славой, выросшим без любви и участия "номинального" отца и ставшего соучастником убийства и рэкета. Окончательно потеряв всякое самолюбие и чувство собственного достоинства, Бацанов-старший следует за сыном-преступником повсюду, даже на отправку того на зону, где становиться финальным посмешищем.</t>
        </is>
      </c>
      <c r="L3966" s="2" t="inlineStr">
        <is>
          <t>Кино_СССР сводный каталог.xlsx: список фильмов (доп.)</t>
        </is>
      </c>
      <c r="M3966" s="2">
        <f>HYPERLINK("https://ru.wikipedia.org/w/index.php?search=%D0%A8%D1%82%D0%B0%D0%BD%D1%8B%201988%20%D1%84%D0%B8%D0%BB%D1%8C%D0%BC","искать")</f>
        <v/>
      </c>
      <c r="N3966" s="3" t="n"/>
      <c r="O3966" s="2" t="n"/>
    </row>
    <row r="3967">
      <c r="A3967" s="2" t="n">
        <v>3966</v>
      </c>
      <c r="B3967" s="2" t="inlineStr"/>
      <c r="C3967" s="2" t="n">
        <v>10019</v>
      </c>
      <c r="D3967" s="3" t="inlineStr">
        <is>
          <t>Дрессировщики</t>
        </is>
      </c>
      <c r="E3967" s="2" t="n">
        <v>1987</v>
      </c>
      <c r="F3967" s="2" t="inlineStr">
        <is>
          <t>телефильм</t>
        </is>
      </c>
      <c r="G3967" s="2" t="inlineStr">
        <is>
          <t>К/ст им. Горького по заказу Гостелерадио СССР</t>
        </is>
      </c>
      <c r="H3967" s="2" t="n">
        <v>461</v>
      </c>
      <c r="I3967" s="2" t="inlineStr"/>
      <c r="J3967" s="2" t="inlineStr"/>
      <c r="K3967" s="3" t="inlineStr">
        <is>
          <t>По мотивам рассказа Юрия Сотника.
Гриша Уточкин сказал как-то ребятам, что его невзрачная с виду собака Пальма умеет ловить преступников. И пришлось Грише срочно обучать ее всяким собачим премудростям. Но Пальма никак не хотела бегать по бревну, прыгать через барьеры, а уж тем более выполнять команду "фас". Финал дрессировки был неожиданным! Пальма разорвала брюки участковому милиционеру. "Или я, или Пальма" - сказал милиционер и... переехал в другой район.</t>
        </is>
      </c>
      <c r="L3967" s="2" t="inlineStr">
        <is>
          <t>https://www.kino-teatr.ru/short/movie/sov/2026/annot/</t>
        </is>
      </c>
      <c r="M3967" s="2">
        <f>HYPERLINK("https://ru.wikipedia.org/w/index.php?search=%D0%94%D1%80%D0%B5%D1%81%D1%81%D0%B8%D1%80%D0%BE%D0%B2%D1%89%D0%B8%D0%BA%D0%B8%201987%20%D1%84%D0%B8%D0%BB%D1%8C%D0%BC","искать")</f>
        <v/>
      </c>
      <c r="N3967" s="3" t="n"/>
      <c r="O3967" s="2" t="n"/>
    </row>
    <row r="3968">
      <c r="A3968" s="2" t="n">
        <v>3967</v>
      </c>
      <c r="B3968" s="2" t="inlineStr"/>
      <c r="C3968" s="2" t="n">
        <v>11268</v>
      </c>
      <c r="D3968" s="3" t="inlineStr">
        <is>
          <t>Наедине со всеми</t>
        </is>
      </c>
      <c r="E3968" s="2" t="n">
        <v>1989</v>
      </c>
      <c r="F3968" s="2" t="inlineStr">
        <is>
          <t>фильм-спектакль</t>
        </is>
      </c>
      <c r="G3968" s="2" t="inlineStr">
        <is>
          <t>ЦТ</t>
        </is>
      </c>
      <c r="H3968" s="2" t="n">
        <v>461</v>
      </c>
      <c r="I3968" s="2" t="inlineStr"/>
      <c r="J3968" s="2" t="inlineStr"/>
      <c r="K3968" s="3" t="inlineStr">
        <is>
          <t>Спектакль по одноименной пьесе А. Гельмана в постановке Московсого театра «Современник».
Действие происходит в конце 1970-х годов. В семье Голубевых произошло несчастье: сын Алеша в результате аварии лишился обеих рук. Трагическое событие заставляет родителей Алеши заново прожить прошедшие годы, правдиво и беспощадно оценить меру собственной вины.
Главная роль в этом спектакле дала удивительно ярко проявиться необыкновенному таланту актрисы Аллы Покровской.</t>
        </is>
      </c>
      <c r="L3968" s="2" t="inlineStr">
        <is>
          <t>https://www.kino-teatr.ru/teatr/movie/16369/annot/</t>
        </is>
      </c>
      <c r="M3968" s="2">
        <f>HYPERLINK("https://ru.wikipedia.org/w/index.php?search=%D0%9D%D0%B0%D0%B5%D0%B4%D0%B8%D0%BD%D0%B5%20%D1%81%D0%BE%20%D0%B2%D1%81%D0%B5%D0%BC%D0%B8%201989%20%D1%84%D0%B8%D0%BB%D1%8C%D0%BC","искать")</f>
        <v/>
      </c>
      <c r="N3968" s="3" t="n"/>
      <c r="O3968" s="2" t="n"/>
    </row>
    <row r="3969">
      <c r="A3969" s="2" t="n">
        <v>3968</v>
      </c>
      <c r="B3969" s="2" t="inlineStr"/>
      <c r="C3969" s="2" t="n">
        <v>8637</v>
      </c>
      <c r="D3969" s="3" t="inlineStr">
        <is>
          <t>Брюнетка за тридцать копеек</t>
        </is>
      </c>
      <c r="E3969" s="2" t="n">
        <v>1991</v>
      </c>
      <c r="F3969" s="2" t="inlineStr">
        <is>
          <t>кинофильм</t>
        </is>
      </c>
      <c r="G3969" s="2" t="n"/>
      <c r="H3969" s="2" t="n">
        <v>462</v>
      </c>
      <c r="I3969" s="2" t="inlineStr"/>
      <c r="J3969" s="2" t="inlineStr"/>
      <c r="K3969" s="3" t="inlineStr">
        <is>
          <t>В забытом богом Валуйске мэр города, чтобы спасти бюджет, открывает публичный дом в здании краеведческого музея, которым руководит его жена-искусствовед... "Вход в женское общежитие мужским полам запрещен". Такая вывеска висит у входа, но мужские полы все равно лезут в окна. Увидев это тягу к прекрасному, власти провинциального городка решили поправить финансовое положение открытием публичного дома, сохранив при этом целомудрие представительниц слабого пола.</t>
        </is>
      </c>
      <c r="L3969" s="2" t="inlineStr">
        <is>
          <t>Кино_СССР сводный каталог.xlsx: список фильмов (доп.)</t>
        </is>
      </c>
      <c r="M3969" s="2">
        <f>HYPERLINK("https://ru.wikipedia.org/w/index.php?search=%D0%91%D1%80%D1%8E%D0%BD%D0%B5%D1%82%D0%BA%D0%B0%20%D0%B7%D0%B0%20%D1%82%D1%80%D0%B8%D0%B4%D1%86%D0%B0%D1%82%D1%8C%20%D0%BA%D0%BE%D0%BF%D0%B5%D0%B5%D0%BA%201991%20%D1%84%D0%B8%D0%BB%D1%8C%D0%BC","искать")</f>
        <v/>
      </c>
      <c r="N3969" s="3" t="n"/>
      <c r="O3969" s="2" t="n"/>
    </row>
    <row r="3970">
      <c r="A3970" s="2" t="n">
        <v>3969</v>
      </c>
      <c r="B3970" s="2" t="inlineStr"/>
      <c r="C3970" s="2" t="n">
        <v>8671</v>
      </c>
      <c r="D3970" s="3" t="inlineStr">
        <is>
          <t>Все мы немножко лошади</t>
        </is>
      </c>
      <c r="E3970" s="2" t="n">
        <v>1988</v>
      </c>
      <c r="F3970" s="2" t="inlineStr">
        <is>
          <t>кинофильм</t>
        </is>
      </c>
      <c r="G3970" s="2" t="n"/>
      <c r="H3970" s="2" t="n">
        <v>462</v>
      </c>
      <c r="I3970" s="2" t="inlineStr"/>
      <c r="J3970" s="2" t="inlineStr"/>
      <c r="K3970" s="3" t="inlineStr">
        <is>
          <t>Когда шестилетняя Рано переправлялась через реку на пароме, который перевозил на другой берег лошадей, паром неожиданно резко затормозил — и девочка оказалась за бортом. Ее спас красавец-конь Глен. С тех пор прошло много времени и Рано не вспоминала досадный случай из своего детства. А теперь, когда ей исполнилось пятнадцать, выздоровев после травмы, полученной на репетиции в хореографическом училище, Рано вспомнила о Глене и пришла в конно-спортивную школу.</t>
        </is>
      </c>
      <c r="L3970" s="2" t="inlineStr">
        <is>
          <t>Кино_СССР сводный каталог.xlsx: список фильмов (доп.)</t>
        </is>
      </c>
      <c r="M3970" s="2">
        <f>HYPERLINK("https://ru.wikipedia.org/w/index.php?search=%D0%92%D1%81%D0%B5%20%D0%BC%D1%8B%20%D0%BD%D0%B5%D0%BC%D0%BD%D0%BE%D0%B6%D0%BA%D0%BE%20%D0%BB%D0%BE%D1%88%D0%B0%D0%B4%D0%B8%201988%20%D1%84%D0%B8%D0%BB%D1%8C%D0%BC","искать")</f>
        <v/>
      </c>
      <c r="N3970" s="3" t="n"/>
      <c r="O3970" s="2" t="n"/>
    </row>
    <row r="3971">
      <c r="A3971" s="2" t="n">
        <v>3970</v>
      </c>
      <c r="B3971" s="2" t="inlineStr"/>
      <c r="C3971" s="2" t="n">
        <v>10358</v>
      </c>
      <c r="D3971" s="3" t="inlineStr">
        <is>
          <t>Званый вечер с итальянцами</t>
        </is>
      </c>
      <c r="E3971" s="2" t="n">
        <v>1970</v>
      </c>
      <c r="F3971" s="2" t="inlineStr">
        <is>
          <t>фильм-спектакль</t>
        </is>
      </c>
      <c r="G3971" s="2" t="inlineStr">
        <is>
          <t>Свердловское телевидение</t>
        </is>
      </c>
      <c r="H3971" s="2" t="n">
        <v>462</v>
      </c>
      <c r="I3971" s="2" t="inlineStr"/>
      <c r="J3971" s="2" t="inlineStr"/>
      <c r="K3971" s="3" t="inlineStr">
        <is>
          <t>Отец - торговец обувью Шуфлери - не хочет выдавать свою дочь Эрнестину замуж за бедного музыканта Бонифаса, но попадает в сложное положение. Итальянские артисты, которые были приглашены на званый вечер, уехали, и он может потерять уважение общества. Эрнестина предложила отцу выход - помочь может только Бонифас, тот соглашается в обмен на согласие на брак.
Фильм-спектакль с участием артистов Свердловского театра музыкальной комедии по оперетте Жака Оффенбаха.</t>
        </is>
      </c>
      <c r="L3971" s="2" t="inlineStr">
        <is>
          <t>https://www.kino-teatr.ru/teatr/movie/92983/annot/</t>
        </is>
      </c>
      <c r="M3971" s="2">
        <f>HYPERLINK("https://ru.wikipedia.org/w/index.php?search=%D0%97%D0%B2%D0%B0%D0%BD%D1%8B%D0%B9%20%D0%B2%D0%B5%D1%87%D0%B5%D1%80%20%D1%81%20%D0%B8%D1%82%D0%B0%D0%BB%D1%8C%D1%8F%D0%BD%D1%86%D0%B0%D0%BC%D0%B8%201970%20%D1%84%D0%B8%D0%BB%D1%8C%D0%BC","искать")</f>
        <v/>
      </c>
      <c r="N3971" s="3" t="n"/>
      <c r="O3971" s="2" t="n"/>
    </row>
    <row r="3972">
      <c r="A3972" s="2" t="n">
        <v>3971</v>
      </c>
      <c r="B3972" s="2" t="inlineStr"/>
      <c r="C3972" s="2" t="n">
        <v>10677</v>
      </c>
      <c r="D3972" s="3" t="inlineStr">
        <is>
          <t>Ярмарка тщеславия</t>
        </is>
      </c>
      <c r="E3972" s="2" t="n">
        <v>1976</v>
      </c>
      <c r="F3972" s="2" t="inlineStr">
        <is>
          <t>фильм-спектакль</t>
        </is>
      </c>
      <c r="G3972" s="2" t="inlineStr">
        <is>
          <t>ТО "Экран"</t>
        </is>
      </c>
      <c r="H3972" s="2" t="n">
        <v>463</v>
      </c>
      <c r="I3972" s="2" t="inlineStr"/>
      <c r="J3972" s="2" t="inlineStr"/>
      <c r="K3972" s="3" t="inlineStr">
        <is>
          <t>По мотивам романа В.Теккерея "Ярмарка тщеславия. Роман без героя" в постановке Государственного академического Малого театра Союза ССР.
По окончании пансиона юную Ребекку ждет место простой гувернантки, а ведь так хочется попасть в свет, выйти замуж за знатного богатого человека. И она не отчаивается, полагая, что природный ум выручает не хуже папенькиных денежек. Без гроша в кармане, но полная амбиций, Бэкки уверена в своем успехе на ярмарке житейской суеты.</t>
        </is>
      </c>
      <c r="L3972" s="2" t="inlineStr">
        <is>
          <t>https://www.kino-teatr.ru/teatr/movie/13836/annot/</t>
        </is>
      </c>
      <c r="M3972" s="2">
        <f>HYPERLINK("https://ru.wikipedia.org/w/index.php?search=%D0%AF%D1%80%D0%BC%D0%B0%D1%80%D0%BA%D0%B0%20%D1%82%D1%89%D0%B5%D1%81%D0%BB%D0%B0%D0%B2%D0%B8%D1%8F%201976%20%D1%84%D0%B8%D0%BB%D1%8C%D0%BC","искать")</f>
        <v/>
      </c>
      <c r="N3972" s="3" t="n"/>
      <c r="O3972" s="2" t="n"/>
    </row>
    <row r="3973">
      <c r="A3973" s="2" t="n">
        <v>3972</v>
      </c>
      <c r="B3973" s="2" t="inlineStr"/>
      <c r="C3973" s="2" t="n">
        <v>7698</v>
      </c>
      <c r="D3973" s="3" t="inlineStr">
        <is>
          <t>Казус импровизус</t>
        </is>
      </c>
      <c r="E3973" s="2" t="n">
        <v>1991</v>
      </c>
      <c r="F3973" s="2" t="inlineStr">
        <is>
          <t>телефильм</t>
        </is>
      </c>
      <c r="G3973" s="2" t="n"/>
      <c r="H3973" s="2" t="n">
        <v>464</v>
      </c>
      <c r="I3973" s="2" t="inlineStr"/>
      <c r="J3973" s="2" t="inlineStr"/>
      <c r="K3973" s="3" t="inlineStr">
        <is>
          <t>По мотивам пьесы Александра Буравского «Учитель русского». Действие происходит в курортной больнице, места в которой предприимчивый главврач Попов сдает вполне здоровым отдыхающим. Опасаясь проверок, Попов держит своих «мнимых больных» на строжайшем режиме, запрещая выходить даже в туалет. Вот в такой, трагикомической, ситуации встречаются герои фильма — молодой учитель Толя и пенсионерка Козицкая, ехавшие сюда, чтобы погреться на солнышке и покупаться в море.</t>
        </is>
      </c>
      <c r="L3973" s="2" t="inlineStr">
        <is>
          <t>Кино_СССР сводный каталог.xlsx: список телефильмов</t>
        </is>
      </c>
      <c r="M3973" s="2">
        <f>HYPERLINK("https://ru.wikipedia.org/w/index.php?search=%D0%9A%D0%B0%D0%B7%D1%83%D1%81%20%D0%B8%D0%BC%D0%BF%D1%80%D0%BE%D0%B2%D0%B8%D0%B7%D1%83%D1%81%201991%20%D1%84%D0%B8%D0%BB%D1%8C%D0%BC","искать")</f>
        <v/>
      </c>
      <c r="N3973" s="3" t="n"/>
      <c r="O3973" s="2" t="n"/>
    </row>
    <row r="3974">
      <c r="A3974" s="2" t="n">
        <v>3973</v>
      </c>
      <c r="B3974" s="2" t="inlineStr"/>
      <c r="C3974" s="2" t="n">
        <v>8220</v>
      </c>
      <c r="D3974" s="3" t="inlineStr">
        <is>
          <t>Про кота...</t>
        </is>
      </c>
      <c r="E3974" s="2" t="n">
        <v>1985</v>
      </c>
      <c r="F3974" s="2" t="inlineStr">
        <is>
          <t>телефильм</t>
        </is>
      </c>
      <c r="G3974" s="2" t="n"/>
      <c r="H3974" s="2" t="n">
        <v>464</v>
      </c>
      <c r="I3974" s="2" t="inlineStr"/>
      <c r="J3974" s="2" t="inlineStr"/>
      <c r="K3974" s="3" t="inlineStr">
        <is>
          <t>Импровизация на тему сказки Шарля Перро "Кот в сапогах". О приключениях находчивого Кота в сказочном королевстве. Святослав Чекин очень любил джаз. Сам одаренный пианист, он много общался с джазовыми людьми, дружил с ними – и как только выдавалась возможность, снимал джаз. Для работы над единственным своим игровым фильмом — сказкой-мюзиклом, снятом по мотивам сказки Шарля Перро, он пригласил как композиторов пианиста Игоря Бриля и гитариста Виталия Розенберга.</t>
        </is>
      </c>
      <c r="L3974" s="2" t="inlineStr">
        <is>
          <t>Кино_СССР сводный каталог.xlsx: список телефильмов</t>
        </is>
      </c>
      <c r="M3974" s="2">
        <f>HYPERLINK("https://ru.wikipedia.org/w/index.php?search=%D0%9F%D1%80%D0%BE%20%D0%BA%D0%BE%D1%82%D0%B0...%201985%20%D1%84%D0%B8%D0%BB%D1%8C%D0%BC","искать")</f>
        <v/>
      </c>
      <c r="N3974" s="3" t="n"/>
      <c r="O3974" s="2" t="n"/>
    </row>
    <row r="3975">
      <c r="A3975" s="2" t="n">
        <v>3974</v>
      </c>
      <c r="B3975" s="2" t="inlineStr"/>
      <c r="C3975" s="2" t="n">
        <v>11035</v>
      </c>
      <c r="D3975" s="3" t="inlineStr">
        <is>
          <t>По щучьему велению</t>
        </is>
      </c>
      <c r="E3975" s="2" t="n">
        <v>1984</v>
      </c>
      <c r="F3975" s="2" t="inlineStr">
        <is>
          <t>фильм-спектакль</t>
        </is>
      </c>
      <c r="G3975" s="2" t="inlineStr">
        <is>
          <t>ТО "Экран", Государственный академический Центральный театр кукол</t>
        </is>
      </c>
      <c r="H3975" s="2" t="n">
        <v>464</v>
      </c>
      <c r="I3975" s="2" t="inlineStr"/>
      <c r="J3975" s="2" t="inlineStr"/>
      <c r="K3975" s="3" t="inlineStr">
        <is>
          <t>Сюжет этого спектакля построен на основе русской народной сказки, герой которой - Емеля. Это ему подарила Щука "заветное слово": и все, чего бы он ни захотел, сбывалось. Без лошади ехали сани, без топора рубились дрова, и по первому слову засмеялась царевна Несмеяна и вышла за него замуж.
Смешные перчаточные куклы, золотое смеющееся солнце на вращающейся ширме и другие сценические находки вот уже более 70 лет радуют своим искусством не одно поколение зрителей.</t>
        </is>
      </c>
      <c r="L3975" s="2" t="inlineStr">
        <is>
          <t>https://www.kino-teatr.ru/teatr/movie/11111/annot/</t>
        </is>
      </c>
      <c r="M3975" s="2">
        <f>HYPERLINK("https://ru.wikipedia.org/w/index.php?search=%D0%9F%D0%BE%20%D1%89%D1%83%D1%87%D1%8C%D0%B5%D0%BC%D1%83%20%D0%B2%D0%B5%D0%BB%D0%B5%D0%BD%D0%B8%D1%8E%201984%20%D1%84%D0%B8%D0%BB%D1%8C%D0%BC","искать")</f>
        <v/>
      </c>
      <c r="N3975" s="3" t="n"/>
      <c r="O3975" s="2" t="n"/>
    </row>
    <row r="3976">
      <c r="A3976" s="2" t="n">
        <v>3975</v>
      </c>
      <c r="B3976" s="2" t="inlineStr"/>
      <c r="C3976" s="2" t="n">
        <v>10220</v>
      </c>
      <c r="D3976" s="3" t="inlineStr">
        <is>
          <t>Случай в гостинице</t>
        </is>
      </c>
      <c r="E3976" s="2" t="n">
        <v>1967</v>
      </c>
      <c r="F3976" s="2" t="inlineStr">
        <is>
          <t>фильм-спектакль</t>
        </is>
      </c>
      <c r="G3976" s="2" t="inlineStr">
        <is>
          <t>Гл. ред. лит-драм программ</t>
        </is>
      </c>
      <c r="H3976" s="2" t="n">
        <v>465</v>
      </c>
      <c r="I3976" s="2" t="inlineStr"/>
      <c r="J3976" s="2" t="inlineStr"/>
      <c r="K3976" s="3" t="inlineStr">
        <is>
          <t>Телеспектакль по пьесе польского писателя К. Хоиньского "Ночная повесть".
В гостиницу, где уже есть несколько постояльцев (художник - Н.Подгорный, студент-медик - Ю.Соломин и др.), вламывается группа парней (среди которых В.Соломин), незадолго до этого сбивших на машине мотоциклиста с пассажиркой. Угрожая ножом, они требуют дать им машину.
"К чему приводит то, что один человек дает другому растоптать свое достоинство?" - говорит в конце герой Никиты Подгорного.</t>
        </is>
      </c>
      <c r="L3976" s="2" t="inlineStr">
        <is>
          <t>https://www.kino-teatr.ru/teatr/movie/15083/annot/</t>
        </is>
      </c>
      <c r="M3976" s="2">
        <f>HYPERLINK("https://ru.wikipedia.org/w/index.php?search=%D0%A1%D0%BB%D1%83%D1%87%D0%B0%D0%B9%20%D0%B2%20%D0%B3%D0%BE%D1%81%D1%82%D0%B8%D0%BD%D0%B8%D1%86%D0%B5%201967%20%D1%84%D0%B8%D0%BB%D1%8C%D0%BC","искать")</f>
        <v/>
      </c>
      <c r="N3976" s="3" t="n"/>
      <c r="O3976" s="2" t="n"/>
    </row>
    <row r="3977">
      <c r="A3977" s="2" t="n">
        <v>3976</v>
      </c>
      <c r="B3977" s="2" t="inlineStr"/>
      <c r="C3977" s="2" t="n">
        <v>7177</v>
      </c>
      <c r="D3977" s="3" t="inlineStr">
        <is>
          <t>"Тигры" на льду</t>
        </is>
      </c>
      <c r="E3977" s="2" t="n">
        <v>1971</v>
      </c>
      <c r="F3977" s="2" t="inlineStr">
        <is>
          <t>телефильм</t>
        </is>
      </c>
      <c r="G3977" s="2" t="n"/>
      <c r="H3977" s="2" t="n">
        <v>466</v>
      </c>
      <c r="I3977" s="2" t="inlineStr"/>
      <c r="J3977" s="2" t="inlineStr"/>
      <c r="K3977" s="3" t="inlineStr">
        <is>
          <t>Телефильм. Сестра и брат - близнецы учатся в одном классе. Девочка Зина занимается в драматическом кружке и секции фигурного катания, а её брат Игнат, убедившись в собственной физической слабости, начинает играть в дворовой хоккейной команде «Тигры». Первые синяки и даже серьезные ушибы не останавливают упорного мальчика — и вскоре он становится смелым и сильным - одним из лучших игроков команды, впервые принявшей участие в соревнованиях на приз «Золотая шайба».</t>
        </is>
      </c>
      <c r="L3977" s="2" t="inlineStr">
        <is>
          <t>Кино_СССР сводный каталог.xlsx: список телефильмов</t>
        </is>
      </c>
      <c r="M3977" s="2">
        <f>HYPERLINK("https://ru.wikipedia.org/w/index.php?search=%22%D0%A2%D0%B8%D0%B3%D1%80%D1%8B%22%20%D0%BD%D0%B0%20%D0%BB%D1%8C%D0%B4%D1%83%201971%20%D1%84%D0%B8%D0%BB%D1%8C%D0%BC","искать")</f>
        <v/>
      </c>
      <c r="N3977" s="3" t="n"/>
      <c r="O3977" s="2" t="n"/>
    </row>
    <row r="3978">
      <c r="A3978" s="2" t="n">
        <v>3977</v>
      </c>
      <c r="B3978" s="2" t="inlineStr"/>
      <c r="C3978" s="2" t="n">
        <v>10837</v>
      </c>
      <c r="D3978" s="3" t="inlineStr">
        <is>
          <t>Великая магия</t>
        </is>
      </c>
      <c r="E3978" s="2" t="n">
        <v>1980</v>
      </c>
      <c r="F3978" s="2" t="inlineStr">
        <is>
          <t>фильм-спектакль</t>
        </is>
      </c>
      <c r="G3978" s="2" t="inlineStr">
        <is>
          <t>ТО" Экран"</t>
        </is>
      </c>
      <c r="H3978" s="2" t="n">
        <v>468</v>
      </c>
      <c r="I3978" s="2" t="inlineStr"/>
      <c r="J3978" s="2" t="inlineStr"/>
      <c r="K3978" s="3" t="inlineStr">
        <is>
          <t>Один из лучших спектаклей по пьесам Эдуардо де Филиппо в постановке Театра им. Е.Вахтангова. Автор русского текста Сергей Михалков.
Иллюзионист Отто Марвулья убеждает Колоджеро ди Спелта, что его жена Марта спрятана в шкатулке. Обманывая таким образом мужа-простака, он помогает Марте бежать с любовником. Через два года она возвращается и во всем признается мужу. Но Колоджеро не может поверить в это и остается в придуманном "магом" волшебном мире призрачных надежд.</t>
        </is>
      </c>
      <c r="L3978" s="2" t="inlineStr">
        <is>
          <t>https://www.kino-teatr.ru/teatr/movie/81520/annot/</t>
        </is>
      </c>
      <c r="M3978" s="2">
        <f>HYPERLINK("https://ru.wikipedia.org/w/index.php?search=%D0%92%D0%B5%D0%BB%D0%B8%D0%BA%D0%B0%D1%8F%20%D0%BC%D0%B0%D0%B3%D0%B8%D1%8F%201980%20%D1%84%D0%B8%D0%BB%D1%8C%D0%BC","искать")</f>
        <v/>
      </c>
      <c r="N3978" s="3" t="n"/>
      <c r="O3978" s="2" t="n"/>
    </row>
    <row r="3979">
      <c r="A3979" s="2" t="n">
        <v>3978</v>
      </c>
      <c r="B3979" s="2" t="inlineStr"/>
      <c r="C3979" s="2" t="n">
        <v>7202</v>
      </c>
      <c r="D3979" s="3" t="inlineStr">
        <is>
          <t>Алёшка и Валет</t>
        </is>
      </c>
      <c r="E3979" s="2" t="n">
        <v>1977</v>
      </c>
      <c r="F3979" s="2" t="inlineStr">
        <is>
          <t>телефильм</t>
        </is>
      </c>
      <c r="G3979" s="2" t="n"/>
      <c r="H3979" s="2" t="n">
        <v>469</v>
      </c>
      <c r="I3979" s="2" t="inlineStr"/>
      <c r="J3979" s="2" t="inlineStr"/>
      <c r="K3979" s="3" t="inlineStr">
        <is>
          <t>О трогательной дружбе мальчика Алёши и собаки Валета. К деду в заповедник из города на летние каникулы приехал Алёшка. Здесь его ждал сюрприз: в доме появился большой чёрный пес – Валет, его оставил Стёпка, сосед, уехавший на заработки. Они сразу подружились, мальчик и собака. Вдвоем на лодке они путешествовали по речным протокам, заросшим камышом, спасали пойманную браконьерскими сетями рыбу, наблюдали, как растут маленькие олени, недавно привезенные в заповедник.</t>
        </is>
      </c>
      <c r="L3979" s="2" t="inlineStr">
        <is>
          <t>Кино_СССР сводный каталог.xlsx: список телефильмов</t>
        </is>
      </c>
      <c r="M3979" s="2">
        <f>HYPERLINK("https://ru.wikipedia.org/w/index.php?search=%D0%90%D0%BB%D1%91%D1%88%D0%BA%D0%B0%20%D0%B8%20%D0%92%D0%B0%D0%BB%D0%B5%D1%82%201977%20%D1%84%D0%B8%D0%BB%D1%8C%D0%BC","искать")</f>
        <v/>
      </c>
      <c r="N3979" s="3" t="n"/>
      <c r="O3979" s="2" t="n"/>
    </row>
    <row r="3980">
      <c r="A3980" s="2" t="n">
        <v>3979</v>
      </c>
      <c r="B3980" s="2" t="inlineStr"/>
      <c r="C3980" s="2" t="n">
        <v>8335</v>
      </c>
      <c r="D3980" s="3" t="inlineStr">
        <is>
          <t>Сердце не камень</t>
        </is>
      </c>
      <c r="E3980" s="2" t="n">
        <v>1989</v>
      </c>
      <c r="F3980" s="2" t="inlineStr">
        <is>
          <t>телефильм</t>
        </is>
      </c>
      <c r="G3980" s="2" t="n"/>
      <c r="H3980" s="2" t="n">
        <v>469</v>
      </c>
      <c r="I3980" s="2" t="inlineStr"/>
      <c r="J3980" s="2" t="inlineStr"/>
      <c r="K3980" s="3" t="inlineStr">
        <is>
          <t>Телефильм по одноименной пьесе А. Н. Островского. В богатом купеческом доме, словно птица в клетке, томится молодая красавица Вера Филипповна. В 15 лет она вышла замуж за богача Каркунова. Любви Вера Филипповна к мужу не питала, но, будучи порядочной барышней, была ему верной женой. Теперь, когда дни Потапа Потапыча сочтены, хитрый и коварный приказчик Ераст плетет интригу вокруг Веры Филипповны, пытаясь опорочить ее в глазах мужа, дабы завладеть немалым капиталом.</t>
        </is>
      </c>
      <c r="L3980" s="2" t="inlineStr">
        <is>
          <t>Кино_СССР сводный каталог.xlsx: список телефильмов</t>
        </is>
      </c>
      <c r="M3980" s="2">
        <f>HYPERLINK("https://ru.wikipedia.org/w/index.php?search=%D0%A1%D0%B5%D1%80%D0%B4%D1%86%D0%B5%20%D0%BD%D0%B5%20%D0%BA%D0%B0%D0%BC%D0%B5%D0%BD%D1%8C%201989%20%D1%84%D0%B8%D0%BB%D1%8C%D0%BC","искать")</f>
        <v/>
      </c>
      <c r="N3980" s="3" t="n"/>
      <c r="O3980" s="2" t="n"/>
    </row>
    <row r="3981">
      <c r="A3981" s="2" t="n">
        <v>3980</v>
      </c>
      <c r="B3981" s="2" t="inlineStr"/>
      <c r="C3981" s="2" t="n">
        <v>11144</v>
      </c>
      <c r="D3981" s="3" t="inlineStr">
        <is>
          <t>Виноватые</t>
        </is>
      </c>
      <c r="E3981" s="2" t="n">
        <v>1987</v>
      </c>
      <c r="F3981" s="2" t="inlineStr">
        <is>
          <t>фильм-спектакль</t>
        </is>
      </c>
      <c r="G3981" s="2" t="inlineStr">
        <is>
          <t>Главная редакция литературно-драматических программ ЦТ</t>
        </is>
      </c>
      <c r="H3981" s="2" t="n">
        <v>469</v>
      </c>
      <c r="I3981" s="2" t="inlineStr"/>
      <c r="J3981" s="2" t="inlineStr"/>
      <c r="K3981" s="3" t="inlineStr">
        <is>
          <t>По одноименной пьесе Алексея Арбузова в постановке Государственного академического театра имени Моссовета.
В доме молодого юриста Леонтия Соколика появляется домработница Мария Васильевна. Постепенно выясняется, что она - мать Леонтия, которого бросила в раннем детстве. Чувствуя свою вину перед сыном, она пытается помешать разладу между ним и его женой Тоней. Мария Васильевна признается Леонтию в том, что она - его мать, и, не выдержав нервного напряжения, умирает.</t>
        </is>
      </c>
      <c r="L3981" s="2" t="inlineStr">
        <is>
          <t>https://www.kino-teatr.ru/teatr/movie/81287/annot/</t>
        </is>
      </c>
      <c r="M3981" s="2">
        <f>HYPERLINK("https://ru.wikipedia.org/w/index.php?search=%D0%92%D0%B8%D0%BD%D0%BE%D0%B2%D0%B0%D1%82%D1%8B%D0%B5%201987%20%D1%84%D0%B8%D0%BB%D1%8C%D0%BC","искать")</f>
        <v/>
      </c>
      <c r="N3981" s="3" t="n"/>
      <c r="O3981" s="2" t="n"/>
    </row>
    <row r="3982">
      <c r="A3982" s="2" t="n">
        <v>3981</v>
      </c>
      <c r="B3982" s="2" t="inlineStr"/>
      <c r="C3982" s="2" t="n">
        <v>9958</v>
      </c>
      <c r="D3982" s="3" t="inlineStr">
        <is>
          <t>Сват</t>
        </is>
      </c>
      <c r="E3982" s="2" t="n">
        <v>1980</v>
      </c>
      <c r="F3982" s="2" t="inlineStr">
        <is>
          <t>телефильм</t>
        </is>
      </c>
      <c r="G3982" s="2" t="inlineStr">
        <is>
          <t>Новосибирская студия телевидения</t>
        </is>
      </c>
      <c r="H3982" s="2" t="n">
        <v>470</v>
      </c>
      <c r="I3982" s="2" t="inlineStr"/>
      <c r="J3982" s="2" t="inlineStr"/>
      <c r="K3982" s="3" t="inlineStr">
        <is>
          <t>По мотивам рассказа М.Киселёвой "Таискин гусь".
Наверное, половину родного села пересватал дед Степан, потому что всегда его тянуло делать добро людям. Не отучила его от этого и тяжелая болезнь. Возвратившись из больницы в родное село, он снова оказывается в самой гуще сложных взаимоотношений окружающих его людей. И снова ему приходится выступать в роли свата. Только на этот раз вся энергия деда Степана направлена на то, чтобы помочь оказаться вместе… гусю и гусыне.</t>
        </is>
      </c>
      <c r="L3982" s="2" t="inlineStr">
        <is>
          <t>https://www.kino-teatr.ru/short/movie/sov/92672/annot/</t>
        </is>
      </c>
      <c r="M3982" s="2">
        <f>HYPERLINK("https://ru.wikipedia.org/w/index.php?search=%D0%A1%D0%B2%D0%B0%D1%82%201980%20%D1%84%D0%B8%D0%BB%D1%8C%D0%BC","искать")</f>
        <v/>
      </c>
      <c r="N3982" s="3" t="n"/>
      <c r="O3982" s="2" t="n"/>
    </row>
    <row r="3983">
      <c r="A3983" s="2" t="n">
        <v>3982</v>
      </c>
      <c r="B3983" s="2" t="inlineStr"/>
      <c r="C3983" s="2" t="n">
        <v>11058</v>
      </c>
      <c r="D3983" s="3" t="inlineStr">
        <is>
          <t>Дорогая Памелла</t>
        </is>
      </c>
      <c r="E3983" s="2" t="n">
        <v>1985</v>
      </c>
      <c r="F3983" s="2" t="inlineStr">
        <is>
          <t>фильм-спектакль</t>
        </is>
      </c>
      <c r="G3983" s="2" t="inlineStr">
        <is>
          <t>Главная редакция литературно-драматических программ ЦТ</t>
        </is>
      </c>
      <c r="H3983" s="2" t="n">
        <v>470</v>
      </c>
      <c r="I3983" s="2" t="inlineStr"/>
      <c r="J3983" s="2" t="inlineStr"/>
      <c r="K3983" s="3" t="inlineStr">
        <is>
          <t>Пьеса Джона Патрика "Как бы нам пришить старушку", перевод Р.Быковой.
Спектакль театра им. Ленинского комсомола.
Три мошенника, спасаясь от преследования полиции, приходят в дом к одинокой старушке - "божьему одуванчику" Памеле Кронки. Им в голову приходит блестящая мысль - застраховать Памелу, устроить ей несчастный случай и получить денежки. Но Памела своей чистотой, верой в людей и любовью к ним заставляет мошенников понять, что деньги в жизни - не самое главное.</t>
        </is>
      </c>
      <c r="L3983" s="2" t="inlineStr">
        <is>
          <t>https://www.kino-teatr.ru/teatr/movie/2001/annot/</t>
        </is>
      </c>
      <c r="M3983" s="2">
        <f>HYPERLINK("https://ru.wikipedia.org/w/index.php?search=%D0%94%D0%BE%D1%80%D0%BE%D0%B3%D0%B0%D1%8F%20%D0%9F%D0%B0%D0%BC%D0%B5%D0%BB%D0%BB%D0%B0%201985%20%D1%84%D0%B8%D0%BB%D1%8C%D0%BC","искать")</f>
        <v/>
      </c>
      <c r="N3983" s="3" t="n"/>
      <c r="O3983" s="2" t="n"/>
    </row>
    <row r="3984">
      <c r="A3984" s="2" t="n">
        <v>3983</v>
      </c>
      <c r="B3984" s="2" t="inlineStr"/>
      <c r="C3984" s="2" t="n">
        <v>9550</v>
      </c>
      <c r="D3984" s="3" t="inlineStr">
        <is>
          <t>Пилоты</t>
        </is>
      </c>
      <c r="E3984" s="2" t="n">
        <v>1988</v>
      </c>
      <c r="F3984" s="2" t="inlineStr">
        <is>
          <t>кинофильм</t>
        </is>
      </c>
      <c r="G3984" s="2" t="n"/>
      <c r="H3984" s="2" t="n">
        <v>472</v>
      </c>
      <c r="I3984" s="2" t="inlineStr"/>
      <c r="J3984" s="2" t="inlineStr"/>
      <c r="K3984" s="3" t="inlineStr">
        <is>
          <t>Действие фильма происходит в последние дни Великой Отечественной войны. После Мюнхенского сговора, отдавшего Чехословакию во власть Гитлеру, чех Ян Трейбал вместе с другими патриотами покидает родину. Попав в Советский Союз, герой становится командиром звена Первой Чехословацкой авиационной дивизии. Вместе с ним воюют неунывающий подпоручик Мартин Габриэль, бескомпромиссный лейтенант Александр Лежнев и полный романтических представлений о жизни юный пилот Томек Яндак.</t>
        </is>
      </c>
      <c r="L3984" s="2" t="inlineStr">
        <is>
          <t>Кино_СССР сводный каталог.xlsx: список фильмов (доп.)</t>
        </is>
      </c>
      <c r="M3984" s="2">
        <f>HYPERLINK("https://ru.wikipedia.org/w/index.php?search=%D0%9F%D0%B8%D0%BB%D0%BE%D1%82%D1%8B%201988%20%D1%84%D0%B8%D0%BB%D1%8C%D0%BC","искать")</f>
        <v/>
      </c>
      <c r="N3984" s="3" t="n"/>
      <c r="O3984" s="2" t="n"/>
    </row>
    <row r="3985">
      <c r="A3985" s="2" t="n">
        <v>3984</v>
      </c>
      <c r="B3985" s="2" t="inlineStr"/>
      <c r="C3985" s="2" t="n">
        <v>7306</v>
      </c>
      <c r="D3985" s="3" t="inlineStr">
        <is>
          <t>Вальс длиною в жизнь</t>
        </is>
      </c>
      <c r="E3985" s="2" t="n">
        <v>1990</v>
      </c>
      <c r="F3985" s="2" t="inlineStr">
        <is>
          <t>телефильм</t>
        </is>
      </c>
      <c r="G3985" s="2" t="n"/>
      <c r="H3985" s="2" t="n">
        <v>473</v>
      </c>
      <c r="I3985" s="2" t="inlineStr"/>
      <c r="J3985" s="2" t="inlineStr"/>
      <c r="K3985" s="3" t="inlineStr">
        <is>
          <t>О латышской женщине, покинувшей родину во время Второй мировой войны вслед за возлюбленным, молодым немецким солдатом. Велта несомненно сознавала, что ее никогда не оставят в покое угрызения совести и воспоминания о своем первом ребенке, отданном на воспитание сестре. И теперь поездка на родину в качестве гостьи, встречи с друзьями юности и такой чужой дочерью — все это составляет канву кинодрамы, правдиво и эмоционально рассказывающей о времени, ломавшем судьбы людей.</t>
        </is>
      </c>
      <c r="L3985" s="2" t="inlineStr">
        <is>
          <t>Кино_СССР сводный каталог.xlsx: список телефильмов</t>
        </is>
      </c>
      <c r="M3985" s="2">
        <f>HYPERLINK("https://ru.wikipedia.org/w/index.php?search=%D0%92%D0%B0%D0%BB%D1%8C%D1%81%20%D0%B4%D0%BB%D0%B8%D0%BD%D0%BE%D1%8E%20%D0%B2%20%D0%B6%D0%B8%D0%B7%D0%BD%D1%8C%201990%20%D1%84%D0%B8%D0%BB%D1%8C%D0%BC","искать")</f>
        <v/>
      </c>
      <c r="N3985" s="3" t="n"/>
      <c r="O3985" s="2" t="n"/>
    </row>
    <row r="3986">
      <c r="A3986" s="2" t="n">
        <v>3985</v>
      </c>
      <c r="B3986" s="2" t="inlineStr"/>
      <c r="C3986" s="2" t="n">
        <v>9237</v>
      </c>
      <c r="D3986" s="3" t="inlineStr">
        <is>
          <t>Бесаме</t>
        </is>
      </c>
      <c r="E3986" s="2" t="n">
        <v>1989</v>
      </c>
      <c r="F3986" s="2" t="inlineStr">
        <is>
          <t>кинофильм</t>
        </is>
      </c>
      <c r="G3986" s="2" t="n"/>
      <c r="H3986" s="2" t="n">
        <v>473</v>
      </c>
      <c r="I3986" s="2" t="inlineStr"/>
      <c r="J3986" s="2" t="inlineStr"/>
      <c r="K3986" s="3" t="inlineStr">
        <is>
          <t>ბესამე Действие фильма происходит в Испании. Ректор Академии музыки во время путешествия встречает юного пастуха Бесаме, самозабвенно играющего на свирели. Ректор забирает пастушка с собой и устраивает в Академию. Увлеченный музыкант своей тупостью и рассеяностью раздражает учителей естественных наук — и вскоре оказывается в специальном пансионе для трудновоспитуемых, где воспитатель Рексач частенько поколачивает своих подопечных и заставляет их доносить друг на друга.</t>
        </is>
      </c>
      <c r="L3986" s="2" t="inlineStr">
        <is>
          <t>Кино_СССР сводный каталог.xlsx: список фильмов (доп.)</t>
        </is>
      </c>
      <c r="M3986" s="2">
        <f>HYPERLINK("https://ru.wikipedia.org/w/index.php?search=%D0%91%D0%B5%D1%81%D0%B0%D0%BC%D0%B5%201989%20%D1%84%D0%B8%D0%BB%D1%8C%D0%BC","искать")</f>
        <v/>
      </c>
      <c r="N3986" s="3" t="n"/>
      <c r="O3986" s="2" t="n"/>
    </row>
    <row r="3987">
      <c r="A3987" s="2" t="n">
        <v>3986</v>
      </c>
      <c r="B3987" s="2" t="inlineStr"/>
      <c r="C3987" s="2" t="n">
        <v>10072</v>
      </c>
      <c r="D3987" s="3" t="inlineStr">
        <is>
          <t>Композитор Имре Кальман</t>
        </is>
      </c>
      <c r="E3987" s="2" t="n">
        <v>1959</v>
      </c>
      <c r="F3987" s="2" t="inlineStr">
        <is>
          <t>фильм-спектакль</t>
        </is>
      </c>
      <c r="G3987" s="2" t="inlineStr">
        <is>
          <t>Центральное телевидение</t>
        </is>
      </c>
      <c r="H3987" s="2" t="n">
        <v>473</v>
      </c>
      <c r="I3987" s="2" t="inlineStr"/>
      <c r="J3987" s="2" t="inlineStr"/>
      <c r="K3987" s="3" t="inlineStr">
        <is>
          <t>О жизни и творчестве венгерского композитора Имре Кальмана рассказывает артист Московского театра оперетты Григорий Маркович Ярон. В отрывках из спектаклей участвуют артисты Московского театра оперетты, Московского театра им. К.С.Станиславского и В.И.Немировича-Данченко. Сцены и арии из оперетт композитора: "Осенние маневры", "Цыган-премьер", "Маленький король" ("Маттео"), "Сильва", "Баядерка", "Марица", "Фиалка Монмартра", а также фрагменты из кинофильма "Мистер Икс".</t>
        </is>
      </c>
      <c r="L3987" s="2" t="inlineStr">
        <is>
          <t>https://www.kino-teatr.ru/teatr/movie/86569/annot/</t>
        </is>
      </c>
      <c r="M3987" s="2">
        <f>HYPERLINK("https://ru.wikipedia.org/w/index.php?search=%D0%9A%D0%BE%D0%BC%D0%BF%D0%BE%D0%B7%D0%B8%D1%82%D0%BE%D1%80%20%D0%98%D0%BC%D1%80%D0%B5%20%D0%9A%D0%B0%D0%BB%D1%8C%D0%BC%D0%B0%D0%BD%201959%20%D1%84%D0%B8%D0%BB%D1%8C%D0%BC","искать")</f>
        <v/>
      </c>
      <c r="N3987" s="3" t="n"/>
      <c r="O3987" s="2" t="n"/>
    </row>
    <row r="3988">
      <c r="A3988" s="2" t="n">
        <v>3987</v>
      </c>
      <c r="B3988" s="2" t="inlineStr"/>
      <c r="C3988" s="2" t="n">
        <v>10518</v>
      </c>
      <c r="D3988" s="3" t="inlineStr">
        <is>
          <t>Село Степанчиково и его обитатели</t>
        </is>
      </c>
      <c r="E3988" s="2" t="n">
        <v>1973</v>
      </c>
      <c r="F3988" s="2" t="inlineStr">
        <is>
          <t>фильм-спектакль</t>
        </is>
      </c>
      <c r="G3988" s="2" t="inlineStr">
        <is>
          <t>МХАТ им. Горького и ТО "Экран"</t>
        </is>
      </c>
      <c r="H3988" s="2" t="n">
        <v>473</v>
      </c>
      <c r="I3988" s="2" t="inlineStr"/>
      <c r="J3988" s="2" t="inlineStr"/>
      <c r="K3988" s="3" t="inlineStr">
        <is>
          <t>Спектакль МХАТ им. Горького.
По мотивам одноименной повести Ф. М. Достоевского
"Я только что соскочил со сковороды (вышел из университета) и некоторое время жил в Петербурге, когда получил от дяди, полковника Ростанева, письмо, в котором он звал меня к себе, в Степанчиково, чтобы жениться на гувернантке его детей (по слухам, прехорошенькой). Так я столкнулся со «сладкогласнейшим человеком» Фомой Фомичем Опискиным и был поставлен в круговорот удивительнейших событий..."</t>
        </is>
      </c>
      <c r="L3988" s="2" t="inlineStr">
        <is>
          <t>https://www.kino-teatr.ru/teatr/movie/87079/annot/</t>
        </is>
      </c>
      <c r="M3988" s="2">
        <f>HYPERLINK("https://ru.wikipedia.org/w/index.php?search=%D0%A1%D0%B5%D0%BB%D0%BE%20%D0%A1%D1%82%D0%B5%D0%BF%D0%B0%D0%BD%D1%87%D0%B8%D0%BA%D0%BE%D0%B2%D0%BE%20%D0%B8%20%D0%B5%D0%B3%D0%BE%20%D0%BE%D0%B1%D0%B8%D1%82%D0%B0%D1%82%D0%B5%D0%BB%D0%B8%201973%20%D1%84%D0%B8%D0%BB%D1%8C%D0%BC","искать")</f>
        <v/>
      </c>
      <c r="N3988" s="3" t="n"/>
      <c r="O3988" s="2" t="n"/>
    </row>
    <row r="3989">
      <c r="A3989" s="2" t="n">
        <v>3988</v>
      </c>
      <c r="B3989" s="2" t="inlineStr"/>
      <c r="C3989" s="2" t="n">
        <v>10645</v>
      </c>
      <c r="D3989" s="3" t="inlineStr">
        <is>
          <t>Иван Фёдорович Шпонька и его тётушка</t>
        </is>
      </c>
      <c r="E3989" s="2" t="n">
        <v>1976</v>
      </c>
      <c r="F3989" s="2" t="inlineStr">
        <is>
          <t>фильм-спектакль</t>
        </is>
      </c>
      <c r="G3989" s="2" t="inlineStr">
        <is>
          <t>Главная редакция литературно-драматический программ ЦТ</t>
        </is>
      </c>
      <c r="H3989" s="2" t="n">
        <v>473</v>
      </c>
      <c r="I3989" s="2" t="inlineStr"/>
      <c r="J3989" s="2" t="inlineStr"/>
      <c r="K3989" s="3" t="inlineStr">
        <is>
          <t>По одноименной повести Н.В.Гоголя.
Любимец учителей благонравнейший школьник Ванюша вырос и превратился в застенчивого доверчивого подпоручика в отставке Ивана Федоровича Шпоньку. В провинциальном имении вместе с тетушкой он ведет свое ленивое существование. И только одно происшествие смогло внести беспокойство в неизменный уклад его растительно-пустoпорожней жизни - желание тетушки женить Ивана Федоровича. И тут ему снится сон, где он все же выполняет желание тетушки.</t>
        </is>
      </c>
      <c r="L3989" s="2" t="inlineStr">
        <is>
          <t>https://www.kino-teatr.ru/teatr/movie/2618/annot/</t>
        </is>
      </c>
      <c r="M3989" s="2">
        <f>HYPERLINK("https://ru.wikipedia.org/w/index.php?search=%D0%98%D0%B2%D0%B0%D0%BD%20%D0%A4%D1%91%D0%B4%D0%BE%D1%80%D0%BE%D0%B2%D0%B8%D1%87%20%D0%A8%D0%BF%D0%BE%D0%BD%D1%8C%D0%BA%D0%B0%20%D0%B8%20%D0%B5%D0%B3%D0%BE%20%D1%82%D1%91%D1%82%D1%83%D1%88%D0%BA%D0%B0%201976%20%D1%84%D0%B8%D0%BB%D1%8C%D0%BC","искать")</f>
        <v/>
      </c>
      <c r="N3989" s="3" t="n"/>
      <c r="O3989" s="2" t="n"/>
    </row>
    <row r="3990">
      <c r="A3990" s="2" t="n">
        <v>3989</v>
      </c>
      <c r="B3990" s="2" t="inlineStr"/>
      <c r="C3990" s="2" t="n">
        <v>8781</v>
      </c>
      <c r="D3990" s="3" t="inlineStr">
        <is>
          <t>Круг обречённых</t>
        </is>
      </c>
      <c r="E3990" s="2" t="n">
        <v>1991</v>
      </c>
      <c r="F3990" s="2" t="inlineStr">
        <is>
          <t>кинофильм</t>
        </is>
      </c>
      <c r="G3990" s="2" t="n"/>
      <c r="H3990" s="2" t="n">
        <v>474</v>
      </c>
      <c r="I3990" s="2" t="inlineStr"/>
      <c r="J3990" s="2" t="inlineStr"/>
      <c r="K3990" s="3" t="inlineStr">
        <is>
          <t>Фармацевт Ирина и журналист Сергей планируют убийство его ревнивой жены Ларисы, с целью получения машины, дачи, квартиры и других материальных ценностей. Но после осуществления задуманного с Сергеем начинают происходить странные вещи, его «благоверная» как будто с того света пытается достать его. Постепенно у Сергея начинают сдавать нервы, он мечется по замкнутому кругу в предсмертной агонии не понимая, что задумав совершить «убийство» был уже заранее обречен на гибель.</t>
        </is>
      </c>
      <c r="L3990" s="2" t="inlineStr">
        <is>
          <t>Кино_СССР сводный каталог.xlsx: список фильмов (доп.)</t>
        </is>
      </c>
      <c r="M3990" s="2">
        <f>HYPERLINK("https://ru.wikipedia.org/w/index.php?search=%D0%9A%D1%80%D1%83%D0%B3%20%D0%BE%D0%B1%D1%80%D0%B5%D1%87%D1%91%D0%BD%D0%BD%D1%8B%D1%85%201991%20%D1%84%D0%B8%D0%BB%D1%8C%D0%BC","искать")</f>
        <v/>
      </c>
      <c r="N3990" s="3" t="n"/>
      <c r="O3990" s="2" t="n"/>
    </row>
    <row r="3991">
      <c r="A3991" s="2" t="n">
        <v>3990</v>
      </c>
      <c r="B3991" s="2" t="inlineStr"/>
      <c r="C3991" s="2" t="n">
        <v>10792</v>
      </c>
      <c r="D3991" s="3" t="inlineStr">
        <is>
          <t>Варвары</t>
        </is>
      </c>
      <c r="E3991" s="2" t="n">
        <v>1979</v>
      </c>
      <c r="F3991" s="2" t="inlineStr">
        <is>
          <t>фильм-спектакль</t>
        </is>
      </c>
      <c r="G3991" s="2" t="inlineStr">
        <is>
          <t>ТО "Экран"</t>
        </is>
      </c>
      <c r="H3991" s="2" t="n">
        <v>474</v>
      </c>
      <c r="I3991" s="2" t="inlineStr"/>
      <c r="J3991" s="2" t="inlineStr"/>
      <c r="K3991" s="3" t="inlineStr">
        <is>
          <t>По одноименной пьесе М.Горького в постановке Московского драматического театра на Малой Бронной.
Спектакль полон событиями и действиями: на наших глазах строятся и распадаются любовные многоугольники, происходят жаркие объяснения в любви и ненависти, случаются ограбление, попытка убийства, разрывы мужей с жёнами и детей с отцами. В сонный провинциальный городок приезжают столичные инженеры, и обыватели выходят им навстречу — каждая роль, на свой лад, почти совершенство.</t>
        </is>
      </c>
      <c r="L3991" s="2" t="inlineStr">
        <is>
          <t>https://www.kino-teatr.ru/teatr/movie/81447/annot/</t>
        </is>
      </c>
      <c r="M3991" s="2">
        <f>HYPERLINK("https://ru.wikipedia.org/w/index.php?search=%D0%92%D0%B0%D1%80%D0%B2%D0%B0%D1%80%D1%8B%201979%20%D1%84%D0%B8%D0%BB%D1%8C%D0%BC","искать")</f>
        <v/>
      </c>
      <c r="N3991" s="3" t="n"/>
      <c r="O3991" s="2" t="n"/>
    </row>
    <row r="3992">
      <c r="A3992" s="2" t="n">
        <v>3991</v>
      </c>
      <c r="B3992" s="2" t="inlineStr"/>
      <c r="C3992" s="2" t="n">
        <v>11138</v>
      </c>
      <c r="D3992" s="3" t="inlineStr">
        <is>
          <t>Анонимка</t>
        </is>
      </c>
      <c r="E3992" s="2" t="n">
        <v>1987</v>
      </c>
      <c r="F3992" s="2" t="inlineStr">
        <is>
          <t>фильм-спектакль</t>
        </is>
      </c>
      <c r="G3992" s="2" t="inlineStr">
        <is>
          <t>Главная редакция литературно-драматических программ ЦТ</t>
        </is>
      </c>
      <c r="H3992" s="2" t="n">
        <v>474</v>
      </c>
      <c r="I3992" s="2" t="inlineStr"/>
      <c r="J3992" s="2" t="inlineStr"/>
      <c r="K3992" s="3" t="inlineStr">
        <is>
          <t>По одноименной пьесе Сергея Михалкова.
Герой пьесы - хирург клинического отделения пластической косметологии Василий Васильевич Телкин, готовится отметить свое 60-летие. Но из вышестоящей инстанции в институт была переслана анонимка, в которой против Телкина выдвигались абсурдные обвинения. Несмотря на то, что Василий Васильевич пользовался всеобщим уважением, его коллеги слишком серьезно подошли к этому "сигналу" и тем самым нанесли незаслуженную обиду своему товарищу.</t>
        </is>
      </c>
      <c r="L3992" s="2" t="inlineStr">
        <is>
          <t>https://www.kino-teatr.ru/teatr/movie/80500/annot/</t>
        </is>
      </c>
      <c r="M3992" s="2">
        <f>HYPERLINK("https://ru.wikipedia.org/w/index.php?search=%D0%90%D0%BD%D0%BE%D0%BD%D0%B8%D0%BC%D0%BA%D0%B0%201987%20%D1%84%D0%B8%D0%BB%D1%8C%D0%BC","искать")</f>
        <v/>
      </c>
      <c r="N3992" s="3" t="n"/>
      <c r="O3992" s="2" t="n"/>
    </row>
    <row r="3993">
      <c r="A3993" s="2" t="n">
        <v>3992</v>
      </c>
      <c r="B3993" s="2" t="inlineStr"/>
      <c r="C3993" s="2" t="n">
        <v>10582</v>
      </c>
      <c r="D3993" s="3" t="inlineStr">
        <is>
          <t>Преступление Сильвестра Бонара</t>
        </is>
      </c>
      <c r="E3993" s="2" t="n">
        <v>1974</v>
      </c>
      <c r="F3993" s="2" t="inlineStr">
        <is>
          <t>фильм-спектакль</t>
        </is>
      </c>
      <c r="G3993" s="2" t="inlineStr">
        <is>
          <t>ЦТ, Главная редакция литературно-драматических программ</t>
        </is>
      </c>
      <c r="H3993" s="2" t="n">
        <v>475</v>
      </c>
      <c r="I3993" s="2" t="inlineStr"/>
      <c r="J3993" s="2" t="inlineStr"/>
      <c r="K3993" s="3" t="inlineStr">
        <is>
          <t>По роману Анатоля Франса.
Действие происходит в Париже в 1860-1880-х годах. Главный герой - старый книжник, одержимый благородной страстью к старинным манускриптам. Однажды он помог бедной женщине, жившей по соседству, послав ей чашку бульона и полено для камина. Скоро Бонар забыл о своем поступке. Спустя восемь лет он получил в подарок стариннную рукопись, о которой давно мечтал, и с удивлением узнал, что дарительницей была та женщина, которой он помог в трудную минуту.</t>
        </is>
      </c>
      <c r="L3993" s="2" t="inlineStr">
        <is>
          <t>https://www.kino-teatr.ru/teatr/movie/80070/annot/</t>
        </is>
      </c>
      <c r="M3993" s="2">
        <f>HYPERLINK("https://ru.wikipedia.org/w/index.php?search=%D0%9F%D1%80%D0%B5%D1%81%D1%82%D1%83%D0%BF%D0%BB%D0%B5%D0%BD%D0%B8%D0%B5%20%D0%A1%D0%B8%D0%BB%D1%8C%D0%B2%D0%B5%D1%81%D1%82%D1%80%D0%B0%20%D0%91%D0%BE%D0%BD%D0%B0%D1%80%D0%B0%201974%20%D1%84%D0%B8%D0%BB%D1%8C%D0%BC","искать")</f>
        <v/>
      </c>
      <c r="N3993" s="3" t="n"/>
      <c r="O3993" s="2" t="n"/>
    </row>
    <row r="3994">
      <c r="A3994" s="2" t="n">
        <v>3993</v>
      </c>
      <c r="B3994" s="2" t="inlineStr"/>
      <c r="C3994" s="2" t="n">
        <v>8618</v>
      </c>
      <c r="D3994" s="3" t="inlineStr">
        <is>
          <t>7 дней с русской красавицей</t>
        </is>
      </c>
      <c r="E3994" s="2" t="n">
        <v>1991</v>
      </c>
      <c r="F3994" s="2" t="inlineStr">
        <is>
          <t>кинофильм</t>
        </is>
      </c>
      <c r="G3994" s="2" t="n"/>
      <c r="H3994" s="2" t="n">
        <v>476</v>
      </c>
      <c r="I3994" s="2" t="inlineStr"/>
      <c r="J3994" s="2" t="inlineStr"/>
      <c r="K3994" s="3" t="inlineStr">
        <is>
          <t>"Перестроечная" лента – свежая, смелая и "продвинутая" по тем временам, сейчас смотрится с нежностью и ностальгией. Перестройка в разгаре. Авантюрист новой волны, владелец «липового» туристического агентства Фурич (Георгий Делиев), приглашает посетить Россию пятерых иностранцев — из Америки (Стив Рейзин — Борис Баский), Израиля (Миша — Александр Постоленко), Италии (Aндриано — Янислав Левинсон), Японии (Микио Осима-Михаил Волошин) и Африки (Мганга — Владимир Епископасян).</t>
        </is>
      </c>
      <c r="L3994" s="2" t="inlineStr">
        <is>
          <t>Кино_СССР сводный каталог.xlsx: список фильмов (доп.)</t>
        </is>
      </c>
      <c r="M3994" s="2">
        <f>HYPERLINK("https://ru.wikipedia.org/w/index.php?search=7%20%D0%B4%D0%BD%D0%B5%D0%B9%20%D1%81%20%D1%80%D1%83%D1%81%D1%81%D0%BA%D0%BE%D0%B9%20%D0%BA%D1%80%D0%B0%D1%81%D0%B0%D0%B2%D0%B8%D1%86%D0%B5%D0%B9%201991%20%D1%84%D0%B8%D0%BB%D1%8C%D0%BC","искать")</f>
        <v/>
      </c>
      <c r="N3994" s="3" t="n"/>
      <c r="O3994" s="2" t="n"/>
    </row>
    <row r="3995">
      <c r="A3995" s="2" t="n">
        <v>3994</v>
      </c>
      <c r="B3995" s="2" t="inlineStr"/>
      <c r="C3995" s="2" t="n">
        <v>10849</v>
      </c>
      <c r="D3995" s="3" t="inlineStr">
        <is>
          <t>Кто прав, кто виноват</t>
        </is>
      </c>
      <c r="E3995" s="2" t="n">
        <v>1980</v>
      </c>
      <c r="F3995" s="2" t="inlineStr">
        <is>
          <t>фильм-спектакль</t>
        </is>
      </c>
      <c r="G3995" s="2" t="inlineStr">
        <is>
          <t>Центральное телевидение</t>
        </is>
      </c>
      <c r="H3995" s="2" t="n">
        <v>480</v>
      </c>
      <c r="I3995" s="2" t="inlineStr"/>
      <c r="J3995" s="2" t="inlineStr"/>
      <c r="K3995" s="3" t="inlineStr">
        <is>
          <t>Телеспектакль по мотивам произведений Натальи и Александра Долининых. К народному судье Кавелину обратился некто Чумаков. Он принес исковое заявление к своему сыну, Сергею Грибанову, в котором требует от него заботы, любви и алиментов. Чумаков, оставивший семью, когда мальчику было два года, сейчас боится остаться один, потому что настоящим, любящим отцом Сергею стал отчим… Судье Кавелину предстоит разобраться в этой непростой, но, к сожалению, встречающейся в жизни ситуации.</t>
        </is>
      </c>
      <c r="L3995" s="2" t="inlineStr">
        <is>
          <t>https://www.kino-teatr.ru/teatr/movie/137634/annot/</t>
        </is>
      </c>
      <c r="M3995" s="2">
        <f>HYPERLINK("https://ru.wikipedia.org/w/index.php?search=%D0%9A%D1%82%D0%BE%20%D0%BF%D1%80%D0%B0%D0%B2%2C%20%D0%BA%D1%82%D0%BE%20%D0%B2%D0%B8%D0%BD%D0%BE%D0%B2%D0%B0%D1%82%201980%20%D1%84%D0%B8%D0%BB%D1%8C%D0%BC","искать")</f>
        <v/>
      </c>
      <c r="N3995" s="3" t="n"/>
      <c r="O3995" s="2" t="n"/>
    </row>
    <row r="3996">
      <c r="A3996" s="2" t="n">
        <v>3995</v>
      </c>
      <c r="B3996" s="2" t="inlineStr"/>
      <c r="C3996" s="2" t="n">
        <v>11003</v>
      </c>
      <c r="D3996" s="3" t="inlineStr">
        <is>
          <t>Отпуск по ранению</t>
        </is>
      </c>
      <c r="E3996" s="2" t="n">
        <v>1983</v>
      </c>
      <c r="F3996" s="2" t="inlineStr">
        <is>
          <t>фильм-спектакль</t>
        </is>
      </c>
      <c r="G3996" s="2" t="inlineStr">
        <is>
          <t>Творческое объединение "Экран"</t>
        </is>
      </c>
      <c r="H3996" s="2" t="n">
        <v>480</v>
      </c>
      <c r="I3996" s="2" t="inlineStr"/>
      <c r="J3996" s="2" t="inlineStr"/>
      <c r="K3996" s="3" t="inlineStr">
        <is>
          <t>По одноименной повести Вячеслава Кондратьева в постановке Московского драматического театра на Малой Бронной.
Действие происходит в годы Великой Отечественной войны. Домой в Москву приезжает в отпуск по ранению лейтенант Владимир Канаев. Здесь он встречает старых друзей, обретает первую любовь - Тоню. Владимир решительно отказывается от предложения продолжить военную службу в части отца Тони, наиболее безопасном месте. Он возвращается в родную часть, к своим боевым товарищам.</t>
        </is>
      </c>
      <c r="L3996" s="2" t="inlineStr">
        <is>
          <t>https://www.kino-teatr.ru/teatr/movie/4888/annot/</t>
        </is>
      </c>
      <c r="M3996" s="2">
        <f>HYPERLINK("https://ru.wikipedia.org/w/index.php?search=%D0%9E%D1%82%D0%BF%D1%83%D1%81%D0%BA%20%D0%BF%D0%BE%20%D1%80%D0%B0%D0%BD%D0%B5%D0%BD%D0%B8%D1%8E%201983%20%D1%84%D0%B8%D0%BB%D1%8C%D0%BC","искать")</f>
        <v/>
      </c>
      <c r="N3996" s="3" t="n"/>
      <c r="O3996" s="2" t="n"/>
    </row>
    <row r="3997">
      <c r="A3997" s="2" t="n">
        <v>3996</v>
      </c>
      <c r="B3997" s="2" t="inlineStr"/>
      <c r="C3997" s="2" t="n">
        <v>10549</v>
      </c>
      <c r="D3997" s="3" t="inlineStr">
        <is>
          <t>Волшебная лампа Аладдина</t>
        </is>
      </c>
      <c r="E3997" s="2" t="n">
        <v>1974</v>
      </c>
      <c r="F3997" s="2" t="inlineStr">
        <is>
          <t>фильм-спектакль</t>
        </is>
      </c>
      <c r="G3997" s="2" t="inlineStr">
        <is>
          <t>Экран</t>
        </is>
      </c>
      <c r="H3997" s="2" t="n">
        <v>481</v>
      </c>
      <c r="I3997" s="2" t="inlineStr"/>
      <c r="J3997" s="2" t="inlineStr"/>
      <c r="K3997" s="3" t="inlineStr">
        <is>
          <t>Пьеса известного драматурга Нины Гернет написана по мотивам арабских сказок "1001 ночи".
Один из самых красивых спектаклей театра С.В. Образцова - восточный город с золотыми дворцами, парад грациозных кукол, волшебство чудесных превращений и сказочная фантастика. Грозный Джинн Кашкаш и величественный повелитель пустыни - лев. Романтическая любовь Аладдина и царевны Будур, ради которой горячий и смелый юноша вступил в борьбу с коварным и алчным визирем и преодолел все преграды.</t>
        </is>
      </c>
      <c r="L3997" s="2" t="inlineStr">
        <is>
          <t>https://www.kino-teatr.ru/teatr/movie/87295/annot/</t>
        </is>
      </c>
      <c r="M3997" s="2">
        <f>HYPERLINK("https://ru.wikipedia.org/w/index.php?search=%D0%92%D0%BE%D0%BB%D1%88%D0%B5%D0%B1%D0%BD%D0%B0%D1%8F%20%D0%BB%D0%B0%D0%BC%D0%BF%D0%B0%20%D0%90%D0%BB%D0%B0%D0%B4%D0%B4%D0%B8%D0%BD%D0%B0%201974%20%D1%84%D0%B8%D0%BB%D1%8C%D0%BC","искать")</f>
        <v/>
      </c>
      <c r="N3997" s="3" t="n"/>
      <c r="O3997" s="2" t="n"/>
    </row>
    <row r="3998">
      <c r="A3998" s="2" t="n">
        <v>3997</v>
      </c>
      <c r="B3998" s="2" t="inlineStr"/>
      <c r="C3998" s="2" t="n">
        <v>11109</v>
      </c>
      <c r="D3998" s="3" t="inlineStr">
        <is>
          <t>Железный класс</t>
        </is>
      </c>
      <c r="E3998" s="2" t="n">
        <v>1986</v>
      </c>
      <c r="F3998" s="2" t="inlineStr">
        <is>
          <t>фильм-спектакль</t>
        </is>
      </c>
      <c r="G3998" s="2" t="n"/>
      <c r="H3998" s="2" t="n">
        <v>482</v>
      </c>
      <c r="I3998" s="2" t="inlineStr"/>
      <c r="J3998" s="2" t="inlineStr"/>
      <c r="K3998" s="3" t="inlineStr">
        <is>
          <t>Фильм-спектакль поставлен по произведению итальянского драматурга Альдо Николаи.
Бокка и Палья знакомятся случайно. Встреча этих неприкаянных, душевно одиноких людей становится для них событием поворотным. Вчера еще смирившиеся с печальными итогами своей жизни, - сегодня они взбунтовались, решив бежать... Бежать от постылых будней, от печальных мыслей, эгоизма окружающих, бежать от самих себя. С отвагой мальчишек разрабатывают они тайный план. Их девиз - независимость, свобода!</t>
        </is>
      </c>
      <c r="L3998" s="2" t="inlineStr">
        <is>
          <t>https://www.kino-teatr.ru/teatr/movie/95190/annot/</t>
        </is>
      </c>
      <c r="M3998" s="2">
        <f>HYPERLINK("https://ru.wikipedia.org/w/index.php?search=%D0%96%D0%B5%D0%BB%D0%B5%D0%B7%D0%BD%D1%8B%D0%B9%20%D0%BA%D0%BB%D0%B0%D1%81%D1%81%201986%20%D1%84%D0%B8%D0%BB%D1%8C%D0%BC","искать")</f>
        <v/>
      </c>
      <c r="N3998" s="3" t="n"/>
      <c r="O3998" s="2" t="n"/>
    </row>
    <row r="3999">
      <c r="A3999" s="2" t="n">
        <v>3998</v>
      </c>
      <c r="B3999" s="2" t="inlineStr"/>
      <c r="C3999" s="2" t="n">
        <v>9366</v>
      </c>
      <c r="D3999" s="3" t="inlineStr">
        <is>
          <t>Загадка Эндхауза</t>
        </is>
      </c>
      <c r="E3999" s="2" t="n">
        <v>1989</v>
      </c>
      <c r="F3999" s="2" t="inlineStr">
        <is>
          <t>кинофильм</t>
        </is>
      </c>
      <c r="G3999" s="2" t="n"/>
      <c r="H3999" s="2" t="n">
        <v>485</v>
      </c>
      <c r="I3999" s="2" t="inlineStr"/>
      <c r="J3999" s="2" t="inlineStr"/>
      <c r="K3999" s="3" t="inlineStr">
        <is>
          <t>По одноименному роману Агаты Кристи, повествующему о событиях в небольшом поместье, Эндхаузе. Эркюль Пуаро уже отошел от дел, но неожиданное знакомство с Ник Бакли вынуждает его заняться расследованием. Ник – наследница Эндхауза, достаточно большого дома, однако заложенного и запущенного. По ее словам, на нее совершают покушения: в ее машине вдруг портится тормозной механизм, на нее падает огромный камень со скалы, а как-то ночью рвется шнур картины, которая висит над ее кроватью.</t>
        </is>
      </c>
      <c r="L3999" s="2" t="inlineStr">
        <is>
          <t>Кино_СССР сводный каталог.xlsx: список фильмов (доп.)</t>
        </is>
      </c>
      <c r="M3999" s="2">
        <f>HYPERLINK("https://ru.wikipedia.org/w/index.php?search=%D0%97%D0%B0%D0%B3%D0%B0%D0%B4%D0%BA%D0%B0%20%D0%AD%D0%BD%D0%B4%D1%85%D0%B0%D1%83%D0%B7%D0%B0%201989%20%D1%84%D0%B8%D0%BB%D1%8C%D0%BC","искать")</f>
        <v/>
      </c>
      <c r="N3999" s="3" t="n"/>
      <c r="O3999" s="2" t="n"/>
    </row>
    <row r="4000">
      <c r="A4000" s="2" t="n">
        <v>3999</v>
      </c>
      <c r="B4000" s="2" t="inlineStr"/>
      <c r="C4000" s="2" t="n">
        <v>10654</v>
      </c>
      <c r="D4000" s="3" t="inlineStr">
        <is>
          <t>Мария Стюарт</t>
        </is>
      </c>
      <c r="E4000" s="2" t="n">
        <v>1976</v>
      </c>
      <c r="F4000" s="2" t="inlineStr">
        <is>
          <t>фильм-спектакль</t>
        </is>
      </c>
      <c r="G4000" s="2" t="inlineStr">
        <is>
          <t>ТО "Экран"</t>
        </is>
      </c>
      <c r="H4000" s="2" t="n">
        <v>485</v>
      </c>
      <c r="I4000" s="2" t="inlineStr"/>
      <c r="J4000" s="2" t="inlineStr"/>
      <c r="K4000" s="3" t="inlineStr">
        <is>
          <t>МХАТ им.Горького. Спектакль по одноименной пьесе Ф.Шиллера.
О противостоянии королевы английской Елизаветы I и королевы шотландской Марии. В роли Елизаветы — королева российской сцены — Ангелина Степанова. Премьера состоялась в 1957 году. На сцене тогда царили Ангелина Степанова и Алла Тарасова. Спектакль шел на сцене МХАТа практически 20 лет, когда было решено сделать его телеверсию. Увы, к тому моменту Аллы Тарасовой уже не стало, и роль Марии Стюарт сыграла Людмила Сухолинская.</t>
        </is>
      </c>
      <c r="L4000" s="2" t="inlineStr">
        <is>
          <t>https://www.kino-teatr.ru/teatr/movie/81972/annot/</t>
        </is>
      </c>
      <c r="M4000" s="2">
        <f>HYPERLINK("https://ru.wikipedia.org/w/index.php?search=%D0%9C%D0%B0%D1%80%D0%B8%D1%8F%20%D0%A1%D1%82%D1%8E%D0%B0%D1%80%D1%82%201976%20%D1%84%D0%B8%D0%BB%D1%8C%D0%BC","искать")</f>
        <v/>
      </c>
      <c r="N4000" s="3" t="n"/>
      <c r="O4000" s="2" t="n"/>
    </row>
    <row r="4001">
      <c r="A4001" s="2" t="n">
        <v>4000</v>
      </c>
      <c r="B4001" s="2" t="inlineStr"/>
      <c r="C4001" s="2" t="n">
        <v>9844</v>
      </c>
      <c r="D4001" s="3" t="inlineStr">
        <is>
          <t>Человек Иван Чижиков</t>
        </is>
      </c>
      <c r="E4001" s="2" t="n">
        <v>1967</v>
      </c>
      <c r="F4001" s="2" t="inlineStr">
        <is>
          <t>телефильм</t>
        </is>
      </c>
      <c r="G4001" s="2" t="inlineStr">
        <is>
          <t>Саратовское телевидение</t>
        </is>
      </c>
      <c r="H4001" s="2" t="n">
        <v>486</v>
      </c>
      <c r="I4001" s="2" t="inlineStr"/>
      <c r="J4001" s="2" t="inlineStr"/>
      <c r="K4001" s="3" t="inlineStr">
        <is>
          <t>По одноименной повести Галины Ширяевой.
Андрей и Дина — брат и сестра, близнецы. Их отец, Иван Чижиков, был партизаном и погиб ещё до их рождения. Даже фотографии его не было, только портрет, нарисованный Андреем со слов мамы. Этот портрет легко давал советы в самых сложных ситуациях.
Всё меняет кратковременный приезд двоюродной сестры матери — тёти Леры. И её же последующее письмо. Прочитав его, Дина понимает: что-то они с братом не знают об отце. И решает непременно это выяснить.</t>
        </is>
      </c>
      <c r="L4001" s="2" t="inlineStr">
        <is>
          <t>https://www.kino-teatr.ru/short/movie/sov/92787/annot/</t>
        </is>
      </c>
      <c r="M4001" s="2">
        <f>HYPERLINK("https://ru.wikipedia.org/w/index.php?search=%D0%A7%D0%B5%D0%BB%D0%BE%D0%B2%D0%B5%D0%BA%20%D0%98%D0%B2%D0%B0%D0%BD%20%D0%A7%D0%B8%D0%B6%D0%B8%D0%BA%D0%BE%D0%B2%201967%20%D1%84%D0%B8%D0%BB%D1%8C%D0%BC","искать")</f>
        <v/>
      </c>
      <c r="N4001" s="3" t="n"/>
      <c r="O4001" s="2" t="n"/>
    </row>
    <row r="4002">
      <c r="A4002" s="2" t="n">
        <v>4001</v>
      </c>
      <c r="B4002" s="2" t="inlineStr"/>
      <c r="C4002" s="2" t="n">
        <v>10974</v>
      </c>
      <c r="D4002" s="3" t="inlineStr">
        <is>
          <t>Шесть старых дев и один мужчина</t>
        </is>
      </c>
      <c r="E4002" s="2" t="n">
        <v>1982</v>
      </c>
      <c r="F4002" s="2" t="inlineStr">
        <is>
          <t>фильм-спектакль</t>
        </is>
      </c>
      <c r="G4002" s="2" t="inlineStr">
        <is>
          <t>Главная редакция литературно-драматических программ</t>
        </is>
      </c>
      <c r="H4002" s="2" t="n">
        <v>487</v>
      </c>
      <c r="I4002" s="2" t="inlineStr"/>
      <c r="J4002" s="2" t="inlineStr"/>
      <c r="K4002" s="3" t="inlineStr">
        <is>
          <t>Телеверсия спектакля Московского театра миниатюр (ныне "Эрмитаж").
По одноименной пьесе Отиа Иоселиани.
Герои Иоселиани, как и все люди, любят, страдают, тоскуют, надеются, мечтают о любви. Мечта творит ре­альность. И кому-то обязательно повезет и в этой доброй комедии. Мечта осуществится, и придет любовь. Но это случится только в финале.
А начинается эта история так: шесть одиноких женщин приезжают в горы покататься на лыжах и останавливаются в доме одинокого мужчины, вдовца Митуа.</t>
        </is>
      </c>
      <c r="L4002" s="2" t="inlineStr">
        <is>
          <t>https://www.kino-teatr.ru/teatr/movie/84725/annot/</t>
        </is>
      </c>
      <c r="M4002" s="2">
        <f>HYPERLINK("https://ru.wikipedia.org/w/index.php?search=%D0%A8%D0%B5%D1%81%D1%82%D1%8C%20%D1%81%D1%82%D0%B0%D1%80%D1%8B%D1%85%20%D0%B4%D0%B5%D0%B2%20%D0%B8%20%D0%BE%D0%B4%D0%B8%D0%BD%20%D0%BC%D1%83%D0%B6%D1%87%D0%B8%D0%BD%D0%B0%201982%20%D1%84%D0%B8%D0%BB%D1%8C%D0%BC","искать")</f>
        <v/>
      </c>
      <c r="N4002" s="3" t="n"/>
      <c r="O4002" s="2" t="n"/>
    </row>
    <row r="4003">
      <c r="A4003" s="2" t="n">
        <v>4002</v>
      </c>
      <c r="B4003" s="2" t="inlineStr"/>
      <c r="C4003" s="2" t="n">
        <v>9105</v>
      </c>
      <c r="D4003" s="3" t="inlineStr">
        <is>
          <t>Только для сумасшедших</t>
        </is>
      </c>
      <c r="E4003" s="2" t="n">
        <v>1990</v>
      </c>
      <c r="F4003" s="2" t="inlineStr">
        <is>
          <t>кинофильм</t>
        </is>
      </c>
      <c r="G4003" s="2" t="n"/>
      <c r="H4003" s="2" t="n">
        <v>488</v>
      </c>
      <c r="I4003" s="2" t="inlineStr"/>
      <c r="J4003" s="2" t="inlineStr"/>
      <c r="K4003" s="3" t="inlineStr">
        <is>
          <t>В больницу маленького эстонского городка привозят молодого человека, пытавшегося покончить с собой. Парень не смог пережить страшный удар судьбы — выражаясь фигурально, в самый ответственный для юного любовника момент наш герой оказался несостоятельным. Одна из больничных медсестер, жалея несчастного юношу, приводит его ночью в одну из процедурных комнат и простейшим способом излечивает его от стремления к самоубийству, доказав, что страхи по поводу импотенции несколько преувеличены.</t>
        </is>
      </c>
      <c r="L4003" s="2" t="inlineStr">
        <is>
          <t>Кино_СССР сводный каталог.xlsx: список фильмов (доп.)</t>
        </is>
      </c>
      <c r="M4003" s="2">
        <f>HYPERLINK("https://ru.wikipedia.org/w/index.php?search=%D0%A2%D0%BE%D0%BB%D1%8C%D0%BA%D0%BE%20%D0%B4%D0%BB%D1%8F%20%D1%81%D1%83%D0%BC%D0%B0%D1%81%D1%88%D0%B5%D0%B4%D1%88%D0%B8%D1%85%201990%20%D1%84%D0%B8%D0%BB%D1%8C%D0%BC","искать")</f>
        <v/>
      </c>
      <c r="N4003" s="3" t="n"/>
      <c r="O4003" s="2" t="n"/>
    </row>
    <row r="4004">
      <c r="A4004" s="2" t="n">
        <v>4003</v>
      </c>
      <c r="B4004" s="2" t="inlineStr"/>
      <c r="C4004" s="2" t="n">
        <v>9946</v>
      </c>
      <c r="D4004" s="3" t="inlineStr">
        <is>
          <t>Пропасть</t>
        </is>
      </c>
      <c r="E4004" s="2" t="n">
        <v>1979</v>
      </c>
      <c r="F4004" s="2" t="inlineStr">
        <is>
          <t>телефильм</t>
        </is>
      </c>
      <c r="G4004" s="2" t="n"/>
      <c r="H4004" s="2" t="n">
        <v>488</v>
      </c>
      <c r="I4004" s="2" t="inlineStr"/>
      <c r="J4004" s="2" t="inlineStr"/>
      <c r="K4004" s="3" t="inlineStr">
        <is>
          <t>Действие фильма начинается в 1922 году в Грузии. Рядом с семью товарищами происходит странное событие. Один из них, владеющий секретом джигитовки, чудом остается жив. Плененные чувством долга, товарищи решают ехать в Гори, чтобы найти этого человека, а если удастся, то остановить его преступление, которое будет стоить жизни многим невинным. С легкой руки вождя в Грузии вспыхивает гражданская война, которая унесет жизни всех, кого они нашли, но успеет открыть еще много других смертей.</t>
        </is>
      </c>
      <c r="L4004" s="2" t="inlineStr">
        <is>
          <t>https://www.kino-teatr.ru/short/movie/sov/12686/annot/</t>
        </is>
      </c>
      <c r="M4004" s="2">
        <f>HYPERLINK("https://ru.wikipedia.org/w/index.php?search=%D0%9F%D1%80%D0%BE%D0%BF%D0%B0%D1%81%D1%82%D1%8C%201979%20%D1%84%D0%B8%D0%BB%D1%8C%D0%BC","искать")</f>
        <v/>
      </c>
      <c r="N4004" s="3" t="n"/>
      <c r="O4004" s="2" t="n"/>
    </row>
    <row r="4005">
      <c r="A4005" s="2" t="n">
        <v>4004</v>
      </c>
      <c r="B4005" s="2" t="inlineStr"/>
      <c r="C4005" s="2" t="n">
        <v>10874</v>
      </c>
      <c r="D4005" s="3" t="inlineStr">
        <is>
          <t>Балерина политотдела</t>
        </is>
      </c>
      <c r="E4005" s="2" t="n">
        <v>1981</v>
      </c>
      <c r="F4005" s="2" t="inlineStr">
        <is>
          <t>фильм-спектакль</t>
        </is>
      </c>
      <c r="G4005" s="2" t="inlineStr">
        <is>
          <t>Саратовское телевидение</t>
        </is>
      </c>
      <c r="H4005" s="2" t="n">
        <v>488</v>
      </c>
      <c r="I4005" s="2" t="inlineStr"/>
      <c r="J4005" s="2" t="inlineStr"/>
      <c r="K4005" s="3" t="inlineStr">
        <is>
          <t>Спектакль Саратовского театра юного зрителя имени Ленинского комсомола по одноименной пьесе Юрия Яковлева.
О юных артистах танцевальной группы Ленинградского дворца пионеров, давших 3000 концертов в блокадном городе и для бойцов фронта.
1942 год, бывшему балетмейстеру Дома пионеров, лейтенанту минометной роты Корбуту поручено создать агитбригаду. В блокадном Ленинграде он собирает группу из своих бывших учеников. Слабые, голодные, полуживые 16-летние мальчики и девочки едут на фронт.</t>
        </is>
      </c>
      <c r="L4005" s="2" t="inlineStr">
        <is>
          <t>https://www.kino-teatr.ru/teatr/movie/137603/annot/</t>
        </is>
      </c>
      <c r="M4005" s="2">
        <f>HYPERLINK("https://ru.wikipedia.org/w/index.php?search=%D0%91%D0%B0%D0%BB%D0%B5%D1%80%D0%B8%D0%BD%D0%B0%20%D0%BF%D0%BE%D0%BB%D0%B8%D1%82%D0%BE%D1%82%D0%B4%D0%B5%D0%BB%D0%B0%201981%20%D1%84%D0%B8%D0%BB%D1%8C%D0%BC","искать")</f>
        <v/>
      </c>
      <c r="N4005" s="3" t="n"/>
      <c r="O4005" s="2" t="n"/>
    </row>
    <row r="4006">
      <c r="A4006" s="2" t="n">
        <v>4005</v>
      </c>
      <c r="B4006" s="2" t="inlineStr"/>
      <c r="C4006" s="2" t="n">
        <v>8632</v>
      </c>
      <c r="D4006" s="3" t="inlineStr">
        <is>
          <t>Билет до Тадж-Махала</t>
        </is>
      </c>
      <c r="E4006" s="2" t="n">
        <v>1990</v>
      </c>
      <c r="F4006" s="2" t="inlineStr">
        <is>
          <t>кинофильм</t>
        </is>
      </c>
      <c r="G4006" s="2" t="n"/>
      <c r="H4006" s="2" t="n">
        <v>490</v>
      </c>
      <c r="I4006" s="2" t="inlineStr"/>
      <c r="J4006" s="2" t="inlineStr"/>
      <c r="K4006" s="3" t="inlineStr">
        <is>
          <t>По рассказу Римантаса Шавялиса «Фабийонас». В послевоенные годы на одном из литовских хуторов живет под страхом семья Фабийонаса Матуза. НКВД, «Лесные братья» и завистливый всезнающий представитель местной власти время от времени дают о себе знать. Прочитав книгу о жизни персидского шаха, построившего в память о жене чудо-мавзолей, излучающий по утрам лунный свет, Фабийонас решает остатки своих дней посвятить его поискам, убедиться в существовании другого, полного любви и красоты мира.</t>
        </is>
      </c>
      <c r="L4006" s="2" t="inlineStr">
        <is>
          <t>Кино_СССР сводный каталог.xlsx: список фильмов (доп.)</t>
        </is>
      </c>
      <c r="M4006" s="2">
        <f>HYPERLINK("https://ru.wikipedia.org/w/index.php?search=%D0%91%D0%B8%D0%BB%D0%B5%D1%82%20%D0%B4%D0%BE%20%D0%A2%D0%B0%D0%B4%D0%B6-%D0%9C%D0%B0%D1%85%D0%B0%D0%BB%D0%B0%201990%20%D1%84%D0%B8%D0%BB%D1%8C%D0%BC","искать")</f>
        <v/>
      </c>
      <c r="N4006" s="3" t="n"/>
      <c r="O4006" s="2" t="n"/>
    </row>
    <row r="4007">
      <c r="A4007" s="2" t="n">
        <v>4006</v>
      </c>
      <c r="B4007" s="2" t="inlineStr"/>
      <c r="C4007" s="2" t="n">
        <v>11128</v>
      </c>
      <c r="D4007" s="3" t="inlineStr">
        <is>
          <t>Птичье молоко</t>
        </is>
      </c>
      <c r="E4007" s="2" t="n">
        <v>1986</v>
      </c>
      <c r="F4007" s="2" t="inlineStr">
        <is>
          <t>фильм-спектакль</t>
        </is>
      </c>
      <c r="G4007" s="2" t="inlineStr">
        <is>
          <t>Главная редакция литературно-драматических программ ЦТ</t>
        </is>
      </c>
      <c r="H4007" s="2" t="n">
        <v>490</v>
      </c>
      <c r="I4007" s="2" t="inlineStr"/>
      <c r="J4007" s="2" t="inlineStr"/>
      <c r="K4007" s="3" t="inlineStr">
        <is>
          <t>По одноименной пьесе Аркадия Ваксберга.
Людмила Петровна Глазкова - санитарный врач кондитерской фабрики, народный контролер - написала в газету письмо о различных нарушениях на фабрике, так как администрация предприятия не реагировала на ее сигналы, а виновные лица пытались скомпрометировать Глазкову. Спецкор газеты Острецов, проявив настойчивость и принципиальность, сумел разобраться в возникшей конфликтной ситуации. В результате были разоблачены служебные злоупотребления на фабрике.</t>
        </is>
      </c>
      <c r="L4007" s="2" t="inlineStr">
        <is>
          <t>https://www.kino-teatr.ru/teatr/movie/106805/annot/</t>
        </is>
      </c>
      <c r="M4007" s="2">
        <f>HYPERLINK("https://ru.wikipedia.org/w/index.php?search=%D0%9F%D1%82%D0%B8%D1%87%D1%8C%D0%B5%20%D0%BC%D0%BE%D0%BB%D0%BE%D0%BA%D0%BE%201986%20%D1%84%D0%B8%D0%BB%D1%8C%D0%BC","искать")</f>
        <v/>
      </c>
      <c r="N4007" s="3" t="n"/>
      <c r="O4007" s="2" t="n"/>
    </row>
    <row r="4008">
      <c r="A4008" s="2" t="n">
        <v>4007</v>
      </c>
      <c r="B4008" s="2" t="inlineStr"/>
      <c r="C4008" s="2" t="n">
        <v>10728</v>
      </c>
      <c r="D4008" s="3" t="inlineStr">
        <is>
          <t>Бешеные деньги</t>
        </is>
      </c>
      <c r="E4008" s="2" t="n">
        <v>1978</v>
      </c>
      <c r="F4008" s="2" t="inlineStr">
        <is>
          <t>фильм-спектакль</t>
        </is>
      </c>
      <c r="G4008" s="2" t="inlineStr">
        <is>
          <t>ТО "Экран"</t>
        </is>
      </c>
      <c r="H4008" s="2" t="n">
        <v>491</v>
      </c>
      <c r="I4008" s="2" t="inlineStr"/>
      <c r="J4008" s="2" t="inlineStr"/>
      <c r="K4008" s="3" t="inlineStr">
        <is>
          <t>Спектакль по одноименной пьесе Александра Николаевича Островского в постановке Государственного академического Малого театра Союза ССР.
Рассказ о нравах русского дворянства XIX века удивительным образом перекликается с условиями жизни и нравственными устоями современной нам действительности. Деньгами расплачиваются за чувства, они беспощадны и губительны. Актуальная история про «нищего духом» обладателя крупного капитала, он уверен в своих силах и точно знает, как достигнуть своей цели.</t>
        </is>
      </c>
      <c r="L4008" s="2" t="inlineStr">
        <is>
          <t>https://www.kino-teatr.ru/teatr/movie/15084/annot/</t>
        </is>
      </c>
      <c r="M4008" s="2">
        <f>HYPERLINK("https://ru.wikipedia.org/w/index.php?search=%D0%91%D0%B5%D1%88%D0%B5%D0%BD%D1%8B%D0%B5%20%D0%B4%D0%B5%D0%BD%D1%8C%D0%B3%D0%B8%201978%20%D1%84%D0%B8%D0%BB%D1%8C%D0%BC","искать")</f>
        <v/>
      </c>
      <c r="N4008" s="3" t="n"/>
      <c r="O4008" s="2" t="n"/>
    </row>
    <row r="4009">
      <c r="A4009" s="2" t="n">
        <v>4008</v>
      </c>
      <c r="B4009" s="2" t="inlineStr"/>
      <c r="C4009" s="2" t="n">
        <v>10861</v>
      </c>
      <c r="D4009" s="3" t="inlineStr">
        <is>
          <t>Пойдем в кино?</t>
        </is>
      </c>
      <c r="E4009" s="2" t="n">
        <v>1980</v>
      </c>
      <c r="F4009" s="2" t="inlineStr">
        <is>
          <t>фильм-спектакль</t>
        </is>
      </c>
      <c r="G4009" s="2" t="inlineStr">
        <is>
          <t>Главная редакция программ для детей и юношества ЦТ</t>
        </is>
      </c>
      <c r="H4009" s="2" t="n">
        <v>491</v>
      </c>
      <c r="I4009" s="2" t="inlineStr"/>
      <c r="J4009" s="2" t="inlineStr"/>
      <c r="K4009" s="3" t="inlineStr">
        <is>
          <t>По одноименной пьесе Анатолия Алексина в постановке Московского театра юного зрителя.
Восьмиклассник Андрей случайно находит в старых книгах письмо, которое тридцать лет назад его дядя, погибший на фронте, написал своей школьной подруге. Встретившись с женщиной, которую в школьные годы любил дядя, Андрей понимает, что она недостойна этой любви. Он передает письмо другой однокласснице, которая не только сохранила тетрадку с его стихами и портрет, но и живые воспоминания о погибшем друге.</t>
        </is>
      </c>
      <c r="L4009" s="2" t="inlineStr">
        <is>
          <t>https://www.kino-teatr.ru/teatr/movie/17073/annot/</t>
        </is>
      </c>
      <c r="M4009" s="2">
        <f>HYPERLINK("https://ru.wikipedia.org/w/index.php?search=%D0%9F%D0%BE%D0%B9%D0%B4%D0%B5%D0%BC%20%D0%B2%20%D0%BA%D0%B8%D0%BD%D0%BE%3F%201980%20%D1%84%D0%B8%D0%BB%D1%8C%D0%BC","искать")</f>
        <v/>
      </c>
      <c r="N4009" s="3" t="n"/>
      <c r="O4009" s="2" t="n"/>
    </row>
    <row r="4010">
      <c r="A4010" s="2" t="n">
        <v>4009</v>
      </c>
      <c r="B4010" s="2" t="inlineStr"/>
      <c r="C4010" s="2" t="n">
        <v>10437</v>
      </c>
      <c r="D4010" s="3" t="inlineStr">
        <is>
          <t>Гробовщик ("Повести Белкина")</t>
        </is>
      </c>
      <c r="E4010" s="2" t="n">
        <v>1972</v>
      </c>
      <c r="F4010" s="2" t="inlineStr">
        <is>
          <t>фильм-спектакль</t>
        </is>
      </c>
      <c r="G4010" s="2" t="inlineStr">
        <is>
          <t>Главная редакция литературно-драматических программ, Подборки фильмов, экранизации Пушкина</t>
        </is>
      </c>
      <c r="H4010" s="2" t="n">
        <v>492</v>
      </c>
      <c r="I4010" s="2" t="inlineStr"/>
      <c r="J4010" s="2" t="inlineStr"/>
      <c r="K4010" s="3" t="inlineStr">
        <is>
          <t>Моноспектакль по одноименной повести А. С. Пушкина.
Гробовщик Адриан Прохоров отправляется в гости к своему новому знакомому - сапожнику. Во время застолья многочисленные гости решили выпить за здоровье тех, на кого они работают. Адриан решил, что подобное предложение было намеренной насмешкой над его ремеслом, которое он считал не хуже других. Обиженный гробовщик тоже решает пригласить к себе на пир гостей, но только не своих новых знакомых, а тех, на кого работает - клиентов-мертвецов.</t>
        </is>
      </c>
      <c r="L4010" s="2" t="inlineStr">
        <is>
          <t>https://www.kino-teatr.ru/teatr/movie/86272/annot/</t>
        </is>
      </c>
      <c r="M4010" s="2">
        <f>HYPERLINK("https://ru.wikipedia.org/w/index.php?search=%D0%93%D1%80%D0%BE%D0%B1%D0%BE%D0%B2%D1%89%D0%B8%D0%BA%20%28%22%D0%9F%D0%BE%D0%B2%D0%B5%D1%81%D1%82%D0%B8%20%D0%91%D0%B5%D0%BB%D0%BA%D0%B8%D0%BD%D0%B0%22%29%201972%20%D1%84%D0%B8%D0%BB%D1%8C%D0%BC","искать")</f>
        <v/>
      </c>
      <c r="N4010" s="3" t="n"/>
      <c r="O4010" s="2" t="n"/>
    </row>
    <row r="4011">
      <c r="A4011" s="2" t="n">
        <v>4010</v>
      </c>
      <c r="B4011" s="2" t="inlineStr"/>
      <c r="C4011" s="2" t="n">
        <v>11098</v>
      </c>
      <c r="D4011" s="3" t="inlineStr">
        <is>
          <t>Верховный суд</t>
        </is>
      </c>
      <c r="E4011" s="2" t="n">
        <v>1986</v>
      </c>
      <c r="F4011" s="2" t="inlineStr">
        <is>
          <t>фильм-спектакль</t>
        </is>
      </c>
      <c r="G4011" s="2" t="inlineStr">
        <is>
          <t>Главная редакция дитературно-драматических программ ЦТ</t>
        </is>
      </c>
      <c r="H4011" s="2" t="n">
        <v>492</v>
      </c>
      <c r="I4011" s="2" t="inlineStr"/>
      <c r="J4011" s="2" t="inlineStr"/>
      <c r="K4011" s="3" t="inlineStr">
        <is>
          <t>По пьесе Аркадия Ваксберга "Верховный суд: Хроника для театра" в постановке Московского драматического театра им. Н.В. Гоголя.
В цехе номер 7 комбината "Авангард" произошел взрыв. В результате взрыва и возникшего пожара помещение мебельного цеха и склад готовой продукции сгорели полностью. 23 человека получили тяжелые ранения и ожоги, один человек погиб.
Идет заседание Президиума Верховного суда. Рассматривается протест Председателя Верховного суда по делу Кольцова, Марского, Нестеренко.</t>
        </is>
      </c>
      <c r="L4011" s="2" t="inlineStr">
        <is>
          <t>https://www.kino-teatr.ru/teatr/movie/113943/annot/</t>
        </is>
      </c>
      <c r="M4011" s="2">
        <f>HYPERLINK("https://ru.wikipedia.org/w/index.php?search=%D0%92%D0%B5%D1%80%D1%85%D0%BE%D0%B2%D0%BD%D1%8B%D0%B9%20%D1%81%D1%83%D0%B4%201986%20%D1%84%D0%B8%D0%BB%D1%8C%D0%BC","искать")</f>
        <v/>
      </c>
      <c r="N4011" s="3" t="n"/>
      <c r="O4011" s="2" t="n"/>
    </row>
    <row r="4012">
      <c r="A4012" s="2" t="n">
        <v>4011</v>
      </c>
      <c r="B4012" s="2" t="inlineStr"/>
      <c r="C4012" s="2" t="n">
        <v>10223</v>
      </c>
      <c r="D4012" s="3" t="inlineStr">
        <is>
          <t>Чудаки</t>
        </is>
      </c>
      <c r="E4012" s="2" t="n">
        <v>1967</v>
      </c>
      <c r="F4012" s="2" t="inlineStr">
        <is>
          <t>фильм-спектакль</t>
        </is>
      </c>
      <c r="G4012" s="2" t="inlineStr">
        <is>
          <t>Ленинградское Телевидение</t>
        </is>
      </c>
      <c r="H4012" s="2" t="n">
        <v>493</v>
      </c>
      <c r="I4012" s="2" t="inlineStr"/>
      <c r="J4012" s="2" t="inlineStr"/>
      <c r="K4012" s="3" t="inlineStr">
        <is>
          <t>По одноименной пьесе М.Горького.
Любовный треугольник: жена, муж и его любовница, забавно рассыпается оттого, что любвеобильный писатель мимолетно увлекся третьей женщиной, юной и неопытной, справедливо считая, что художнику каждый день нужна муза, а не жена и любовница. Мудрая супруга приняла блудного мужа обратно, зная его поэтическую натуру. Семья устояла, а все остальные любовники и любовницы остались с «носом», что делает спектакль нравственным, несмотря на весьма откровенные намеки.</t>
        </is>
      </c>
      <c r="L4012" s="2" t="inlineStr">
        <is>
          <t>https://www.kino-teatr.ru/teatr/movie/17358/annot/</t>
        </is>
      </c>
      <c r="M4012" s="2">
        <f>HYPERLINK("https://ru.wikipedia.org/w/index.php?search=%D0%A7%D1%83%D0%B4%D0%B0%D0%BA%D0%B8%201967%20%D1%84%D0%B8%D0%BB%D1%8C%D0%BC","искать")</f>
        <v/>
      </c>
      <c r="N4012" s="3" t="n"/>
      <c r="O4012" s="2" t="n"/>
    </row>
    <row r="4013">
      <c r="A4013" s="2" t="n">
        <v>4012</v>
      </c>
      <c r="B4013" s="2" t="inlineStr"/>
      <c r="C4013" s="2" t="n">
        <v>11247</v>
      </c>
      <c r="D4013" s="3" t="inlineStr">
        <is>
          <t>Арктур - гончий пёс</t>
        </is>
      </c>
      <c r="E4013" s="2" t="n">
        <v>1989</v>
      </c>
      <c r="F4013" s="2" t="inlineStr">
        <is>
          <t>фильм-спектакль</t>
        </is>
      </c>
      <c r="G4013" s="2" t="inlineStr">
        <is>
          <t>РТР</t>
        </is>
      </c>
      <c r="H4013" s="2" t="n">
        <v>493</v>
      </c>
      <c r="I4013" s="2" t="inlineStr"/>
      <c r="J4013" s="2" t="inlineStr"/>
      <c r="K4013" s="3" t="inlineStr">
        <is>
          <t>Телеспектакль по одноименному рассказу Юрия Казакова.
О судьбе слепой собаки, которую приютил у себя деревенский доктор. Он дал ей имя по названию голубой звезды - Арктур. Однажды хозяин, заядлый охотник, взял собаку в лес, и странное волнение охватило пса. С тех пор жизнь Арктура изменилась, его притягивал запах леса. Он стал настоящим гончим псом и загнал лису. После этого многие охотники пытались перекупить у доктора собаку, но хозяин не соглашался. Однажды собака не вернулась из леса.</t>
        </is>
      </c>
      <c r="L4013" s="2" t="inlineStr">
        <is>
          <t>https://www.kino-teatr.ru/teatr/movie/289/annot/</t>
        </is>
      </c>
      <c r="M4013" s="2">
        <f>HYPERLINK("https://ru.wikipedia.org/w/index.php?search=%D0%90%D1%80%D0%BA%D1%82%D1%83%D1%80%20-%20%D0%B3%D0%BE%D0%BD%D1%87%D0%B8%D0%B9%20%D0%BF%D1%91%D1%81%201989%20%D1%84%D0%B8%D0%BB%D1%8C%D0%BC","искать")</f>
        <v/>
      </c>
      <c r="N4013" s="3" t="n"/>
      <c r="O4013" s="2" t="n"/>
    </row>
    <row r="4014">
      <c r="A4014" s="2" t="n">
        <v>4013</v>
      </c>
      <c r="B4014" s="2" t="inlineStr"/>
      <c r="C4014" s="2" t="n">
        <v>9995</v>
      </c>
      <c r="D4014" s="3" t="inlineStr">
        <is>
          <t>Три лимона для любимой</t>
        </is>
      </c>
      <c r="E4014" s="2" t="n">
        <v>1983</v>
      </c>
      <c r="F4014" s="2" t="inlineStr">
        <is>
          <t>кинофильм</t>
        </is>
      </c>
      <c r="G4014" s="2" t="inlineStr">
        <is>
          <t>Мосфильм при участии Рижской киностудии</t>
        </is>
      </c>
      <c r="H4014" s="2" t="n">
        <v>496</v>
      </c>
      <c r="I4014" s="2" t="inlineStr"/>
      <c r="J4014" s="2" t="inlineStr"/>
      <c r="K4014" s="3" t="inlineStr">
        <is>
          <t>По мотивам одноименного рассказа П.Березовского.
Лирическая комедия рассказывает историю молодоженов, которые ожидали важного события - рождения первого ребенка. Счастливый отец радуется рождению сына и готов удовлетворить любые желания любимой жены. И, хотя желение более чем скромное - всего лишь принести лимоны, Куклину приходится преодолевать множество препятствий, прежде чем он выполнит просьбу жены. И преодолеть все трудности ему помогли хорошие люди, которых он встречает на своем пути.</t>
        </is>
      </c>
      <c r="L4014" s="2" t="inlineStr">
        <is>
          <t>https://www.kino-teatr.ru/short/movie/sov/84758/annot/</t>
        </is>
      </c>
      <c r="M4014" s="2">
        <f>HYPERLINK("https://ru.wikipedia.org/w/index.php?search=%D0%A2%D1%80%D0%B8%20%D0%BB%D0%B8%D0%BC%D0%BE%D0%BD%D0%B0%20%D0%B4%D0%BB%D1%8F%20%D0%BB%D1%8E%D0%B1%D0%B8%D0%BC%D0%BE%D0%B9%201983%20%D1%84%D0%B8%D0%BB%D1%8C%D0%BC","искать")</f>
        <v/>
      </c>
      <c r="N4014" s="3" t="n"/>
      <c r="O4014" s="2" t="n"/>
    </row>
    <row r="4015">
      <c r="A4015" s="2" t="n">
        <v>4014</v>
      </c>
      <c r="B4015" s="2" t="inlineStr"/>
      <c r="C4015" s="2" t="n">
        <v>10270</v>
      </c>
      <c r="D4015" s="3" t="inlineStr">
        <is>
          <t>Принц Наполеон</t>
        </is>
      </c>
      <c r="E4015" s="2" t="n">
        <v>1968</v>
      </c>
      <c r="F4015" s="2" t="inlineStr">
        <is>
          <t>фильм-спектакль</t>
        </is>
      </c>
      <c r="G4015" s="2" t="inlineStr">
        <is>
          <t>Ленинградское телевидение</t>
        </is>
      </c>
      <c r="H4015" s="2" t="n">
        <v>498</v>
      </c>
      <c r="I4015" s="2" t="inlineStr"/>
      <c r="J4015" s="2" t="inlineStr"/>
      <c r="K4015" s="3" t="inlineStr">
        <is>
          <t>По сатирической пьесе Василия Шкваркина.
"Все великие исторические события и личности появляются дважды: первый раз - как трагедия, второй раз - как фарс" (Карл Маркс, «Восемнадцатое брюмера Луи Бонапарта» (ч. I), 1852).
Пьеса Василия Шкваркина "Принц Наполеон" (1941) - история неожиданного возвышения, падения и достижения власти авантюристом Луи Наполеоном. Кукла в руках политиканов и плутократов, ловкий спекулянт Луи Наполеон, пользуясь политической ситуацией, воцаряется на престоле Франции.</t>
        </is>
      </c>
      <c r="L4015" s="2" t="inlineStr">
        <is>
          <t>https://www.kino-teatr.ru/teatr/movie/108965/annot/</t>
        </is>
      </c>
      <c r="M4015" s="2">
        <f>HYPERLINK("https://ru.wikipedia.org/w/index.php?search=%D0%9F%D1%80%D0%B8%D0%BD%D1%86%20%D0%9D%D0%B0%D0%BF%D0%BE%D0%BB%D0%B5%D0%BE%D0%BD%201968%20%D1%84%D0%B8%D0%BB%D1%8C%D0%BC","искать")</f>
        <v/>
      </c>
      <c r="N4015" s="3" t="n"/>
      <c r="O4015" s="2" t="n"/>
    </row>
    <row r="4016">
      <c r="A4016" s="2" t="n">
        <v>4015</v>
      </c>
      <c r="B4016" s="2" t="inlineStr"/>
      <c r="C4016" s="2" t="n">
        <v>8526</v>
      </c>
      <c r="D4016" s="3" t="inlineStr">
        <is>
          <t>Холодная земля</t>
        </is>
      </c>
      <c r="E4016" s="2" t="n">
        <v>1965</v>
      </c>
      <c r="F4016" s="2" t="inlineStr">
        <is>
          <t>телефильм</t>
        </is>
      </c>
      <c r="G4016" s="2" t="n"/>
      <c r="H4016" s="2" t="n">
        <v>499</v>
      </c>
      <c r="I4016" s="2" t="inlineStr"/>
      <c r="J4016" s="2" t="inlineStr"/>
      <c r="K4016" s="3" t="inlineStr">
        <is>
          <t>Фильм снят по мотивам романа "В холодную страну" эстонского писателя и драматурга Эдуарда Вильде (1965-1933). Рассказывает о трудной жизни эстонских крестьян в Российской империи в конце XIX века. Через призму трагической истории жизни бедного крестьянина Яанне, которого голод толкнул на совершение преступления, картина отражает процессы, связанные с имущественным неравенством и противоречиями в жизни эстонской деревни конца XIX века, и раскрывает социальные причины преступлений подобного рода.</t>
        </is>
      </c>
      <c r="L4016" s="2" t="inlineStr">
        <is>
          <t>Кино_СССР сводный каталог.xlsx: список телефильмов</t>
        </is>
      </c>
      <c r="M4016" s="2">
        <f>HYPERLINK("https://ru.wikipedia.org/w/index.php?search=%D0%A5%D0%BE%D0%BB%D0%BE%D0%B4%D0%BD%D0%B0%D1%8F%20%D0%B7%D0%B5%D0%BC%D0%BB%D1%8F%201965%20%D1%84%D0%B8%D0%BB%D1%8C%D0%BC","искать")</f>
        <v/>
      </c>
      <c r="N4016" s="3" t="n"/>
      <c r="O4016" s="2" t="n"/>
    </row>
    <row r="4017">
      <c r="A4017" s="2" t="n">
        <v>4016</v>
      </c>
      <c r="B4017" s="2" t="inlineStr"/>
      <c r="C4017" s="2" t="n">
        <v>8415</v>
      </c>
      <c r="D4017" s="3" t="inlineStr">
        <is>
          <t>Строговы</t>
        </is>
      </c>
      <c r="E4017" s="2" t="n">
        <v>1976</v>
      </c>
      <c r="F4017" s="2" t="inlineStr">
        <is>
          <t>телефильм</t>
        </is>
      </c>
      <c r="G4017" s="2" t="n"/>
      <c r="H4017" s="2" t="n">
        <v>500</v>
      </c>
      <c r="I4017" s="2" t="inlineStr"/>
      <c r="J4017" s="2" t="inlineStr"/>
      <c r="K4017" s="3" t="inlineStr">
        <is>
          <t>Фильм рассказывает о быте дореволюционной сибирской деревни, о становлении характера главного героя - Матвея Строгова. Эпический роман "Строговы" известного писателя-сибиряка Георгия Мокеевича Маркова в полной мере можно назвать историческим. В своем произведении автор через судьбу крестьянской семьи Строговых ярко и образно рисует картину жизни Сибирского края в период крупных исторических событий - Русско-японской войны, революции 1905 года, Октябрьской революции 1917 года и Гражданской войны.</t>
        </is>
      </c>
      <c r="L4017" s="2" t="inlineStr">
        <is>
          <t>Кино_СССР сводный каталог.xlsx: список телефильмов</t>
        </is>
      </c>
      <c r="M4017" s="2">
        <f>HYPERLINK("https://ru.wikipedia.org/w/index.php?search=%D0%A1%D1%82%D1%80%D0%BE%D0%B3%D0%BE%D0%B2%D1%8B%201976%20%D1%84%D0%B8%D0%BB%D1%8C%D0%BC","искать")</f>
        <v/>
      </c>
      <c r="N4017" s="3" t="n"/>
      <c r="O4017" s="2" t="n"/>
    </row>
    <row r="4018">
      <c r="A4018" s="2" t="n">
        <v>4017</v>
      </c>
      <c r="B4018" s="2" t="inlineStr"/>
      <c r="C4018" s="2" t="n">
        <v>9764</v>
      </c>
      <c r="D4018" s="3" t="inlineStr">
        <is>
          <t>Шапка</t>
        </is>
      </c>
      <c r="E4018" s="2" t="n">
        <v>1990</v>
      </c>
      <c r="F4018" s="2" t="inlineStr">
        <is>
          <t>кинофильм</t>
        </is>
      </c>
      <c r="G4018" s="2" t="n"/>
      <c r="H4018" s="2" t="n">
        <v>501</v>
      </c>
      <c r="I4018" s="2" t="inlineStr"/>
      <c r="J4018" s="2" t="inlineStr"/>
      <c r="K4018" s="3" t="inlineStr">
        <is>
          <t>По Сеньке ли шапка? История о том, как столичному писателю, обеспокоенному «пятым пунктом своей анкеты», вместо положенного ему по рангу благородного или, на худой конец, кроличьего меха в Литфонде подсунули «кота домашнего средней пушистости», и как он, прежде тихий и незаметный, отважился на «бунт на корабле», уверенно рассекающем воды «социалистического реализма», дана Константином Воиновым в серии бенефисных актерских эпизодов, каждый из которых сделал бы честь игровым сюжтам любого «Фитиля».</t>
        </is>
      </c>
      <c r="L4018" s="2" t="inlineStr">
        <is>
          <t>Кино_СССР сводный каталог.xlsx: список фильмов (доп.)</t>
        </is>
      </c>
      <c r="M4018" s="2">
        <f>HYPERLINK("https://ru.wikipedia.org/w/index.php?search=%D0%A8%D0%B0%D0%BF%D0%BA%D0%B0%201990%20%D1%84%D0%B8%D0%BB%D1%8C%D0%BC","искать")</f>
        <v/>
      </c>
      <c r="N4018" s="3" t="n"/>
      <c r="O4018" s="2" t="n"/>
    </row>
    <row r="4019">
      <c r="A4019" s="2" t="n">
        <v>4018</v>
      </c>
      <c r="B4019" s="2" t="inlineStr"/>
      <c r="C4019" s="2" t="n">
        <v>10307</v>
      </c>
      <c r="D4019" s="3" t="inlineStr">
        <is>
          <t>Ждите моего звонка</t>
        </is>
      </c>
      <c r="E4019" s="2" t="n">
        <v>1969</v>
      </c>
      <c r="F4019" s="2" t="inlineStr">
        <is>
          <t>фильм-спектакль</t>
        </is>
      </c>
      <c r="G4019" s="2" t="n"/>
      <c r="H4019" s="2" t="n">
        <v>501</v>
      </c>
      <c r="I4019" s="2" t="inlineStr"/>
      <c r="J4019" s="2" t="inlineStr"/>
      <c r="K4019" s="3" t="inlineStr">
        <is>
          <t>Постановка театра "Современник".
По книге Николая Леонова "Ждите моего звонка".
Эпоха НЭПа. Лучшие кадры Московского уголовного розыска были привлечены к операции по ликвидации банды преступников-рецидивистов. Одному из сотрудников с риском для жизни удалось внедриться в банду, которая выбрала местом своего пребывания трактир на Пятницкой. Но там вдруг появляется его бывший друг детства, а ныне бандит и налетчик. Почти до самого конца телеспектакля неясно, кто из двух друзей чекист, а кто бандит.</t>
        </is>
      </c>
      <c r="L4019" s="2" t="inlineStr">
        <is>
          <t>https://www.kino-teatr.ru/teatr/movie/2158/annot/</t>
        </is>
      </c>
      <c r="M4019" s="2">
        <f>HYPERLINK("https://ru.wikipedia.org/w/index.php?search=%D0%96%D0%B4%D0%B8%D1%82%D0%B5%20%D0%BC%D0%BE%D0%B5%D0%B3%D0%BE%20%D0%B7%D0%B2%D0%BE%D0%BD%D0%BA%D0%B0%201969%20%D1%84%D0%B8%D0%BB%D1%8C%D0%BC","искать")</f>
        <v/>
      </c>
      <c r="N4019" s="3" t="n"/>
      <c r="O4019" s="2" t="n"/>
    </row>
    <row r="4020">
      <c r="A4020" s="2" t="n">
        <v>4019</v>
      </c>
      <c r="B4020" s="2" t="inlineStr"/>
      <c r="C4020" s="2" t="n">
        <v>11141</v>
      </c>
      <c r="D4020" s="3" t="inlineStr">
        <is>
          <t>Берёзовая ветка</t>
        </is>
      </c>
      <c r="E4020" s="2" t="n">
        <v>1987</v>
      </c>
      <c r="F4020" s="2" t="inlineStr">
        <is>
          <t>фильм-спектакль</t>
        </is>
      </c>
      <c r="G4020" s="2" t="inlineStr">
        <is>
          <t>Харьковская студия телевидения</t>
        </is>
      </c>
      <c r="H4020" s="2" t="n">
        <v>505</v>
      </c>
      <c r="I4020" s="2" t="inlineStr"/>
      <c r="J4020" s="2" t="inlineStr"/>
      <c r="K4020" s="3" t="inlineStr">
        <is>
          <t>Телевизионная повесть по пьесе Ю.Визбора.
В больнице небольшого городка 20 лет лежит бывший партизан Короткевич. В результате жестоких пыток в гестапо больной потерял память. Врачу-психиатру Кондакову удается вылечить Короткевича. К нему возвращается память. Теперь с помощью Короткевича становится возможным разоблачение предателей, погубивших партизанский отряд в годы войны.
В постановке участвуют актеры Харьковского украинского драматического театра им.Т.Шевченко и Харьковского Театра юного зрителя.</t>
        </is>
      </c>
      <c r="L4020" s="2" t="inlineStr">
        <is>
          <t>https://www.kino-teatr.ru/teatr/movie/81281/annot/</t>
        </is>
      </c>
      <c r="M4020" s="2">
        <f>HYPERLINK("https://ru.wikipedia.org/w/index.php?search=%D0%91%D0%B5%D1%80%D1%91%D0%B7%D0%BE%D0%B2%D0%B0%D1%8F%20%D0%B2%D0%B5%D1%82%D0%BA%D0%B0%201987%20%D1%84%D0%B8%D0%BB%D1%8C%D0%BC","искать")</f>
        <v/>
      </c>
      <c r="N4020" s="3" t="n"/>
      <c r="O4020" s="2" t="n"/>
    </row>
    <row r="4021">
      <c r="A4021" s="2" t="n">
        <v>4020</v>
      </c>
      <c r="B4021" s="2" t="inlineStr"/>
      <c r="C4021" s="2" t="n">
        <v>8589</v>
      </c>
      <c r="D4021" s="3" t="inlineStr">
        <is>
          <t>Экзамен на директора</t>
        </is>
      </c>
      <c r="E4021" s="2" t="n">
        <v>1986</v>
      </c>
      <c r="F4021" s="2" t="inlineStr">
        <is>
          <t>телефильм</t>
        </is>
      </c>
      <c r="G4021" s="2" t="n"/>
      <c r="H4021" s="2" t="n">
        <v>506</v>
      </c>
      <c r="I4021" s="2" t="inlineStr"/>
      <c r="J4021" s="2" t="inlineStr"/>
      <c r="K4021" s="3" t="inlineStr">
        <is>
          <t>Главный герой фильма - Виктор Петрович, выпускник института, приехал по распределению в небольшую сельскую школу. Волей случая его сразу назначили директором. Но из-за отсутствия педагогического опыта Виктор допускает ряд ошибок, идет на поводу завуча школы и инспектора РОНО. В картине прослеживаются взаимоотношения Виктора Петровича с завучем школы Галиной Павловной - женщиной со сложной судьбой, которая пришла в школу в послевоенные годы; с молодой учительницей Ириной Алексеевной; с учениками школы.</t>
        </is>
      </c>
      <c r="L4021" s="2" t="inlineStr">
        <is>
          <t>Кино_СССР сводный каталог.xlsx: список телефильмов</t>
        </is>
      </c>
      <c r="M4021" s="2">
        <f>HYPERLINK("https://ru.wikipedia.org/w/index.php?search=%D0%AD%D0%BA%D0%B7%D0%B0%D0%BC%D0%B5%D0%BD%20%D0%BD%D0%B0%20%D0%B4%D0%B8%D1%80%D0%B5%D0%BA%D1%82%D0%BE%D1%80%D0%B0%201986%20%D1%84%D0%B8%D0%BB%D1%8C%D0%BC","искать")</f>
        <v/>
      </c>
      <c r="N4021" s="3" t="n"/>
      <c r="O4021" s="2" t="n"/>
    </row>
    <row r="4022">
      <c r="A4022" s="2" t="n">
        <v>4021</v>
      </c>
      <c r="B4022" s="2" t="inlineStr"/>
      <c r="C4022" s="2" t="n">
        <v>11310</v>
      </c>
      <c r="D4022" s="3" t="inlineStr">
        <is>
          <t>Му-му</t>
        </is>
      </c>
      <c r="E4022" s="2" t="n">
        <v>1990</v>
      </c>
      <c r="F4022" s="2" t="inlineStr">
        <is>
          <t>фильм-спектакль</t>
        </is>
      </c>
      <c r="G4022" s="2" t="inlineStr">
        <is>
          <t>МДТ, ЦТ</t>
        </is>
      </c>
      <c r="H4022" s="2" t="n">
        <v>506</v>
      </c>
      <c r="I4022" s="2" t="inlineStr"/>
      <c r="J4022" s="2" t="inlineStr"/>
      <c r="K4022" s="3" t="inlineStr">
        <is>
          <t>Спектакль поставлен по мотивам повести И.С. Тургенева.
История про Герасима и Муму вставлена в рамка из «Записок охотника». Барин заходит в деревенский кабак, где ему рассказывают историю Герасима посетители заведения. Но рассказывает не просто так, а показывают, разыгрывают спектакль перед сидящим за столом охотником. Они скоморошничают, говорят смешными голосами, ходят, сжавшись в комок. Но вскоре это действие отходит на второй план, и эту же историю начинают разыгрывать по-настоящему другие актеры.</t>
        </is>
      </c>
      <c r="L4022" s="2" t="inlineStr">
        <is>
          <t>https://www.kino-teatr.ru/teatr/movie/116688/annot/</t>
        </is>
      </c>
      <c r="M4022" s="2">
        <f>HYPERLINK("https://ru.wikipedia.org/w/index.php?search=%D0%9C%D1%83-%D0%BC%D1%83%201990%20%D1%84%D0%B8%D0%BB%D1%8C%D0%BC","искать")</f>
        <v/>
      </c>
      <c r="N4022" s="3" t="n"/>
      <c r="O4022" s="2" t="n"/>
    </row>
    <row r="4023">
      <c r="A4023" s="2" t="n">
        <v>4022</v>
      </c>
      <c r="B4023" s="2" t="inlineStr"/>
      <c r="C4023" s="2" t="n">
        <v>8224</v>
      </c>
      <c r="D4023" s="3" t="inlineStr">
        <is>
          <t>Проводы белых ночей</t>
        </is>
      </c>
      <c r="E4023" s="2" t="n">
        <v>1969</v>
      </c>
      <c r="F4023" s="2" t="inlineStr">
        <is>
          <t>телефильм</t>
        </is>
      </c>
      <c r="G4023" s="2" t="n"/>
      <c r="H4023" s="2" t="n">
        <v>508</v>
      </c>
      <c r="I4023" s="2" t="inlineStr"/>
      <c r="J4023" s="2" t="inlineStr"/>
      <c r="K4023" s="3" t="inlineStr">
        <is>
          <t>Телевизионная мелодрама по мотивам одноименной пьесы Веры Пановой. О сложных взаимоотношениях молодых людей — журналиста Валерия (Юрий Каморный) и рабочей Нины. В Ленинграде, на проводах белых ночей, юная и по детски наивная Нина знакомится с молодым журналистом Валерием. Девушка влюбляется в своего нового друга той искренней первой любовью, которая бывает только в 19 лет, даже не подозревая, что для такого амбициозного эстета, как Валерик, это всего лишь очередной эпизод в нескончаемом празднике жизни.</t>
        </is>
      </c>
      <c r="L4023" s="2" t="inlineStr">
        <is>
          <t>Кино_СССР сводный каталог.xlsx: список телефильмов</t>
        </is>
      </c>
      <c r="M4023" s="2">
        <f>HYPERLINK("https://ru.wikipedia.org/w/index.php?search=%D0%9F%D1%80%D0%BE%D0%B2%D0%BE%D0%B4%D1%8B%20%D0%B1%D0%B5%D0%BB%D1%8B%D1%85%20%D0%BD%D0%BE%D1%87%D0%B5%D0%B9%201969%20%D1%84%D0%B8%D0%BB%D1%8C%D0%BC","искать")</f>
        <v/>
      </c>
      <c r="N4023" s="3" t="n"/>
      <c r="O4023" s="2" t="n"/>
    </row>
    <row r="4024">
      <c r="A4024" s="2" t="n">
        <v>4023</v>
      </c>
      <c r="B4024" s="2" t="inlineStr"/>
      <c r="C4024" s="2" t="n">
        <v>10768</v>
      </c>
      <c r="D4024" s="3" t="inlineStr">
        <is>
          <t>Полковник Шабер</t>
        </is>
      </c>
      <c r="E4024" s="2" t="n">
        <v>1978</v>
      </c>
      <c r="F4024" s="2" t="inlineStr">
        <is>
          <t>фильм-спектакль</t>
        </is>
      </c>
      <c r="G4024" s="2" t="inlineStr">
        <is>
          <t>Ленинградское Телевидение</t>
        </is>
      </c>
      <c r="H4024" s="2" t="n">
        <v>508</v>
      </c>
      <c r="I4024" s="2" t="inlineStr"/>
      <c r="J4024" s="2" t="inlineStr"/>
      <c r="K4024" s="3" t="inlineStr">
        <is>
          <t>Чудом выживший в сражении полковник Шабер, через несколько лет скитаний возвращается на родину, но его уже давно все считают погибшим. Доказать обратное представляется весьма проблематичным - жена снова вышла замуж и делиться состоянием не входит в её планы...
Быть похороненным дважды и все равно остаться живым... Родиться в приюте для подкидышей, умереть в богадельне для престарелых, а в промежутке меж этими рубежами помогать Наполеону покорить Европу и Египет - что за судьба! Судьба полковника Шабера.</t>
        </is>
      </c>
      <c r="L4024" s="2" t="inlineStr">
        <is>
          <t>https://www.kino-teatr.ru/teatr/movie/5365/annot/</t>
        </is>
      </c>
      <c r="M4024" s="2">
        <f>HYPERLINK("https://ru.wikipedia.org/w/index.php?search=%D0%9F%D0%BE%D0%BB%D0%BA%D0%BE%D0%B2%D0%BD%D0%B8%D0%BA%20%D0%A8%D0%B0%D0%B1%D0%B5%D1%80%201978%20%D1%84%D0%B8%D0%BB%D1%8C%D0%BC","искать")</f>
        <v/>
      </c>
      <c r="N4024" s="3" t="n"/>
      <c r="O4024" s="2" t="n"/>
    </row>
    <row r="4025">
      <c r="A4025" s="2" t="n">
        <v>4024</v>
      </c>
      <c r="B4025" s="2" t="inlineStr"/>
      <c r="C4025" s="2" t="n">
        <v>7627</v>
      </c>
      <c r="D4025" s="3" t="inlineStr">
        <is>
          <t>Заповедный холм</t>
        </is>
      </c>
      <c r="E4025" s="2" t="n">
        <v>1988</v>
      </c>
      <c r="F4025" s="2" t="inlineStr">
        <is>
          <t>телефильм</t>
        </is>
      </c>
      <c r="G4025" s="2" t="n"/>
      <c r="H4025" s="2" t="n">
        <v>511</v>
      </c>
      <c r="I4025" s="2" t="inlineStr"/>
      <c r="J4025" s="2" t="inlineStr"/>
      <c r="K4025" s="3" t="inlineStr">
        <is>
          <t>События в этом фильме происходят одновременно в 1920-х и 1980-х годах. Писатель Салиджан Нартаев, родители которого были убиты басмачами, пишет книгу о своем детстве, о школе, о первой учительнице, о своем родном кишлаке, куда только что пришла Советская власть. Кое-кому в кишлаке эта власть пришлась не по душе - Ишан и его сын Меликузы со своим другом Мулладостом, местные баи и муллы, вредят новой власти, похищают девочку Гульнару, обвинив в этом маленького Салиджана, поджигают школу, убивают учительницу.</t>
        </is>
      </c>
      <c r="L4025" s="2" t="inlineStr">
        <is>
          <t>Кино_СССР сводный каталог.xlsx: список телефильмов</t>
        </is>
      </c>
      <c r="M4025" s="2">
        <f>HYPERLINK("https://ru.wikipedia.org/w/index.php?search=%D0%97%D0%B0%D0%BF%D0%BE%D0%B2%D0%B5%D0%B4%D0%BD%D1%8B%D0%B9%20%D1%85%D0%BE%D0%BB%D0%BC%201988%20%D1%84%D0%B8%D0%BB%D1%8C%D0%BC","искать")</f>
        <v/>
      </c>
      <c r="N4025" s="3" t="n"/>
      <c r="O4025" s="2" t="n"/>
    </row>
    <row r="4026">
      <c r="A4026" s="2" t="n">
        <v>4025</v>
      </c>
      <c r="B4026" s="2" t="inlineStr"/>
      <c r="C4026" s="2" t="n">
        <v>8061</v>
      </c>
      <c r="D4026" s="3" t="inlineStr">
        <is>
          <t>Остров сокровищ</t>
        </is>
      </c>
      <c r="E4026" s="2" t="n">
        <v>1982</v>
      </c>
      <c r="F4026" s="2" t="inlineStr">
        <is>
          <t>телефильм</t>
        </is>
      </c>
      <c r="G4026" s="2" t="inlineStr">
        <is>
          <t>киностудия «Ленфильм»; Творческое объединение телевизионных фильмов</t>
        </is>
      </c>
      <c r="H4026" s="2" t="n">
        <v>512</v>
      </c>
      <c r="I4026" s="2" t="inlineStr"/>
      <c r="J4026" s="2" t="inlineStr"/>
      <c r="K4026" s="3" t="inlineStr">
        <is>
          <t>Телесериал по одноименному роману Роберта Льюиса Стивенсона. Юный Джим Хокинс и его друзья - доктор Ливси и сквайр Трелони - случайно становятся обладателями карты капитана Флинта, на которой указано место в Карибском море, где спрятаны несметные сокровища знаменитого пирата. На прекрасной шхуне "Эспаньола" они начинают опасное плавание к далекому острову и не подозревают, что вместе с ними за сокровищами, прикинувшись скромным корабельным коком, отправился Джон Сильвер - самый кровожадный и коварный пират.</t>
        </is>
      </c>
      <c r="L4026" s="2" t="inlineStr">
        <is>
          <t>Кино_СССР сводный каталог.xlsx: список телефильмов</t>
        </is>
      </c>
      <c r="M4026" s="2">
        <f>HYPERLINK("https://ru.wikipedia.org/w/index.php?search=%D0%9E%D1%81%D1%82%D1%80%D0%BE%D0%B2%20%D1%81%D0%BE%D0%BA%D1%80%D0%BE%D0%B2%D0%B8%D1%89%201982%20%D1%84%D0%B8%D0%BB%D1%8C%D0%BC","искать")</f>
        <v/>
      </c>
      <c r="N4026" s="3" t="n"/>
      <c r="O4026" s="2" t="n"/>
    </row>
    <row r="4027">
      <c r="A4027" s="2" t="n">
        <v>4026</v>
      </c>
      <c r="B4027" s="2" t="inlineStr"/>
      <c r="C4027" s="2" t="n">
        <v>11204</v>
      </c>
      <c r="D4027" s="3" t="inlineStr">
        <is>
          <t>Иван</t>
        </is>
      </c>
      <c r="E4027" s="2" t="n">
        <v>1988</v>
      </c>
      <c r="F4027" s="2" t="inlineStr">
        <is>
          <t>фильм-спектакль</t>
        </is>
      </c>
      <c r="G4027" s="2" t="inlineStr">
        <is>
          <t>Главная редакция литературно-драматических программ ЦТ</t>
        </is>
      </c>
      <c r="H4027" s="2" t="n">
        <v>512</v>
      </c>
      <c r="I4027" s="2" t="inlineStr"/>
      <c r="J4027" s="2" t="inlineStr"/>
      <c r="K4027" s="3" t="inlineStr">
        <is>
          <t>По пьесе А.Кудрявцева "Иван и Мадонна" в постановке Государственного академического Малого театра Союза ССР.
Бывший фронтовик Иван Иванович Климов, отзывчивый и безотказный человек, работает плотником в колхозе. Спустя сорок лет после окончания войны его находит заслуженная награда. Иван горд и счастлив. Но его глубоко ранит, что в деревне живет и процветает бывший полицай Гришка. Вечером в День Победы Иван встречает Гришку за околицей с ворованным сеном. Он хочет сдать вора в милицию, но тот убивает Ивана.</t>
        </is>
      </c>
      <c r="L4027" s="2" t="inlineStr">
        <is>
          <t>https://www.kino-teatr.ru/teatr/movie/81583/annot/</t>
        </is>
      </c>
      <c r="M4027" s="2">
        <f>HYPERLINK("https://ru.wikipedia.org/w/index.php?search=%D0%98%D0%B2%D0%B0%D0%BD%201988%20%D1%84%D0%B8%D0%BB%D1%8C%D0%BC","искать")</f>
        <v/>
      </c>
      <c r="N4027" s="3" t="n"/>
      <c r="O4027" s="2" t="n"/>
    </row>
    <row r="4028">
      <c r="A4028" s="2" t="n">
        <v>4027</v>
      </c>
      <c r="B4028" s="2" t="inlineStr"/>
      <c r="C4028" s="2" t="n">
        <v>7900</v>
      </c>
      <c r="D4028" s="3" t="inlineStr">
        <is>
          <t>Мост через жизнь</t>
        </is>
      </c>
      <c r="E4028" s="2" t="n">
        <v>1986</v>
      </c>
      <c r="F4028" s="2" t="inlineStr">
        <is>
          <t>телефильм</t>
        </is>
      </c>
      <c r="G4028" s="2" t="n"/>
      <c r="H4028" s="2" t="n">
        <v>515</v>
      </c>
      <c r="I4028" s="2" t="inlineStr"/>
      <c r="J4028" s="2" t="inlineStr"/>
      <c r="K4028" s="3" t="inlineStr">
        <is>
          <t>Телефильм по мотивам романа Игоря Малишевского "Мост через три жизни". О жизни и деятельности советского ученого, специалиста в области мостостроения и сварки Евгения Оскаровича Патона (1870-1953г.г.). Русский интеллигент, оставаясь верным себе, он проходит через различные исторические эпохи (революция, гражданская война, многочисленные смены власти на Украине), переживает множество разочарований, но находит свое счастье в научно-техническом творчестве и становится крупным специалистом в области мостостроения.</t>
        </is>
      </c>
      <c r="L4028" s="2" t="inlineStr">
        <is>
          <t>Кино_СССР сводный каталог.xlsx: список телефильмов</t>
        </is>
      </c>
      <c r="M4028" s="2">
        <f>HYPERLINK("https://ru.wikipedia.org/w/index.php?search=%D0%9C%D0%BE%D1%81%D1%82%20%D1%87%D0%B5%D1%80%D0%B5%D0%B7%20%D0%B6%D0%B8%D0%B7%D0%BD%D1%8C%201986%20%D1%84%D0%B8%D0%BB%D1%8C%D0%BC","искать")</f>
        <v/>
      </c>
      <c r="N4028" s="3" t="n"/>
      <c r="O4028" s="2" t="n"/>
    </row>
    <row r="4029">
      <c r="A4029" s="2" t="n">
        <v>4028</v>
      </c>
      <c r="B4029" s="2" t="inlineStr"/>
      <c r="C4029" s="2" t="n">
        <v>10992</v>
      </c>
      <c r="D4029" s="3" t="inlineStr">
        <is>
          <t>Июнь, Москва, Чертаново</t>
        </is>
      </c>
      <c r="E4029" s="2" t="n">
        <v>1983</v>
      </c>
      <c r="F4029" s="2" t="inlineStr">
        <is>
          <t>фильм-спектакль</t>
        </is>
      </c>
      <c r="G4029" s="2" t="inlineStr">
        <is>
          <t>Гл. ред. литературно-драматических программ ЦТ</t>
        </is>
      </c>
      <c r="H4029" s="2" t="n">
        <v>515</v>
      </c>
      <c r="I4029" s="2" t="inlineStr"/>
      <c r="J4029" s="2" t="inlineStr"/>
      <c r="K4029" s="3" t="inlineStr">
        <is>
          <t>По пьесе Геннадия Мамлина "Салют динозаврам!".
Пенсионерка Анна Андреевна приезжает к сестре в Москву, но застает дома только ее внука, 16-летнего Василия. Вначале поведение и привычки старой дамы кажутся ему безнадежно устаревшими, но постепенно между ними устанавливаются теплые отношения и взаимопонимание. Скоро Василий понимает, что Анна Андреевна попала к ним по недоразумению и никакого отношения к семье Василия не имеет. Но он скрывает это от Анны Андреевны, ставшей ему за короткий срок близким человеком.</t>
        </is>
      </c>
      <c r="L4029" s="2" t="inlineStr">
        <is>
          <t>https://www.kino-teatr.ru/teatr/movie/15454/annot/</t>
        </is>
      </c>
      <c r="M4029" s="2">
        <f>HYPERLINK("https://ru.wikipedia.org/w/index.php?search=%D0%98%D1%8E%D0%BD%D1%8C%2C%20%D0%9C%D0%BE%D1%81%D0%BA%D0%B2%D0%B0%2C%20%D0%A7%D0%B5%D1%80%D1%82%D0%B0%D0%BD%D0%BE%D0%B2%D0%BE%201983%20%D1%84%D0%B8%D0%BB%D1%8C%D0%BC","искать")</f>
        <v/>
      </c>
      <c r="N4029" s="3" t="n"/>
      <c r="O4029" s="2" t="n"/>
    </row>
    <row r="4030">
      <c r="A4030" s="2" t="n">
        <v>4029</v>
      </c>
      <c r="B4030" s="2" t="inlineStr"/>
      <c r="C4030" s="2" t="n">
        <v>11340</v>
      </c>
      <c r="D4030" s="3" t="inlineStr">
        <is>
          <t>Нежный образ твой</t>
        </is>
      </c>
      <c r="E4030" s="2" t="n">
        <v>1991</v>
      </c>
      <c r="F4030" s="2" t="inlineStr">
        <is>
          <t>фильм-спектакль</t>
        </is>
      </c>
      <c r="G4030" s="2" t="inlineStr">
        <is>
          <t>Творческое объединение "ТЕЛЕТЕАТР"</t>
        </is>
      </c>
      <c r="H4030" s="2" t="n">
        <v>515</v>
      </c>
      <c r="I4030" s="2" t="inlineStr"/>
      <c r="J4030" s="2" t="inlineStr"/>
      <c r="K4030" s="3" t="inlineStr">
        <is>
          <t>По пьесе Ивана Сергеевича Тургенева "Провинциалка".
Действие происходит в уездном городе, в доме Ступендьева.
Жена мелкого провинциального чиновника, желая перебраться в столицу, проявляет недюжинный ум, изощренную изобретательность и житейскую смекалку, чтобы обольстить влиятельного графа. Светский лев бессилен перед этим напором расчетливой женственности и обещает мужу Дарьи Ивановны Ступендьевой место в Петербурге. Сам же супруг в конечном итоге готов смириться со своей двусмысленной ролью в этом спектакле.</t>
        </is>
      </c>
      <c r="L4030" s="2" t="inlineStr">
        <is>
          <t>https://www.kino-teatr.ru/teatr/movie/37785/annot/</t>
        </is>
      </c>
      <c r="M4030" s="2">
        <f>HYPERLINK("https://ru.wikipedia.org/w/index.php?search=%D0%9D%D0%B5%D0%B6%D0%BD%D1%8B%D0%B9%20%D0%BE%D0%B1%D1%80%D0%B0%D0%B7%20%D1%82%D0%B2%D0%BE%D0%B9%201991%20%D1%84%D0%B8%D0%BB%D1%8C%D0%BC","искать")</f>
        <v/>
      </c>
      <c r="N4030" s="3" t="n"/>
      <c r="O4030" s="2" t="n"/>
    </row>
    <row r="4031">
      <c r="A4031" s="2" t="n">
        <v>4030</v>
      </c>
      <c r="B4031" s="2" t="inlineStr"/>
      <c r="C4031" s="2" t="n">
        <v>11263</v>
      </c>
      <c r="D4031" s="3" t="inlineStr">
        <is>
          <t>Кошка на раскалённой крыше</t>
        </is>
      </c>
      <c r="E4031" s="2" t="n">
        <v>1989</v>
      </c>
      <c r="F4031" s="2" t="inlineStr">
        <is>
          <t>фильм-спектакль</t>
        </is>
      </c>
      <c r="G4031" s="2" t="inlineStr">
        <is>
          <t>Главная редакция литературно-драматических программ ЦТ Гостелерадио СССР</t>
        </is>
      </c>
      <c r="H4031" s="2" t="n">
        <v>516</v>
      </c>
      <c r="I4031" s="2" t="inlineStr"/>
      <c r="J4031" s="2" t="inlineStr"/>
      <c r="K4031" s="3" t="inlineStr">
        <is>
          <t>По одноименной пьесе Теннесси Уильямса (перевод Виталия Вульфа и Александра Доршевича) в постановке Театра имени Вл.Маяковского
Тяжелая болезнь богатого плантатора Большого Па со всей остротой ставит вопрос о наследстве. Любимый сын Брик опустился, бездетен и не помышляет о наследстве. У второго сына Гупера - много детей, и он мечтает о богатстве. Жена Брика - Маргарет - изменявшая мужу и виноватая в том, что он запил, отчаянно борется за наследство. Она объявляет, что ждет ребенка, убеждая мужа, что любит его.</t>
        </is>
      </c>
      <c r="L4031" s="2" t="inlineStr">
        <is>
          <t>https://www.kino-teatr.ru/teatr/movie/81588/annot/</t>
        </is>
      </c>
      <c r="M4031" s="2">
        <f>HYPERLINK("https://ru.wikipedia.org/w/index.php?search=%D0%9A%D0%BE%D1%88%D0%BA%D0%B0%20%D0%BD%D0%B0%20%D1%80%D0%B0%D1%81%D0%BA%D0%B0%D0%BB%D1%91%D0%BD%D0%BD%D0%BE%D0%B9%20%D0%BA%D1%80%D1%8B%D1%88%D0%B5%201989%20%D1%84%D0%B8%D0%BB%D1%8C%D0%BC","искать")</f>
        <v/>
      </c>
      <c r="N4031" s="3" t="n"/>
      <c r="O4031" s="2" t="n"/>
    </row>
    <row r="4032">
      <c r="A4032" s="2" t="n">
        <v>4031</v>
      </c>
      <c r="B4032" s="2" t="inlineStr"/>
      <c r="C4032" s="2" t="n">
        <v>11333</v>
      </c>
      <c r="D4032" s="3" t="inlineStr">
        <is>
          <t>Блэз</t>
        </is>
      </c>
      <c r="E4032" s="2" t="n">
        <v>1991</v>
      </c>
      <c r="F4032" s="2" t="inlineStr">
        <is>
          <t>фильм-спектакль</t>
        </is>
      </c>
      <c r="G4032" s="2" t="inlineStr">
        <is>
          <t>Т/О “Телетеатр”</t>
        </is>
      </c>
      <c r="H4032" s="2" t="n">
        <v>516</v>
      </c>
      <c r="I4032" s="2" t="inlineStr"/>
      <c r="J4032" s="2" t="inlineStr"/>
      <c r="K4032" s="3" t="inlineStr">
        <is>
          <t>Спектакль по одноименной пьесе Клода Манье в постановке театра им. А.С.Пушкина.
Остроумная комедия положений, в которой события накладываются одно на другое, закручиваясь в немыслимый клубок. Художник Блэз довольно шустро управляется с непростыми ситуациями, которые свалил на его голову остроумный драматург. Разрываясь между несколькими женщинами, он хочет все успеть и всем угодить. Из всех перипетий и назревающих недоразумений, он тем не менее выходит победителем, как и положено обаятельному и удачливому герою</t>
        </is>
      </c>
      <c r="L4032" s="2" t="inlineStr">
        <is>
          <t>https://www.kino-teatr.ru/teatr/movie/81605/annot/</t>
        </is>
      </c>
      <c r="M4032" s="2">
        <f>HYPERLINK("https://ru.wikipedia.org/w/index.php?search=%D0%91%D0%BB%D1%8D%D0%B7%201991%20%D1%84%D0%B8%D0%BB%D1%8C%D0%BC","искать")</f>
        <v/>
      </c>
      <c r="N4032" s="3" t="n"/>
      <c r="O4032" s="2" t="n"/>
    </row>
    <row r="4033">
      <c r="A4033" s="2" t="n">
        <v>4032</v>
      </c>
      <c r="B4033" s="2" t="inlineStr"/>
      <c r="C4033" s="2" t="n">
        <v>11270</v>
      </c>
      <c r="D4033" s="3" t="inlineStr">
        <is>
          <t>Наш городок</t>
        </is>
      </c>
      <c r="E4033" s="2" t="n">
        <v>1989</v>
      </c>
      <c r="F4033" s="2" t="inlineStr">
        <is>
          <t>фильм-спектакль</t>
        </is>
      </c>
      <c r="G4033" s="2" t="n"/>
      <c r="H4033" s="2" t="n">
        <v>517</v>
      </c>
      <c r="I4033" s="2" t="inlineStr"/>
      <c r="J4033" s="2" t="inlineStr"/>
      <c r="K4033" s="3" t="inlineStr">
        <is>
          <t>Постановка Севастопольского русского драматического театра.
"Наш городок" - одна из самых значительных пьес ХХ века, за которую Торнтон Найвен Уайлдер получил вторую Пулитцеровскую премию в 1938 году.
История любви юных Эмили Уэбб и Джорджа Гиббса
Маленький городок. Главная улица. Два дома напротив друг друга. В них живут девочка и мальчик. Они учатся в школе, и вся жизнь проходит на виду друг у друга от рождения к переходу в иной мир (названия актов - "Повседневная жизнь", "Любовь и венчание", "Загробный мир").</t>
        </is>
      </c>
      <c r="L4033" s="2" t="inlineStr">
        <is>
          <t>https://www.kino-teatr.ru/teatr/movie/92945/annot/</t>
        </is>
      </c>
      <c r="M4033" s="2">
        <f>HYPERLINK("https://ru.wikipedia.org/w/index.php?search=%D0%9D%D0%B0%D1%88%20%D0%B3%D0%BE%D1%80%D0%BE%D0%B4%D0%BE%D0%BA%201989%20%D1%84%D0%B8%D0%BB%D1%8C%D0%BC","искать")</f>
        <v/>
      </c>
      <c r="N4033" s="3" t="n"/>
      <c r="O4033" s="2" t="n"/>
    </row>
    <row r="4034">
      <c r="A4034" s="2" t="n">
        <v>4033</v>
      </c>
      <c r="B4034" s="2" t="inlineStr"/>
      <c r="C4034" s="2" t="n">
        <v>10746</v>
      </c>
      <c r="D4034" s="3" t="inlineStr">
        <is>
          <t>Игра</t>
        </is>
      </c>
      <c r="E4034" s="2" t="n">
        <v>1978</v>
      </c>
      <c r="F4034" s="2" t="inlineStr">
        <is>
          <t>фильм-спектакль</t>
        </is>
      </c>
      <c r="G4034" s="2" t="inlineStr">
        <is>
          <t>Главная редакция литературно-драматических программ</t>
        </is>
      </c>
      <c r="H4034" s="2" t="n">
        <v>519</v>
      </c>
      <c r="I4034" s="2" t="inlineStr"/>
      <c r="J4034" s="2" t="inlineStr"/>
      <c r="K4034" s="3" t="inlineStr">
        <is>
          <t>Интеллектуальный детектив для двух актеров по пьесе Энтони Шаффера.
Автор детективных романов Эндрю Уайк приглашает к себе в гости любовника своей жены Мило Тиндла. По прибытии в особняк Тиндл получает неожиданное предложение — ограбить сейф Уайка и тем самым обеспечить материально свой будущий брак с бывшей супругой писателя. Когда Тиндл соглашается, Уайк достаёт пистолет… Вскоре в доме Уайка появляется человек, заявляющий, что он — инспектор полиции Допплер, ведущий следствие по делу об исчезновении Мило Тиндла.</t>
        </is>
      </c>
      <c r="L4034" s="2" t="inlineStr">
        <is>
          <t>https://www.kino-teatr.ru/teatr/movie/137261/annot/</t>
        </is>
      </c>
      <c r="M4034" s="2">
        <f>HYPERLINK("https://ru.wikipedia.org/w/index.php?search=%D0%98%D0%B3%D1%80%D0%B0%201978%20%D1%84%D0%B8%D0%BB%D1%8C%D0%BC","искать")</f>
        <v/>
      </c>
      <c r="N4034" s="3" t="n"/>
      <c r="O4034" s="2" t="n"/>
    </row>
    <row r="4035">
      <c r="A4035" s="2" t="n">
        <v>4034</v>
      </c>
      <c r="B4035" s="2" t="inlineStr"/>
      <c r="C4035" s="2" t="n">
        <v>11190</v>
      </c>
      <c r="D4035" s="3" t="inlineStr">
        <is>
          <t>Буря</t>
        </is>
      </c>
      <c r="E4035" s="2" t="n">
        <v>1988</v>
      </c>
      <c r="F4035" s="2" t="inlineStr">
        <is>
          <t>фильм-спектакль</t>
        </is>
      </c>
      <c r="G4035" s="2" t="inlineStr">
        <is>
          <t>Главная редакция литературно-драматических программ ЦТ</t>
        </is>
      </c>
      <c r="H4035" s="2" t="n">
        <v>521</v>
      </c>
      <c r="I4035" s="2" t="inlineStr"/>
      <c r="J4035" s="2" t="inlineStr"/>
      <c r="K4035" s="3" t="inlineStr">
        <is>
          <t>По одноименному произведению У.Шекспира и опере Г.Перселла "Буря, или Зачарованный остров".
...Злой дух Калибан пытается противостоять миру Добра, который создает вокруг себя Просперо. Двойной образ - Просперо-Ариэль - две человеческие души, стремящиеся соединить разобщенных враждой людей...
Версия спектакля, поставленного А. Эфросом в 1983 году в рамках Декабрьских вечеров в Музее изобразительных искусств им. А. С. Пушкина и специально восстановленного для телевизионной записи в 1988 году к годовщине смерти Эфроса.</t>
        </is>
      </c>
      <c r="L4035" s="2" t="inlineStr">
        <is>
          <t>https://www.kino-teatr.ru/teatr/movie/81502/annot/</t>
        </is>
      </c>
      <c r="M4035" s="2">
        <f>HYPERLINK("https://ru.wikipedia.org/w/index.php?search=%D0%91%D1%83%D1%80%D1%8F%201988%20%D1%84%D0%B8%D0%BB%D1%8C%D0%BC","искать")</f>
        <v/>
      </c>
      <c r="N4035" s="3" t="n"/>
      <c r="O4035" s="2" t="n"/>
    </row>
    <row r="4036">
      <c r="A4036" s="2" t="n">
        <v>4035</v>
      </c>
      <c r="B4036" s="2" t="inlineStr"/>
      <c r="C4036" s="2" t="n">
        <v>10740</v>
      </c>
      <c r="D4036" s="3" t="inlineStr">
        <is>
          <t>День приезда – день отъезда</t>
        </is>
      </c>
      <c r="E4036" s="2" t="n">
        <v>1978</v>
      </c>
      <c r="F4036" s="2" t="inlineStr">
        <is>
          <t>фильм-спектакль</t>
        </is>
      </c>
      <c r="G4036" s="2" t="inlineStr">
        <is>
          <t>ЦТ</t>
        </is>
      </c>
      <c r="H4036" s="2" t="n">
        <v>522</v>
      </c>
      <c r="I4036" s="2" t="inlineStr"/>
      <c r="J4036" s="2" t="inlineStr"/>
      <c r="K4036" s="3" t="inlineStr">
        <is>
          <t>Телеспектакль по одноименной пьесе В.Черных в постановке Государственного академического театра имени Моссовета.
Психологи Петров и Бурцева приезжают из Москвы в небольшой город по просьбе директора завода, чтобы выяснить причины сложившейся на предприятии напряженной обстановки, участившихся увольнений рабочих. Ученым удается выяснить подлинные причины создавшейся ситуации, которые стали предметом бурных обсуждений на заводе. Решено создать собственную социологическую лабораторию, а возглавить ее предложено Петрову.</t>
        </is>
      </c>
      <c r="L4036" s="2" t="inlineStr">
        <is>
          <t>https://www.kino-teatr.ru/teatr/movie/1748/annot/</t>
        </is>
      </c>
      <c r="M4036" s="2">
        <f>HYPERLINK("https://ru.wikipedia.org/w/index.php?search=%D0%94%D0%B5%D0%BD%D1%8C%20%D0%BF%D1%80%D0%B8%D0%B5%D0%B7%D0%B4%D0%B0%20%E2%80%93%20%D0%B4%D0%B5%D0%BD%D1%8C%20%D0%BE%D1%82%D1%8A%D0%B5%D0%B7%D0%B4%D0%B0%201978%20%D1%84%D0%B8%D0%BB%D1%8C%D0%BC","искать")</f>
        <v/>
      </c>
      <c r="N4036" s="3" t="n"/>
      <c r="O4036" s="2" t="n"/>
    </row>
    <row r="4037">
      <c r="A4037" s="2" t="n">
        <v>4036</v>
      </c>
      <c r="B4037" s="2" t="inlineStr"/>
      <c r="C4037" s="2" t="n">
        <v>11251</v>
      </c>
      <c r="D4037" s="3" t="inlineStr">
        <is>
          <t>В ожидании Элизабет</t>
        </is>
      </c>
      <c r="E4037" s="2" t="n">
        <v>1989</v>
      </c>
      <c r="F4037" s="2" t="inlineStr">
        <is>
          <t>фильм-спектакль</t>
        </is>
      </c>
      <c r="G4037" s="2" t="inlineStr">
        <is>
          <t>Лентелефильм, Русское видео-фильм</t>
        </is>
      </c>
      <c r="H4037" s="2" t="n">
        <v>523</v>
      </c>
      <c r="I4037" s="2" t="inlineStr"/>
      <c r="J4037" s="2" t="inlineStr"/>
      <c r="K4037" s="3" t="inlineStr">
        <is>
          <t>По мотивам произведений Робера Тома.
Муж заявляет о пропаже жены Элизабет. Подозрения комиссара полиции о том, что муж сам убил свою жену, оправдываются, – сообщение о грядущем наследстве заставляет мужа сознаться. Ситуация заходит в тупик и превращается в фарс, когда выясняется, что ни комиссар не сможет доказать вину преступника, ни муж не сможет получить наследство, без доказательства того, что его жена действительно мертва. Все весело хохочут. А как же Элизабет? Про нее все забыли. По мотивам произведений Р. Тома.</t>
        </is>
      </c>
      <c r="L4037" s="2" t="inlineStr">
        <is>
          <t>https://www.kino-teatr.ru/teatr/movie/754/annot/</t>
        </is>
      </c>
      <c r="M4037" s="2">
        <f>HYPERLINK("https://ru.wikipedia.org/w/index.php?search=%D0%92%20%D0%BE%D0%B6%D0%B8%D0%B4%D0%B0%D0%BD%D0%B8%D0%B8%20%D0%AD%D0%BB%D0%B8%D0%B7%D0%B0%D0%B1%D0%B5%D1%82%201989%20%D1%84%D0%B8%D0%BB%D1%8C%D0%BC","искать")</f>
        <v/>
      </c>
      <c r="N4037" s="3" t="n"/>
      <c r="O4037" s="2" t="n"/>
    </row>
    <row r="4038">
      <c r="A4038" s="2" t="n">
        <v>4037</v>
      </c>
      <c r="B4038" s="2" t="inlineStr"/>
      <c r="C4038" s="2" t="n">
        <v>10586</v>
      </c>
      <c r="D4038" s="3" t="inlineStr">
        <is>
          <t>Птицы нашей молодости</t>
        </is>
      </c>
      <c r="E4038" s="2" t="n">
        <v>1974</v>
      </c>
      <c r="F4038" s="2" t="inlineStr">
        <is>
          <t>фильм-спектакль</t>
        </is>
      </c>
      <c r="G4038" s="2" t="n"/>
      <c r="H4038" s="2" t="n">
        <v>525</v>
      </c>
      <c r="I4038" s="2" t="inlineStr"/>
      <c r="J4038" s="2" t="inlineStr"/>
      <c r="K4038" s="3" t="inlineStr">
        <is>
          <t>Пьеса Иона Друцэ «Птицы нашей молодости» шла во многих театрах. И следует ее признать одной из наиболее значительных среди произведений современных драматургов. Премьера в Малом театре состоялась в 1972 году.
На краю молдавского села живет старая мудрая и бесконечно одинокая тетушка Руца. Она всегда стремится помочь односельчанам, подбодрить их, дать им полезный совет. Нелегко было ей простить давнюю обиду, но она находит в себе силы забыть ее и навещает умирающего родственника, чтобы облегчить последние часы его жизни.</t>
        </is>
      </c>
      <c r="L4038" s="2" t="inlineStr">
        <is>
          <t>https://www.kino-teatr.ru/teatr/movie/82102/annot/</t>
        </is>
      </c>
      <c r="M4038" s="2">
        <f>HYPERLINK("https://ru.wikipedia.org/w/index.php?search=%D0%9F%D1%82%D0%B8%D1%86%D1%8B%20%D0%BD%D0%B0%D1%88%D0%B5%D0%B9%20%D0%BC%D0%BE%D0%BB%D0%BE%D0%B4%D0%BE%D1%81%D1%82%D0%B8%201974%20%D1%84%D0%B8%D0%BB%D1%8C%D0%BC","искать")</f>
        <v/>
      </c>
      <c r="N4038" s="3" t="n"/>
      <c r="O4038" s="2" t="n"/>
    </row>
    <row r="4039">
      <c r="A4039" s="2" t="n">
        <v>4038</v>
      </c>
      <c r="B4039" s="2" t="inlineStr"/>
      <c r="C4039" s="2" t="n">
        <v>9243</v>
      </c>
      <c r="D4039" s="3" t="inlineStr">
        <is>
          <t>Бич божий</t>
        </is>
      </c>
      <c r="E4039" s="2" t="n">
        <v>1988</v>
      </c>
      <c r="F4039" s="2" t="inlineStr">
        <is>
          <t>кинофильм</t>
        </is>
      </c>
      <c r="G4039" s="2" t="inlineStr">
        <is>
          <t>к/с им. Довженко</t>
        </is>
      </c>
      <c r="H4039" s="2" t="n">
        <v>527</v>
      </c>
      <c r="I4039" s="2" t="inlineStr"/>
      <c r="J4039" s="2" t="inlineStr"/>
      <c r="K4039" s="3" t="inlineStr">
        <is>
          <t>40-летний бродяга Леонид Ляшенко ограбил в поезде человека явно богатого и преуспевающего. Роясь в содержимом ворованного бумажника, он обнаруживает в нём паспорт на имя своего давнишнего друга детства Валеры Куненко. Ему вспомнились 50-е годы, маленький провинциальный городок Восточной Украины. Поначалу Валерка был хорошим парнем и часто выручал Леонида, но постепенно, вняв советам своего кумира - моряка дяди Васи, исповедующего принцип: для достижения цели все средства хороши, становится приспособленцем, предаёт друзей.</t>
        </is>
      </c>
      <c r="L4039" s="2" t="inlineStr">
        <is>
          <t>Кино_СССР сводный каталог.xlsx: список фильмов (доп.)</t>
        </is>
      </c>
      <c r="M4039" s="2">
        <f>HYPERLINK("https://ru.wikipedia.org/w/index.php?search=%D0%91%D0%B8%D1%87%20%D0%B1%D0%BE%D0%B6%D0%B8%D0%B9%201988%20%D1%84%D0%B8%D0%BB%D1%8C%D0%BC","искать")</f>
        <v/>
      </c>
      <c r="N4039" s="3" t="n"/>
      <c r="O4039" s="2" t="n"/>
    </row>
    <row r="4040">
      <c r="A4040" s="2" t="n">
        <v>4039</v>
      </c>
      <c r="B4040" s="2" t="inlineStr"/>
      <c r="C4040" s="2" t="n">
        <v>10680</v>
      </c>
      <c r="D4040" s="3" t="inlineStr">
        <is>
          <t>Андрей Колобов</t>
        </is>
      </c>
      <c r="E4040" s="2" t="n">
        <v>1977</v>
      </c>
      <c r="F4040" s="2" t="inlineStr">
        <is>
          <t>фильм-спектакль</t>
        </is>
      </c>
      <c r="G4040" s="2" t="inlineStr">
        <is>
          <t>Центральное телевидение</t>
        </is>
      </c>
      <c r="H4040" s="2" t="n">
        <v>527</v>
      </c>
      <c r="I4040" s="2" t="inlineStr"/>
      <c r="J4040" s="2" t="inlineStr"/>
      <c r="K4040" s="3" t="inlineStr">
        <is>
          <t>По книге Николая Мирошниченко.
Вновь избранный секретарь горкома комсомола Андрей Колобов выдвигает лозунг духовного наставничества и сам первым стремится претворить его в жизнь. Он помогает одаренному парнишке Петьке Горохову найти верную трудовую дорогу в жизни, непосредственно участвует в атеистической пропаганде. В работе горкома комсомола Колобов утверждает творческий стиль работы с молодежью. Он завоевывает любовь и доверие комсомольцев города, и на отчетной конференции молодежь вновь избирает его первым секретарем.</t>
        </is>
      </c>
      <c r="L4040" s="2" t="inlineStr">
        <is>
          <t>https://www.kino-teatr.ru/teatr/movie/105853/annot/</t>
        </is>
      </c>
      <c r="M4040" s="2">
        <f>HYPERLINK("https://ru.wikipedia.org/w/index.php?search=%D0%90%D0%BD%D0%B4%D1%80%D0%B5%D0%B9%20%D0%9A%D0%BE%D0%BB%D0%BE%D0%B1%D0%BE%D0%B2%201977%20%D1%84%D0%B8%D0%BB%D1%8C%D0%BC","искать")</f>
        <v/>
      </c>
      <c r="N4040" s="3" t="n"/>
      <c r="O4040" s="2" t="n"/>
    </row>
    <row r="4041">
      <c r="A4041" s="2" t="n">
        <v>4040</v>
      </c>
      <c r="B4041" s="2" t="inlineStr"/>
      <c r="C4041" s="2" t="n">
        <v>10381</v>
      </c>
      <c r="D4041" s="3" t="inlineStr">
        <is>
          <t>В крепостной деревне</t>
        </is>
      </c>
      <c r="E4041" s="2" t="n">
        <v>1971</v>
      </c>
      <c r="F4041" s="2" t="inlineStr">
        <is>
          <t>фильм-спектакль</t>
        </is>
      </c>
      <c r="G4041" s="2" t="n"/>
      <c r="H4041" s="2" t="n">
        <v>531</v>
      </c>
      <c r="I4041" s="2" t="inlineStr"/>
      <c r="J4041" s="2" t="inlineStr"/>
      <c r="K4041" s="3" t="inlineStr">
        <is>
          <t>По роману М.Салтыкова-Щедрина "Пошехонская старина. Житие Никанора Затрапезного, пошехонского дворянина".
Автор записок Никанор Затрапезный разворачивает целую портретную галерею образов членов семьи.
Это и старушки-приживалки, которых выгоняют из дома; тетки, отличающиеся редким самодурством; сестры-дурнушки, которых никак не могут выдать замуж...
Масса образов и фактов, возникающих в памяти Никанора, действуют на него подавляюще. Описав видения своего детства, он сомневается, что сможет продолжать свои записки в дальнейшем.</t>
        </is>
      </c>
      <c r="L4041" s="2" t="inlineStr">
        <is>
          <t>https://www.kino-teatr.ru/teatr/movie/81178/annot/</t>
        </is>
      </c>
      <c r="M4041" s="2">
        <f>HYPERLINK("https://ru.wikipedia.org/w/index.php?search=%D0%92%20%D0%BA%D1%80%D0%B5%D0%BF%D0%BE%D1%81%D1%82%D0%BD%D0%BE%D0%B9%20%D0%B4%D0%B5%D1%80%D0%B5%D0%B2%D0%BD%D0%B5%201971%20%D1%84%D0%B8%D0%BB%D1%8C%D0%BC","искать")</f>
        <v/>
      </c>
      <c r="N4041" s="3" t="n"/>
      <c r="O4041" s="2" t="n"/>
    </row>
    <row r="4042">
      <c r="A4042" s="2" t="n">
        <v>4041</v>
      </c>
      <c r="B4042" s="2" t="inlineStr"/>
      <c r="C4042" s="2" t="n">
        <v>11164</v>
      </c>
      <c r="D4042" s="3" t="inlineStr">
        <is>
          <t>Кресло</t>
        </is>
      </c>
      <c r="E4042" s="2" t="n">
        <v>1987</v>
      </c>
      <c r="F4042" s="2" t="inlineStr">
        <is>
          <t>фильм-спектакль</t>
        </is>
      </c>
      <c r="G4042" s="2" t="inlineStr">
        <is>
          <t>Главная редакция литературно-драматических программ ЦТ</t>
        </is>
      </c>
      <c r="H4042" s="2" t="n">
        <v>531</v>
      </c>
      <c r="I4042" s="2" t="inlineStr"/>
      <c r="J4042" s="2" t="inlineStr"/>
      <c r="K4042" s="3" t="inlineStr">
        <is>
          <t>Пьеса А.Марина по мотивам повести Ю.Полякова "ЧП районного масштаба" в постановке Московского театра-студии под руководством О.Табакова.
Вроде бы удачно "сложилась жизнь" первого секретаря райкома комсомола Шумилина - руководящая должность, семья, в перспективе - работа в райкоме партии. Но погром, учиненный в помещении райкома подростком Юрой Семеновым, которого два года назад Шумилин и его товарищи не приняли в комсомол, показал Шумилину, что не все так благополучно в его работе, да и личная жизнь оказалась на пороге краха.</t>
        </is>
      </c>
      <c r="L4042" s="2" t="inlineStr">
        <is>
          <t>https://www.kino-teatr.ru/teatr/movie/79826/annot/</t>
        </is>
      </c>
      <c r="M4042" s="2">
        <f>HYPERLINK("https://ru.wikipedia.org/w/index.php?search=%D0%9A%D1%80%D0%B5%D1%81%D0%BB%D0%BE%201987%20%D1%84%D0%B8%D0%BB%D1%8C%D0%BC","искать")</f>
        <v/>
      </c>
      <c r="N4042" s="3" t="n"/>
      <c r="O4042" s="2" t="n"/>
    </row>
    <row r="4043">
      <c r="A4043" s="2" t="n">
        <v>4042</v>
      </c>
      <c r="B4043" s="2" t="inlineStr"/>
      <c r="C4043" s="2" t="n">
        <v>11024</v>
      </c>
      <c r="D4043" s="3" t="inlineStr">
        <is>
          <t>Юнона и Авось</t>
        </is>
      </c>
      <c r="E4043" s="2" t="n">
        <v>1983</v>
      </c>
      <c r="F4043" s="2" t="inlineStr">
        <is>
          <t>фильм-спектакль</t>
        </is>
      </c>
      <c r="G4043" s="2" t="inlineStr">
        <is>
          <t>Главная редакция литературно-драматических программ ЦТ</t>
        </is>
      </c>
      <c r="H4043" s="2" t="n">
        <v>532</v>
      </c>
      <c r="I4043" s="2" t="inlineStr"/>
      <c r="J4043" s="2" t="inlineStr"/>
      <c r="K4043" s="3" t="inlineStr">
        <is>
          <t>Первая телевизионная версия спектакля «Юнона и Авось» Московского театра имени Ленинского комсомола.
1806 год. Ему - 45, ей - 15. Он из России, она из Америки. Он православный, она католичка. Они любят друг друга... Но судьба уготовила им тяжелое испытание...
Печальная история любви русского путешественника, графа Резанова к дочери испанского колониста, Кончитте, легла в основу сюжета "Юноны и Авось" - знаменитой культовой рок-оперы, ставшей хитом на следующий день после премьеры, и продолжающей собирать аншлаги спустя 20 лет!</t>
        </is>
      </c>
      <c r="L4043" s="2" t="inlineStr">
        <is>
          <t>https://www.kino-teatr.ru/teatr/movie/8138/annot/</t>
        </is>
      </c>
      <c r="M4043" s="2">
        <f>HYPERLINK("https://ru.wikipedia.org/w/index.php?search=%D0%AE%D0%BD%D0%BE%D0%BD%D0%B0%20%D0%B8%20%D0%90%D0%B2%D0%BE%D1%81%D1%8C%201983%20%D1%84%D0%B8%D0%BB%D1%8C%D0%BC","искать")</f>
        <v/>
      </c>
      <c r="N4043" s="3" t="n"/>
      <c r="O4043" s="2" t="n"/>
    </row>
    <row r="4044">
      <c r="A4044" s="2" t="n">
        <v>4043</v>
      </c>
      <c r="B4044" s="2" t="inlineStr"/>
      <c r="C4044" s="2" t="n">
        <v>10986</v>
      </c>
      <c r="D4044" s="3" t="inlineStr">
        <is>
          <t>Графоман</t>
        </is>
      </c>
      <c r="E4044" s="2" t="n">
        <v>1983</v>
      </c>
      <c r="F4044" s="2" t="inlineStr">
        <is>
          <t>фильм-спектакль</t>
        </is>
      </c>
      <c r="G4044" s="2" t="inlineStr">
        <is>
          <t>Лентелефильм</t>
        </is>
      </c>
      <c r="H4044" s="2" t="n">
        <v>538</v>
      </c>
      <c r="I4044" s="2" t="inlineStr"/>
      <c r="J4044" s="2" t="inlineStr"/>
      <c r="K4044" s="3" t="inlineStr">
        <is>
          <t>По рассказу А.Володина "Не хочу быть несчастливым".
Монолог главного героя, скромного инженера по технике безопасности. Герой живет в провинциальном городке, добросовестно относится к работе и имеет тайную страсть: он пишет стихи и даже посылает их в различные журналы, правда, без особого успеха. Чтобы как-то поддержать мужа, мудрая жена, известный в городе врач, от имени поклонницы начинает с ним «почтовый роман». В обстановке гибельного одиночества эти письма помогают ему жить, любить жену и продолжать писать проникновенные стихи.</t>
        </is>
      </c>
      <c r="L4044" s="2" t="inlineStr">
        <is>
          <t>https://www.kino-teatr.ru/teatr/movie/1516/annot/</t>
        </is>
      </c>
      <c r="M4044" s="2">
        <f>HYPERLINK("https://ru.wikipedia.org/w/index.php?search=%D0%93%D1%80%D0%B0%D1%84%D0%BE%D0%BC%D0%B0%D0%BD%201983%20%D1%84%D0%B8%D0%BB%D1%8C%D0%BC","искать")</f>
        <v/>
      </c>
      <c r="N4044" s="3" t="n"/>
      <c r="O4044" s="2" t="n"/>
    </row>
    <row r="4045">
      <c r="A4045" s="2" t="n">
        <v>4044</v>
      </c>
      <c r="B4045" s="2" t="inlineStr"/>
      <c r="C4045" s="2" t="n">
        <v>9931</v>
      </c>
      <c r="D4045" s="3" t="inlineStr">
        <is>
          <t>Струны для гавайской гитары</t>
        </is>
      </c>
      <c r="E4045" s="2" t="n">
        <v>1977</v>
      </c>
      <c r="F4045" s="2" t="inlineStr">
        <is>
          <t>кинофильм</t>
        </is>
      </c>
      <c r="G4045" s="2" t="inlineStr">
        <is>
          <t>Одесская киностудия</t>
        </is>
      </c>
      <c r="H4045" s="2" t="n">
        <v>539</v>
      </c>
      <c r="I4045" s="2" t="inlineStr"/>
      <c r="J4045" s="2" t="inlineStr"/>
      <c r="K4045" s="3" t="inlineStr">
        <is>
          <t>Пока родители Володи Чичерова находились в дальнем плавании, пацан распустился - нахватал двоек и стал настоящим хулиганом. Учительница потребовала от Чичерова, чтобы кто-то из взрослых пришел в школу за табелем. Вова не хотел просить об этом бабушку, и предложил своему старшему приятелю по прозвищу Кот, который вполне мог сойти за дядю, в обмен на струны для гавайской гитары выслушать претензии строгой учительницы. Но Кот влюбляется в молоденькую учительницу и, неожиданно для Вовика, становится строгим и требовательным воспитателем.</t>
        </is>
      </c>
      <c r="L4045" s="2" t="inlineStr">
        <is>
          <t>https://www.kino-teatr.ru/short/movie/sov/6855/annot/</t>
        </is>
      </c>
      <c r="M4045" s="2">
        <f>HYPERLINK("https://ru.wikipedia.org/w/index.php?search=%D0%A1%D1%82%D1%80%D1%83%D0%BD%D1%8B%20%D0%B4%D0%BB%D1%8F%20%D0%B3%D0%B0%D0%B2%D0%B0%D0%B9%D1%81%D0%BA%D0%BE%D0%B9%20%D0%B3%D0%B8%D1%82%D0%B0%D1%80%D1%8B%201977%20%D1%84%D0%B8%D0%BB%D1%8C%D0%BC","искать")</f>
        <v/>
      </c>
      <c r="N4045" s="3" t="n"/>
      <c r="O4045" s="2" t="n"/>
    </row>
    <row r="4046">
      <c r="A4046" s="2" t="n">
        <v>4045</v>
      </c>
      <c r="B4046" s="2" t="inlineStr"/>
      <c r="C4046" s="2" t="n">
        <v>10498</v>
      </c>
      <c r="D4046" s="3" t="inlineStr">
        <is>
          <t>Единственный свидетель</t>
        </is>
      </c>
      <c r="E4046" s="2" t="n">
        <v>1973</v>
      </c>
      <c r="F4046" s="2" t="inlineStr">
        <is>
          <t>фильм-спектакль</t>
        </is>
      </c>
      <c r="G4046" s="2" t="inlineStr">
        <is>
          <t>ТО "Экран"</t>
        </is>
      </c>
      <c r="H4046" s="2" t="n">
        <v>541</v>
      </c>
      <c r="I4046" s="2" t="inlineStr"/>
      <c r="J4046" s="2" t="inlineStr"/>
      <c r="K4046" s="3" t="inlineStr">
        <is>
          <t>По одноименной пьесе Ариадны и Петра Тур в постановке Московского Художественного академического театра.
Известный хирург - академик Сабурова решилась на очень трудную операцию ею же в свое время разработанным методом. Профессор Садовников открыл Сабуровой горькую правду - различные симпозиумы, совещания и встречи отдалили ее от практической хирургии, и было бы правильнее поручить операцию другому врачу. Властный по натуре человек, Сабурова встретила совет коллеги, как тяжкую обиду, однако вскоре нашла в себе силы признать его правоту.</t>
        </is>
      </c>
      <c r="L4046" s="2" t="inlineStr">
        <is>
          <t>https://www.kino-teatr.ru/teatr/movie/15386/annot/</t>
        </is>
      </c>
      <c r="M4046" s="2">
        <f>HYPERLINK("https://ru.wikipedia.org/w/index.php?search=%D0%95%D0%B4%D0%B8%D0%BD%D1%81%D1%82%D0%B2%D0%B5%D0%BD%D0%BD%D1%8B%D0%B9%20%D1%81%D0%B2%D0%B8%D0%B4%D0%B5%D1%82%D0%B5%D0%BB%D1%8C%201973%20%D1%84%D0%B8%D0%BB%D1%8C%D0%BC","искать")</f>
        <v/>
      </c>
      <c r="N4046" s="3" t="n"/>
      <c r="O4046" s="2" t="n"/>
    </row>
    <row r="4047">
      <c r="A4047" s="2" t="n">
        <v>4046</v>
      </c>
      <c r="B4047" s="2" t="inlineStr"/>
      <c r="C4047" s="2" t="n">
        <v>10034</v>
      </c>
      <c r="D4047" s="3" t="inlineStr">
        <is>
          <t>Счастливое детство</t>
        </is>
      </c>
      <c r="E4047" s="2" t="n">
        <v>1988</v>
      </c>
      <c r="F4047" s="2" t="inlineStr">
        <is>
          <t>телефильм</t>
        </is>
      </c>
      <c r="G4047" s="2" t="inlineStr">
        <is>
          <t>"Таллинфильм" по заказу Гостелерадио СССР</t>
        </is>
      </c>
      <c r="H4047" s="2" t="n">
        <v>543</v>
      </c>
      <c r="I4047" s="2" t="inlineStr"/>
      <c r="J4047" s="2" t="inlineStr"/>
      <c r="K4047" s="3" t="inlineStr">
        <is>
          <t>По одноименному рассказу Теэта Калласа.
Действие фильма происходит в конце 1940-х годов в Эстонии. Закончилась война, началась мирная жизнь, но нет у людей покоя и уверенности в завтрашнем дне. Каждую ночь из домов исчезают люди, которые еще вчера мирно жили со своими семьями, ходили на работу, шутили и смеялись. Так исчез водитель автобуса Пюсс и родители мальчика Хейки. Но все же дети остаются детьми, взрослые окружают их любовью и заботой, а малыши, не догадываясь о трагизме происходящих вокруг них событий, живут спокойно и счастливо.</t>
        </is>
      </c>
      <c r="L4047" s="2" t="inlineStr">
        <is>
          <t>https://www.kino-teatr.ru/short/movie/sov/81710/annot/</t>
        </is>
      </c>
      <c r="M4047" s="2">
        <f>HYPERLINK("https://ru.wikipedia.org/w/index.php?search=%D0%A1%D1%87%D0%B0%D1%81%D1%82%D0%BB%D0%B8%D0%B2%D0%BE%D0%B5%20%D0%B4%D0%B5%D1%82%D1%81%D1%82%D0%B2%D0%BE%201988%20%D1%84%D0%B8%D0%BB%D1%8C%D0%BC","искать")</f>
        <v/>
      </c>
      <c r="N4047" s="3" t="n"/>
      <c r="O4047" s="2" t="n"/>
    </row>
    <row r="4048">
      <c r="A4048" s="2" t="n">
        <v>4047</v>
      </c>
      <c r="B4048" s="2" t="inlineStr"/>
      <c r="C4048" s="2" t="n">
        <v>9876</v>
      </c>
      <c r="D4048" s="3" t="inlineStr">
        <is>
          <t>Кувшин</t>
        </is>
      </c>
      <c r="E4048" s="2" t="n">
        <v>1970</v>
      </c>
      <c r="F4048" s="2" t="inlineStr">
        <is>
          <t>телефильм</t>
        </is>
      </c>
      <c r="G4048" s="2" t="inlineStr">
        <is>
          <t>Грузия-телефильм</t>
        </is>
      </c>
      <c r="H4048" s="2" t="n">
        <v>544</v>
      </c>
      <c r="I4048" s="2" t="inlineStr"/>
      <c r="J4048" s="2" t="inlineStr"/>
      <c r="K4048" s="3" t="inlineStr">
        <is>
          <t>ქვევრი
Этот маленький фильм относится к шедеврам грузинского кинематографа, снятых под руководством знаменитого Резо Габриадзе. В экранизации новеллы великого итальянского писателя Луиджи Пиранделло "Чиара" (на сицилийском диалекте - большой сосуд для вина) мастер, известный своим профессионализмом, приходит к богачу склеить разбившийся огромный кувшин, но починив кувшин изнутри, застревает в нем. Есть итальянская версия - новелла из киноальманаха братьев Тавиани "Хаос", но грузинская короткометражка кажется намного изящнее и искрометнее.</t>
        </is>
      </c>
      <c r="L4048" s="2" t="inlineStr">
        <is>
          <t>https://www.kino-teatr.ru/short/movie/sov/3353/annot/</t>
        </is>
      </c>
      <c r="M4048" s="2">
        <f>HYPERLINK("https://ru.wikipedia.org/w/index.php?search=%D0%9A%D1%83%D0%B2%D1%88%D0%B8%D0%BD%201970%20%D1%84%D0%B8%D0%BB%D1%8C%D0%BC","искать")</f>
        <v/>
      </c>
      <c r="N4048" s="3" t="n"/>
      <c r="O4048" s="2" t="n"/>
    </row>
    <row r="4049">
      <c r="A4049" s="2" t="n">
        <v>4048</v>
      </c>
      <c r="B4049" s="2" t="inlineStr"/>
      <c r="C4049" s="2" t="n">
        <v>9738</v>
      </c>
      <c r="D4049" s="3" t="inlineStr">
        <is>
          <t>Цареубийца</t>
        </is>
      </c>
      <c r="E4049" s="2" t="n">
        <v>1991</v>
      </c>
      <c r="F4049" s="2" t="inlineStr">
        <is>
          <t>кинофильм</t>
        </is>
      </c>
      <c r="G4049" s="2" t="n"/>
      <c r="H4049" s="2" t="n">
        <v>545</v>
      </c>
      <c r="I4049" s="2" t="inlineStr"/>
      <c r="J4049" s="2" t="inlineStr"/>
      <c r="K4049" s="3" t="inlineStr">
        <is>
          <t>В провинциальную психиатрическую больницу из столицы прибывает новый врач. Его интересуют свойства психики больного, воображающего себя Юровским, убийцей последнего царя. При беседах с ним выясняется, что больной - своеобразный философ, не лишенный дара внушения. Через некоторое время доктор начинает испытывать на себе воздействие своего пациента: он снова и снова думает о той роковой ночи с 16 на 17 июля 1918 года, когда в Екатеринбурге без суда и следствия был убит отрекшийся от престола Николай II вместе с женой, дочерьми и наследником.</t>
        </is>
      </c>
      <c r="L4049" s="2" t="inlineStr">
        <is>
          <t>Кино_СССР сводный каталог.xlsx: список фильмов (доп.)</t>
        </is>
      </c>
      <c r="M4049" s="2">
        <f>HYPERLINK("https://ru.wikipedia.org/w/index.php?search=%D0%A6%D0%B0%D1%80%D0%B5%D1%83%D0%B1%D0%B8%D0%B9%D1%86%D0%B0%201991%20%D1%84%D0%B8%D0%BB%D1%8C%D0%BC","искать")</f>
        <v/>
      </c>
      <c r="N4049" s="3" t="n"/>
      <c r="O4049" s="2" t="n"/>
    </row>
    <row r="4050">
      <c r="A4050" s="2" t="n">
        <v>4049</v>
      </c>
      <c r="B4050" s="2" t="inlineStr"/>
      <c r="C4050" s="2" t="n">
        <v>10745</v>
      </c>
      <c r="D4050" s="3" t="inlineStr">
        <is>
          <t>Золушка</t>
        </is>
      </c>
      <c r="E4050" s="2" t="n">
        <v>1978</v>
      </c>
      <c r="F4050" s="2" t="inlineStr">
        <is>
          <t>фильм-спектакль</t>
        </is>
      </c>
      <c r="G4050" s="2" t="inlineStr">
        <is>
          <t>Творческое объединение "Экран"</t>
        </is>
      </c>
      <c r="H4050" s="2" t="n">
        <v>549</v>
      </c>
      <c r="I4050" s="2" t="inlineStr"/>
      <c r="J4050" s="2" t="inlineStr"/>
      <c r="K4050" s="3" t="inlineStr">
        <is>
          <t>По одноименной пьесе-сказке Евгения Шварца в постановке Государственного академического театра имени Евг. Вахтангова.
О трудолюбивой Золушке, ее злой мачехе, ленивых сестрах. О доброй фее и юном паже, которые помогут Золушке превратиться из несчастной замарашки в прекрасную незнакомку, и отправиться на Королевский бал. Она поразит на балу всех, начиная от добродушного короля, принца, и заканчивая придворными. На балу они с принцем влюбляются друг в друга, и в полночь, когда волшебство заканчивается, Золушка убегая, теряет хрустальную туфельку.</t>
        </is>
      </c>
      <c r="L4050" s="2" t="inlineStr">
        <is>
          <t>https://www.kino-teatr.ru/teatr/movie/81534/annot/</t>
        </is>
      </c>
      <c r="M4050" s="2">
        <f>HYPERLINK("https://ru.wikipedia.org/w/index.php?search=%D0%97%D0%BE%D0%BB%D1%83%D1%88%D0%BA%D0%B0%201978%20%D1%84%D0%B8%D0%BB%D1%8C%D0%BC","искать")</f>
        <v/>
      </c>
      <c r="N4050" s="3" t="n"/>
      <c r="O4050" s="2" t="n"/>
    </row>
    <row r="4051">
      <c r="A4051" s="2" t="n">
        <v>4050</v>
      </c>
      <c r="B4051" s="2" t="inlineStr"/>
      <c r="C4051" s="2" t="n">
        <v>10848</v>
      </c>
      <c r="D4051" s="3" t="inlineStr">
        <is>
          <t>Когда умер святой Патрик?</t>
        </is>
      </c>
      <c r="E4051" s="2" t="n">
        <v>1980</v>
      </c>
      <c r="F4051" s="2" t="inlineStr">
        <is>
          <t>фильм-спектакль</t>
        </is>
      </c>
      <c r="G4051" s="2" t="inlineStr">
        <is>
          <t>Ленинградское ТВ</t>
        </is>
      </c>
      <c r="H4051" s="2" t="n">
        <v>550</v>
      </c>
      <c r="I4051" s="2" t="inlineStr"/>
      <c r="J4051" s="2" t="inlineStr"/>
      <c r="K4051" s="3" t="inlineStr">
        <is>
          <t>По рассказу Шарлотты Армстронг "Утром, в день святого Патрика".
Журналист Митчелл Браун в баре знакомится с подвыпившей женщиной и отводит к себе домой переночевать, поскольку она очень пьяна и не контролирует себя. Он ищет у неё документы, но находит только чековую книжку со странным номером. Наутро незнакомка исчезает. Некоторое время спустя, в том же баре, Митчелл встречает её снова в компании мужчины, который оказывается её мужем. Она делает вид, что не узнает Митчелла. Оказывается, в тот вечер, в городе произошло убийство и ей нужно алиби.</t>
        </is>
      </c>
      <c r="L4051" s="2" t="inlineStr">
        <is>
          <t>https://www.kino-teatr.ru/teatr/movie/85350/annot/</t>
        </is>
      </c>
      <c r="M4051" s="2">
        <f>HYPERLINK("https://ru.wikipedia.org/w/index.php?search=%D0%9A%D0%BE%D0%B3%D0%B4%D0%B0%20%D1%83%D0%BC%D0%B5%D1%80%20%D1%81%D0%B2%D1%8F%D1%82%D0%BE%D0%B9%20%D0%9F%D0%B0%D1%82%D1%80%D0%B8%D0%BA%3F%201980%20%D1%84%D0%B8%D0%BB%D1%8C%D0%BC","искать")</f>
        <v/>
      </c>
      <c r="N4051" s="3" t="n"/>
      <c r="O4051" s="2" t="n"/>
    </row>
    <row r="4052">
      <c r="A4052" s="2" t="n">
        <v>4051</v>
      </c>
      <c r="B4052" s="2" t="inlineStr"/>
      <c r="C4052" s="2" t="n">
        <v>8194</v>
      </c>
      <c r="D4052" s="3" t="inlineStr">
        <is>
          <t>При открытых дверях</t>
        </is>
      </c>
      <c r="E4052" s="2" t="n">
        <v>1986</v>
      </c>
      <c r="F4052" s="2" t="inlineStr">
        <is>
          <t>телефильм</t>
        </is>
      </c>
      <c r="G4052" s="2" t="n"/>
      <c r="H4052" s="2" t="n">
        <v>552</v>
      </c>
      <c r="I4052" s="2" t="inlineStr"/>
      <c r="J4052" s="2" t="inlineStr"/>
      <c r="K4052" s="3" t="inlineStr">
        <is>
          <t>Социально-психологическая драма по мотивам пьесы В. Азерникова. В институте, где работает главный герой фильма - социолог Сергей Лужин, проводят расследование в связи с его должностным проступком: он забыл на заводе, где проводил социологический опрос, не подлежащие огласке данные. Их содержание становится известным коллективу цеха, возникает конфликт, так как выясняется, что официальный начальник цеха, Екатерина Михайловна, попавшая на должность по протекции, авторитетом в цехе не пользуется и что в цехе есть неофициальный лидер - инженер Углов.</t>
        </is>
      </c>
      <c r="L4052" s="2" t="inlineStr">
        <is>
          <t>Кино_СССР сводный каталог.xlsx: список телефильмов</t>
        </is>
      </c>
      <c r="M4052" s="2">
        <f>HYPERLINK("https://ru.wikipedia.org/w/index.php?search=%D0%9F%D1%80%D0%B8%20%D0%BE%D1%82%D0%BA%D1%80%D1%8B%D1%82%D1%8B%D1%85%20%D0%B4%D0%B2%D0%B5%D1%80%D1%8F%D1%85%201986%20%D1%84%D0%B8%D0%BB%D1%8C%D0%BC","искать")</f>
        <v/>
      </c>
      <c r="N4052" s="3" t="n"/>
      <c r="O4052" s="2" t="n"/>
    </row>
    <row r="4053">
      <c r="A4053" s="2" t="n">
        <v>4052</v>
      </c>
      <c r="B4053" s="2" t="inlineStr"/>
      <c r="C4053" s="2" t="n">
        <v>10141</v>
      </c>
      <c r="D4053" s="3" t="inlineStr">
        <is>
          <t>Дитя и волшебство</t>
        </is>
      </c>
      <c r="E4053" s="2" t="n">
        <v>1965</v>
      </c>
      <c r="F4053" s="2" t="inlineStr">
        <is>
          <t>фильм-спектакль</t>
        </is>
      </c>
      <c r="G4053" s="2" t="inlineStr">
        <is>
          <t>Ленинградское ТВ</t>
        </is>
      </c>
      <c r="H4053" s="2" t="n">
        <v>552</v>
      </c>
      <c r="I4053" s="2" t="inlineStr"/>
      <c r="J4053" s="2" t="inlineStr"/>
      <c r="K4053" s="3" t="inlineStr">
        <is>
          <t>Телефильм по опере Мориса Равеля в исполнении солистов, хора и оркестра Всесоюзного радио и Центрального телевидения, артистов балета Ленинградского академического Малого Театра оперы и балета.
«Дитя и волшебство» - лирическая фантазия, как определял ее сам композитор. Равель переложил на музыку историю французской писательницы Габриель Сидони Колетт об очень непослушном и неприятном мальчике. Однажды ночью все сломанные им игрушки и обитатели сада - бабочки, лягушки и прочая мелюзга, которых он мучил, - ожили и объединились, чтобы отомстить ему.</t>
        </is>
      </c>
      <c r="L4053" s="2" t="inlineStr">
        <is>
          <t>https://www.kino-teatr.ru/teatr/movie/88032/annot/</t>
        </is>
      </c>
      <c r="M4053" s="2">
        <f>HYPERLINK("https://ru.wikipedia.org/w/index.php?search=%D0%94%D0%B8%D1%82%D1%8F%20%D0%B8%20%D0%B2%D0%BE%D0%BB%D1%88%D0%B5%D0%B1%D1%81%D1%82%D0%B2%D0%BE%201965%20%D1%84%D0%B8%D0%BB%D1%8C%D0%BC","искать")</f>
        <v/>
      </c>
      <c r="N4053" s="3" t="n"/>
      <c r="O4053" s="2" t="n"/>
    </row>
    <row r="4054">
      <c r="A4054" s="2" t="n">
        <v>4053</v>
      </c>
      <c r="B4054" s="2" t="inlineStr"/>
      <c r="C4054" s="2" t="n">
        <v>10404</v>
      </c>
      <c r="D4054" s="3" t="inlineStr">
        <is>
          <t>Малыш и Карлсон, который живет на крыше</t>
        </is>
      </c>
      <c r="E4054" s="2" t="n">
        <v>1971</v>
      </c>
      <c r="F4054" s="2" t="inlineStr">
        <is>
          <t>фильм-спектакль</t>
        </is>
      </c>
      <c r="G4054" s="2" t="inlineStr">
        <is>
          <t>ТО “Экран”, Подборки фильмов, экранизации Астрид Линдгрен</t>
        </is>
      </c>
      <c r="H4054" s="2" t="n">
        <v>553</v>
      </c>
      <c r="I4054" s="2" t="inlineStr"/>
      <c r="J4054" s="2" t="inlineStr"/>
      <c r="K4054" s="3" t="inlineStr">
        <is>
          <t>Спектакль Театра Сатиры по мотивам сказки Астрид Линдгрен "Три повести о Малыше и Карлсоне" в постановке Валентина Плучека.
Озорной Карлсон и доверчивый Малыш - герои всем известной сказки. Карлсон очень любит пошалить, а на все последствия шалостей у него есть "фирменная" отговорка: "Пустяки, дело то житейское!". Правда, родители Малыша так не считают, но все равно, скучать со своим летающим другом ему не приходится. То, лазая по крышам, друзья предотвращают крупную кражу (в роли жулика - Андрей Миронов), то вместе укрощают злую домомучительницу.</t>
        </is>
      </c>
      <c r="L4054" s="2" t="inlineStr">
        <is>
          <t>https://www.kino-teatr.ru/teatr/movie/3684/annot/</t>
        </is>
      </c>
      <c r="M4054" s="2">
        <f>HYPERLINK("https://ru.wikipedia.org/w/index.php?search=%D0%9C%D0%B0%D0%BB%D1%8B%D1%88%20%D0%B8%20%D0%9A%D0%B0%D1%80%D0%BB%D1%81%D0%BE%D0%BD%2C%20%D0%BA%D0%BE%D1%82%D0%BE%D1%80%D1%8B%D0%B9%20%D0%B6%D0%B8%D0%B2%D0%B5%D1%82%20%D0%BD%D0%B0%20%D0%BA%D1%80%D1%8B%D1%88%D0%B5%201971%20%D1%84%D0%B8%D0%BB%D1%8C%D0%BC","искать")</f>
        <v/>
      </c>
      <c r="N4054" s="3" t="n"/>
      <c r="O4054" s="2" t="n"/>
    </row>
    <row r="4055">
      <c r="A4055" s="2" t="n">
        <v>4054</v>
      </c>
      <c r="B4055" s="2" t="inlineStr"/>
      <c r="C4055" s="2" t="n">
        <v>11118</v>
      </c>
      <c r="D4055" s="3" t="inlineStr">
        <is>
          <t>На бойком месте</t>
        </is>
      </c>
      <c r="E4055" s="2" t="n">
        <v>1986</v>
      </c>
      <c r="F4055" s="2" t="inlineStr">
        <is>
          <t>фильм-спектакль</t>
        </is>
      </c>
      <c r="G4055" s="2" t="inlineStr">
        <is>
          <t>ТО “Экран”</t>
        </is>
      </c>
      <c r="H4055" s="2" t="n">
        <v>555</v>
      </c>
      <c r="I4055" s="2" t="inlineStr"/>
      <c r="J4055" s="2" t="inlineStr"/>
      <c r="K4055" s="3" t="inlineStr">
        <is>
          <t>Фильм-спектакль по одноименной пьесе А.Н.Островского с участием артистов московских театров .
На бойком месте устроил свой постоялый двор Вукол Ермолаевич Бессудный: днем - хлебосольный хозяин, ночью - разбойник и вор. Привечает он богатых купцов, опаивает сонным зельем да грабит их на лесной дороге. А жена его Евгения Мироновна, как уедет Вукол на ночной промысел, ждет в горнице любовника-красавца помещика Миловидова. Любит молодого боярина и сестра Вукола Аннушка. Глухие леса, суровые нравы, купеческая молодецкая удаль, женская ревность… Жди беды!</t>
        </is>
      </c>
      <c r="L4055" s="2" t="inlineStr">
        <is>
          <t>https://www.kino-teatr.ru/teatr/movie/82059/annot/</t>
        </is>
      </c>
      <c r="M4055" s="2">
        <f>HYPERLINK("https://ru.wikipedia.org/w/index.php?search=%D0%9D%D0%B0%20%D0%B1%D0%BE%D0%B9%D0%BA%D0%BE%D0%BC%20%D0%BC%D0%B5%D1%81%D1%82%D0%B5%201986%20%D1%84%D0%B8%D0%BB%D1%8C%D0%BC","искать")</f>
        <v/>
      </c>
      <c r="N4055" s="3" t="n"/>
      <c r="O4055" s="2" t="n"/>
    </row>
    <row r="4056">
      <c r="A4056" s="2" t="n">
        <v>4055</v>
      </c>
      <c r="B4056" s="2" t="inlineStr"/>
      <c r="C4056" s="2" t="n">
        <v>10280</v>
      </c>
      <c r="D4056" s="3" t="inlineStr">
        <is>
          <t>Эта деревня Могила...</t>
        </is>
      </c>
      <c r="E4056" s="2" t="n">
        <v>1968</v>
      </c>
      <c r="F4056" s="2" t="inlineStr">
        <is>
          <t>фильм-спектакль</t>
        </is>
      </c>
      <c r="G4056" s="2" t="inlineStr">
        <is>
          <t>Главная редакция литературно-драматических программ ЦТ</t>
        </is>
      </c>
      <c r="H4056" s="2" t="n">
        <v>557</v>
      </c>
      <c r="I4056" s="2" t="inlineStr"/>
      <c r="J4056" s="2" t="inlineStr"/>
      <c r="K4056" s="3" t="inlineStr">
        <is>
          <t>По произведению Ежи Брошкевича.
Строителей металлургического комбината и нового города Нова Гута пригласили на телевидение в передачу «Вчера – Сегодня», чтобы рассказать, как все когда-то начиналось.
Итак, приехав на великую стройку социализма, в деревню под названием Могила, строителей встретила «глина, грязь и собачье жилье на мокрой земле». Это было трудное время. Но прошли годы, комбинат был построен, новый образцовый социалистический город металлургов вырос...
Позже, именно Нова Гута стала родиной движения «Солидарность», основанного в 1980 году.</t>
        </is>
      </c>
      <c r="L4056" s="2" t="inlineStr">
        <is>
          <t>https://www.kino-teatr.ru/teatr/movie/146195/annot/</t>
        </is>
      </c>
      <c r="M4056" s="2">
        <f>HYPERLINK("https://ru.wikipedia.org/w/index.php?search=%D0%AD%D1%82%D0%B0%20%D0%B4%D0%B5%D1%80%D0%B5%D0%B2%D0%BD%D1%8F%20%D0%9C%D0%BE%D0%B3%D0%B8%D0%BB%D0%B0...%201968%20%D1%84%D0%B8%D0%BB%D1%8C%D0%BC","искать")</f>
        <v/>
      </c>
      <c r="N4056" s="3" t="n"/>
      <c r="O4056" s="2" t="n"/>
    </row>
    <row r="4057">
      <c r="A4057" s="2" t="n">
        <v>4056</v>
      </c>
      <c r="B4057" s="2" t="inlineStr"/>
      <c r="C4057" s="2" t="n">
        <v>7327</v>
      </c>
      <c r="D4057" s="3" t="inlineStr">
        <is>
          <t>Весна в сердце</t>
        </is>
      </c>
      <c r="E4057" s="2" t="n">
        <v>1984</v>
      </c>
      <c r="F4057" s="2" t="inlineStr">
        <is>
          <t>телефильм</t>
        </is>
      </c>
      <c r="G4057" s="2" t="n"/>
      <c r="H4057" s="2" t="n">
        <v>558</v>
      </c>
      <c r="I4057" s="2" t="inlineStr"/>
      <c r="J4057" s="2" t="inlineStr"/>
      <c r="K4057" s="3" t="inlineStr">
        <is>
          <t>Телефильм по мотивам повести Оскара Лутса повествует о певческом летнем лагере, куда деть приезжают не только петь и танцевать, но и беззаботно отдохнуть. Главные герои - мальчик с "серебряным голосом" Тоомас, у которого поначалу дела в лагере складывались не лучшим образом, весьма миловидная девочка Элле, в которую Тоомас сразу же влюбляется, юный любитель современной музыки Тынис и сварливый воспитатель, которого невинные детские шалости доводят до белого каления (эту роль отлично сыграл Феликс Карк, брат популярнейшего эстонского актера Тыну Карка).</t>
        </is>
      </c>
      <c r="L4057" s="2" t="inlineStr">
        <is>
          <t>Кино_СССР сводный каталог.xlsx: список телефильмов</t>
        </is>
      </c>
      <c r="M4057" s="2">
        <f>HYPERLINK("https://ru.wikipedia.org/w/index.php?search=%D0%92%D0%B5%D1%81%D0%BD%D0%B0%20%D0%B2%20%D1%81%D0%B5%D1%80%D0%B4%D1%86%D0%B5%201984%20%D1%84%D0%B8%D0%BB%D1%8C%D0%BC","искать")</f>
        <v/>
      </c>
      <c r="N4057" s="3" t="n"/>
      <c r="O4057" s="2" t="n"/>
    </row>
    <row r="4058">
      <c r="A4058" s="2" t="n">
        <v>4057</v>
      </c>
      <c r="B4058" s="2" t="inlineStr"/>
      <c r="C4058" s="2" t="n">
        <v>10641</v>
      </c>
      <c r="D4058" s="3" t="inlineStr">
        <is>
          <t>Волшебное кресло</t>
        </is>
      </c>
      <c r="E4058" s="2" t="n">
        <v>1976</v>
      </c>
      <c r="F4058" s="2" t="inlineStr">
        <is>
          <t>фильм-спектакль</t>
        </is>
      </c>
      <c r="G4058" s="2" t="inlineStr">
        <is>
          <t>ЦТ СССР</t>
        </is>
      </c>
      <c r="H4058" s="2" t="n">
        <v>560</v>
      </c>
      <c r="I4058" s="2" t="inlineStr"/>
      <c r="J4058" s="2" t="inlineStr"/>
      <c r="K4058" s="3" t="inlineStr">
        <is>
          <t>По пьесе венгерского писателя Фридьеша Каринти.
Неожиданно в учреждение прислали кресло. Всякий, кто садится в это кресло, начинает ни с того ни с сего говорить, что думает, без утайки.
Поставленное в кабинет человека, решающего судьбу изобретателя, оно оказывается попеременно под разными начальственными лицами.
Обнаруживается, что они говорят не то, что думают, причем расхождения комически, а также трагически велики. Все начальники друг с другом смертельно ссорятся, кое-кому кое-что грозит. Так изобретатель наказал всю компанию зажимщиков новой техники.</t>
        </is>
      </c>
      <c r="L4058" s="2" t="inlineStr">
        <is>
          <t>https://www.kino-teatr.ru/teatr/movie/127629/annot/</t>
        </is>
      </c>
      <c r="M4058" s="2">
        <f>HYPERLINK("https://ru.wikipedia.org/w/index.php?search=%D0%92%D0%BE%D0%BB%D1%88%D0%B5%D0%B1%D0%BD%D0%BE%D0%B5%20%D0%BA%D1%80%D0%B5%D1%81%D0%BB%D0%BE%201976%20%D1%84%D0%B8%D0%BB%D1%8C%D0%BC","искать")</f>
        <v/>
      </c>
      <c r="N4058" s="3" t="n"/>
      <c r="O4058" s="2" t="n"/>
    </row>
    <row r="4059">
      <c r="A4059" s="2" t="n">
        <v>4058</v>
      </c>
      <c r="B4059" s="2" t="inlineStr"/>
      <c r="C4059" s="2" t="n">
        <v>10523</v>
      </c>
      <c r="D4059" s="3" t="inlineStr">
        <is>
          <t>Сослуживцы</t>
        </is>
      </c>
      <c r="E4059" s="2" t="n">
        <v>1973</v>
      </c>
      <c r="F4059" s="2" t="inlineStr">
        <is>
          <t>фильм-спектакль</t>
        </is>
      </c>
      <c r="G4059" s="2" t="inlineStr">
        <is>
          <t>Главная редакция литературно-драматических программ ЦТ</t>
        </is>
      </c>
      <c r="H4059" s="2" t="n">
        <v>564</v>
      </c>
      <c r="I4059" s="2" t="inlineStr"/>
      <c r="J4059" s="2" t="inlineStr"/>
      <c r="K4059" s="3" t="inlineStr">
        <is>
          <t>Романтичная сказка, сыгранная замечательными актерами Театра Маяковского. Первая постановка пьесы «Сослуживцы» Эмиля Брагинского и Эльдара Рязанова.
Авторы написали ее всего за 22 дня. Знаменитый фильм «Служебный роман», снятый по этой пьесе, вышел на экраны через четыре года после этого спектакля и сразу стал лучшим фильмом 1977 года.
Итак, перед вами — история начальницы-мымры и забитого жизнью статистика, которые не покидая пределов Москвы и не слишком удаляясь от родного «статистического учреждения», внезапно превратились в прекрасных принца и принцессу.</t>
        </is>
      </c>
      <c r="L4059" s="2" t="inlineStr">
        <is>
          <t>https://www.kino-teatr.ru/teatr/movie/17054/annot/</t>
        </is>
      </c>
      <c r="M4059" s="2">
        <f>HYPERLINK("https://ru.wikipedia.org/w/index.php?search=%D0%A1%D0%BE%D1%81%D0%BB%D1%83%D0%B6%D0%B8%D0%B2%D1%86%D1%8B%201973%20%D1%84%D0%B8%D0%BB%D1%8C%D0%BC","искать")</f>
        <v/>
      </c>
      <c r="N4059" s="3" t="n"/>
      <c r="O4059" s="2" t="n"/>
    </row>
    <row r="4060">
      <c r="A4060" s="2" t="n">
        <v>4059</v>
      </c>
      <c r="B4060" s="2" t="inlineStr"/>
      <c r="C4060" s="2" t="n">
        <v>11123</v>
      </c>
      <c r="D4060" s="3" t="inlineStr">
        <is>
          <t>Переход на летнее время</t>
        </is>
      </c>
      <c r="E4060" s="2" t="n">
        <v>1986</v>
      </c>
      <c r="F4060" s="2" t="inlineStr">
        <is>
          <t>фильм-спектакль</t>
        </is>
      </c>
      <c r="G4060" s="2" t="inlineStr">
        <is>
          <t>Главная редакция литературно-драматических программ ЦТ</t>
        </is>
      </c>
      <c r="H4060" s="2" t="n">
        <v>564</v>
      </c>
      <c r="I4060" s="2" t="inlineStr"/>
      <c r="J4060" s="2" t="inlineStr"/>
      <c r="K4060" s="3" t="inlineStr">
        <is>
          <t>По одноименной комедии А.Салынского.
Действие происходит в учреждении, называемом "Экспериментальной базой новой управленческой техники". Слухи о предстоящем сокращении штатов всколыхнули весь коллектив. Одни пытаются использовать сложившуюся ситуацию для продвижения по службе, другие по-прежнему выполняют свои обязанности, не задумываясь над смыслом всей своей "деятельности". Лишь один из сотрудников, Савкин, открыто бросает вызов рутине и безделью, предлагая ликвидировать базу и каждому найти для себя работу, на которой действительно можно принести пользу.</t>
        </is>
      </c>
      <c r="L4060" s="2" t="inlineStr">
        <is>
          <t>https://www.kino-teatr.ru/teatr/movie/15774/annot/</t>
        </is>
      </c>
      <c r="M4060" s="2">
        <f>HYPERLINK("https://ru.wikipedia.org/w/index.php?search=%D0%9F%D0%B5%D1%80%D0%B5%D1%85%D0%BE%D0%B4%20%D0%BD%D0%B0%20%D0%BB%D0%B5%D1%82%D0%BD%D0%B5%D0%B5%20%D0%B2%D1%80%D0%B5%D0%BC%D1%8F%201986%20%D1%84%D0%B8%D0%BB%D1%8C%D0%BC","искать")</f>
        <v/>
      </c>
      <c r="N4060" s="3" t="n"/>
      <c r="O4060" s="2" t="n"/>
    </row>
    <row r="4061">
      <c r="A4061" s="2" t="n">
        <v>4060</v>
      </c>
      <c r="B4061" s="2" t="inlineStr"/>
      <c r="C4061" s="2" t="n">
        <v>10951</v>
      </c>
      <c r="D4061" s="3" t="inlineStr">
        <is>
          <t>Несколько капель</t>
        </is>
      </c>
      <c r="E4061" s="2" t="n">
        <v>1982</v>
      </c>
      <c r="F4061" s="2" t="inlineStr">
        <is>
          <t>фильм-спектакль</t>
        </is>
      </c>
      <c r="G4061" s="2" t="inlineStr">
        <is>
          <t>Главная редакция литературно-драматических программ ЦТ</t>
        </is>
      </c>
      <c r="H4061" s="2" t="n">
        <v>567</v>
      </c>
      <c r="I4061" s="2" t="inlineStr"/>
      <c r="J4061" s="2" t="inlineStr"/>
      <c r="K4061" s="3" t="inlineStr">
        <is>
          <t>Четыре одноактных пьесы Виктора Розова в двух частях:
Часть первая.
"Хозяин" - Швейцар, по своему трактующий слово "хозяин", не пускает в ресторан не понравившихся ему молодых людей.
"Заступница" - Тринадцатилетняя девочка, защищает своего отца от директора фабрики, унижающего чувство человеческого достоинства подчиненных.
"Квиты" - О встрече старых знакомых - доброго, искреннего ученого Денисова и завистливого заведующего телеателье Селезнева.
Часть вторая.
"Праздник" - О черствости дочери по отношению к своим родителям, которая привела к тяжелым последствиям.</t>
        </is>
      </c>
      <c r="L4061" s="2" t="inlineStr">
        <is>
          <t>https://www.kino-teatr.ru/teatr/movie/4435/annot/</t>
        </is>
      </c>
      <c r="M4061" s="2">
        <f>HYPERLINK("https://ru.wikipedia.org/w/index.php?search=%D0%9D%D0%B5%D1%81%D0%BA%D0%BE%D0%BB%D1%8C%D0%BA%D0%BE%20%D0%BA%D0%B0%D0%BF%D0%B5%D0%BB%D1%8C%201982%20%D1%84%D0%B8%D0%BB%D1%8C%D0%BC","искать")</f>
        <v/>
      </c>
      <c r="N4061" s="3" t="n"/>
      <c r="O4061" s="2" t="n"/>
    </row>
    <row r="4062">
      <c r="A4062" s="2" t="n">
        <v>4061</v>
      </c>
      <c r="B4062" s="2" t="inlineStr"/>
      <c r="C4062" s="2" t="n">
        <v>10567</v>
      </c>
      <c r="D4062" s="3" t="inlineStr">
        <is>
          <t>Маленькие комедии большого дома</t>
        </is>
      </c>
      <c r="E4062" s="2" t="n">
        <v>1974</v>
      </c>
      <c r="F4062" s="2" t="inlineStr">
        <is>
          <t>фильм-спектакль</t>
        </is>
      </c>
      <c r="G4062" s="2" t="inlineStr">
        <is>
          <t>Гл. ред. лит-драм программ Россия</t>
        </is>
      </c>
      <c r="H4062" s="2" t="n">
        <v>568</v>
      </c>
      <c r="I4062" s="2" t="inlineStr"/>
      <c r="J4062" s="2" t="inlineStr"/>
      <c r="K4062" s="3" t="inlineStr">
        <is>
          <t>Пять новелл из жизни москвичей семидесятых годов. Жители нового дома влюбляются, ссорятся и мирятся, работают и поют. Обаятельная ретро-комедия в постановке Московского театра Сатиры.
Часть 1: «Смотровой ордер» - оптимистическая комедия с переездом и вселением.
Часть 2: «Грабеж» - психологический ретродетектив со взломом.
Часть 3: «Московская серенада» - комедийный мюзикл о любви с песнями и танцами.
Часть 4: «Звуковое письмо» - четвертая новелла в исполнении Александра Ширвиндта.
Часть 5: «Пой, ласточка, пой...» - жилищно-бытовая оратория для ЖЭКа с фортепьяно.</t>
        </is>
      </c>
      <c r="L4062" s="2" t="inlineStr">
        <is>
          <t>https://www.kino-teatr.ru/teatr/movie/3671/annot/</t>
        </is>
      </c>
      <c r="M4062" s="2">
        <f>HYPERLINK("https://ru.wikipedia.org/w/index.php?search=%D0%9C%D0%B0%D0%BB%D0%B5%D0%BD%D1%8C%D0%BA%D0%B8%D0%B5%20%D0%BA%D0%BE%D0%BC%D0%B5%D0%B4%D0%B8%D0%B8%20%D0%B1%D0%BE%D0%BB%D1%8C%D1%88%D0%BE%D0%B3%D0%BE%20%D0%B4%D0%BE%D0%BC%D0%B0%201974%20%D1%84%D0%B8%D0%BB%D1%8C%D0%BC","искать")</f>
        <v/>
      </c>
      <c r="N4062" s="3" t="n"/>
      <c r="O4062" s="2" t="n"/>
    </row>
    <row r="4063">
      <c r="A4063" s="2" t="n">
        <v>4062</v>
      </c>
      <c r="B4063" s="2" t="inlineStr"/>
      <c r="C4063" s="2" t="n">
        <v>10864</v>
      </c>
      <c r="D4063" s="3" t="inlineStr">
        <is>
          <t>Простая девушка</t>
        </is>
      </c>
      <c r="E4063" s="2" t="n">
        <v>1980</v>
      </c>
      <c r="F4063" s="2" t="inlineStr">
        <is>
          <t>фильм-спектакль</t>
        </is>
      </c>
      <c r="G4063" s="2" t="inlineStr">
        <is>
          <t>Центральное телевидение, гл. ред. лит.-драм. программ</t>
        </is>
      </c>
      <c r="H4063" s="2" t="n">
        <v>568</v>
      </c>
      <c r="I4063" s="2" t="inlineStr"/>
      <c r="J4063" s="2" t="inlineStr"/>
      <c r="K4063" s="3" t="inlineStr">
        <is>
          <t>По одноименной комедии В.Шкваркина.
1930-е годы. Оля приезжает в город поступать в институт. Не пройдя по конкурсу, она устраивается домработницей. Сын хозяев Коля влюбляется в нее, вызвав этим негодование своих родителей. Неожиданно проходит слух, что Оля журналистка - и собирает материалы для статьи о жильцах дома. Это заставляет родителей Коли и соседей резко изменить свое отношение к ней...
В спектакле звучит музыка 1930-х годов, в том числе известный вальс "Память цветов".
Для Александра Белинского этот спектакль стал пятой постановкой по пьесе В.Шкваркина.</t>
        </is>
      </c>
      <c r="L4063" s="2" t="inlineStr">
        <is>
          <t>https://www.kino-teatr.ru/teatr/movie/15399/annot/</t>
        </is>
      </c>
      <c r="M4063" s="2">
        <f>HYPERLINK("https://ru.wikipedia.org/w/index.php?search=%D0%9F%D1%80%D0%BE%D1%81%D1%82%D0%B0%D1%8F%20%D0%B4%D0%B5%D0%B2%D1%83%D1%88%D0%BA%D0%B0%201980%20%D1%84%D0%B8%D0%BB%D1%8C%D0%BC","искать")</f>
        <v/>
      </c>
      <c r="N4063" s="3" t="n"/>
      <c r="O4063" s="2" t="n"/>
    </row>
    <row r="4064">
      <c r="A4064" s="2" t="n">
        <v>4063</v>
      </c>
      <c r="B4064" s="2" t="inlineStr"/>
      <c r="C4064" s="2" t="n">
        <v>10994</v>
      </c>
      <c r="D4064" s="3" t="inlineStr">
        <is>
          <t>Ложь на длинных ногах</t>
        </is>
      </c>
      <c r="E4064" s="2" t="n">
        <v>1983</v>
      </c>
      <c r="F4064" s="2" t="inlineStr">
        <is>
          <t>фильм-спектакль</t>
        </is>
      </c>
      <c r="G4064" s="2" t="inlineStr">
        <is>
          <t>Творческое объединение "Экран"</t>
        </is>
      </c>
      <c r="H4064" s="2" t="n">
        <v>568</v>
      </c>
      <c r="I4064" s="2" t="inlineStr"/>
      <c r="J4064" s="2" t="inlineStr"/>
      <c r="K4064" s="3" t="inlineStr">
        <is>
          <t>По одноименной пьесе выдающегося итальянского драматурга Эдуардо де Филиппо.
Действие вертится вокруг нескольких семейных историй одновременно. Нелюбимые женихи и нежеланные невесты, далекие любовники или просто хорошие знакомые выясняют свои запутанные отношения, то осторожно балансируя на краю откровенности, то срываясь в скандалы. Каждый что-то скрывает не только от других, но и от себя самого, боясь признаться, кто в бедности, кто в любви. В жестоком мире, основанном на лицемерии, практически все герои вынуждены преследовать только свои собственные интересы.</t>
        </is>
      </c>
      <c r="L4064" s="2" t="inlineStr">
        <is>
          <t>https://www.kino-teatr.ru/teatr/movie/15078/annot/</t>
        </is>
      </c>
      <c r="M4064" s="2">
        <f>HYPERLINK("https://ru.wikipedia.org/w/index.php?search=%D0%9B%D0%BE%D0%B6%D1%8C%20%D0%BD%D0%B0%20%D0%B4%D0%BB%D0%B8%D0%BD%D0%BD%D1%8B%D1%85%20%D0%BD%D0%BE%D0%B3%D0%B0%D1%85%201983%20%D1%84%D0%B8%D0%BB%D1%8C%D0%BC","искать")</f>
        <v/>
      </c>
      <c r="N4064" s="3" t="n"/>
      <c r="O4064" s="2" t="n"/>
    </row>
    <row r="4065">
      <c r="A4065" s="2" t="n">
        <v>4064</v>
      </c>
      <c r="B4065" s="2" t="inlineStr"/>
      <c r="C4065" s="2" t="n">
        <v>10238</v>
      </c>
      <c r="D4065" s="3" t="inlineStr">
        <is>
          <t>Вопреки уравнениям</t>
        </is>
      </c>
      <c r="E4065" s="2" t="n">
        <v>1968</v>
      </c>
      <c r="F4065" s="2" t="inlineStr">
        <is>
          <t>фильм-спектакль</t>
        </is>
      </c>
      <c r="G4065" s="2" t="inlineStr">
        <is>
          <t>Ленинградское телевидение</t>
        </is>
      </c>
      <c r="H4065" s="2" t="n">
        <v>571</v>
      </c>
      <c r="I4065" s="2" t="inlineStr"/>
      <c r="J4065" s="2" t="inlineStr"/>
      <c r="K4065" s="3" t="inlineStr">
        <is>
          <t>По мотивам пьесы И.Сметановой.
Перевод с чешского В.Каменской и О.Малевича.
"...Сегодня, 4 апреля, в 17 часов 30 минут на нашем аэродроме, и, как мы выяснили из сообщений нескольких международных агентств, на столичных аэродромах всех государств, входящих в ООН, приземлились космические корабли с иной планеты. Происхождение кораблей до сих пор научно не установлено. По всей вероятности, это представители цивилизации настолько удалённой от нас, что о существование её при нынешнем состоянии земных оптических приборов никто не догадывался..."
/Из сообщения диктора ТВ/</t>
        </is>
      </c>
      <c r="L4065" s="2" t="inlineStr">
        <is>
          <t>https://www.kino-teatr.ru/teatr/movie/121470/annot/</t>
        </is>
      </c>
      <c r="M4065" s="2">
        <f>HYPERLINK("https://ru.wikipedia.org/w/index.php?search=%D0%92%D0%BE%D0%BF%D1%80%D0%B5%D0%BA%D0%B8%20%D1%83%D1%80%D0%B0%D0%B2%D0%BD%D0%B5%D0%BD%D0%B8%D1%8F%D0%BC%201968%20%D1%84%D0%B8%D0%BB%D1%8C%D0%BC","искать")</f>
        <v/>
      </c>
      <c r="N4065" s="3" t="n"/>
      <c r="O4065" s="2" t="n"/>
    </row>
    <row r="4066">
      <c r="A4066" s="2" t="n">
        <v>4065</v>
      </c>
      <c r="B4066" s="2" t="inlineStr"/>
      <c r="C4066" s="2" t="n">
        <v>10805</v>
      </c>
      <c r="D4066" s="3" t="inlineStr">
        <is>
          <t>Как папа был маленьким</t>
        </is>
      </c>
      <c r="E4066" s="2" t="n">
        <v>1979</v>
      </c>
      <c r="F4066" s="2" t="inlineStr">
        <is>
          <t>фильм-спектакль</t>
        </is>
      </c>
      <c r="G4066" s="2" t="inlineStr">
        <is>
          <t>Ленинградское телевидение</t>
        </is>
      </c>
      <c r="H4066" s="2" t="n">
        <v>577</v>
      </c>
      <c r="I4066" s="2" t="inlineStr"/>
      <c r="J4066" s="2" t="inlineStr"/>
      <c r="K4066" s="3" t="inlineStr">
        <is>
          <t>По мотивам рассказов А.Раскина.
Веселые поучительные истории, в которых папа хвастается, обижается, трусит, кусает профессора, прячется под кровать от учительницы музыки, укрощает собачку, охотится на тигра, опаздывает в школу, придумывает всякие небылицы для учителей, обижается на смешные прозвища, которые ему придумывают, папу шлёпают, воспитывают, поучают, - и все эти забавные истории показывают, как важно никогда не унывать! И еще, все эти истории - чистая правда! Как здорово, что папы не рождаются сразу взрослыми и что они, пока маленькие, так похожи на своих детей!</t>
        </is>
      </c>
      <c r="L4066" s="2" t="inlineStr">
        <is>
          <t>https://www.kino-teatr.ru/teatr/movie/119034/annot/</t>
        </is>
      </c>
      <c r="M4066" s="2">
        <f>HYPERLINK("https://ru.wikipedia.org/w/index.php?search=%D0%9A%D0%B0%D0%BA%20%D0%BF%D0%B0%D0%BF%D0%B0%20%D0%B1%D1%8B%D0%BB%20%D0%BC%D0%B0%D0%BB%D0%B5%D0%BD%D1%8C%D0%BA%D0%B8%D0%BC%201979%20%D1%84%D0%B8%D0%BB%D1%8C%D0%BC","искать")</f>
        <v/>
      </c>
      <c r="N4066" s="3" t="n"/>
      <c r="O4066" s="2" t="n"/>
    </row>
    <row r="4067">
      <c r="A4067" s="2" t="n">
        <v>4066</v>
      </c>
      <c r="B4067" s="2" t="inlineStr"/>
      <c r="C4067" s="2" t="n">
        <v>10100</v>
      </c>
      <c r="D4067" s="3" t="inlineStr">
        <is>
          <t>РќР°СЃР»РµРґРЅРёРєРё Р Р°Р±СѓСЂРґСЌРЅР°</t>
        </is>
      </c>
      <c r="E4067" s="2" t="n">
        <v>1962</v>
      </c>
      <c r="F4067" s="2" t="inlineStr">
        <is>
          <t>фильм-спектакль</t>
        </is>
      </c>
      <c r="G4067" s="2" t="n"/>
      <c r="H4067" s="2" t="n">
        <v>580</v>
      </c>
      <c r="I4067" s="2" t="inlineStr"/>
      <c r="J4067" s="2" t="inlineStr"/>
      <c r="K4067" s="3" t="inlineStr">
        <is>
          <t>РўРµР»РµСЃРїРµРєС‚Р°РєР»СЊ РўРµР°С‚СЂР° СЃР°С‚РёСЂС‹ РїРѕ РѕРґРЅРѕРёРјРµРЅРЅРѕР№ РєРѕРјРµРґРёРё Р­РјРёР»СЏ Р—РѕР»СЏ.
Р’СЂРµРјСЏ РґРµР№СЃС‚РІРёСЏ вЂ“ 1870-Рµ РіРѕРґС‹, Р¤СЂР°РЅС†РёСЏ.
Р‘СѓСЂР¶СѓР° Р Р°Р±СѓСЂРґРµРЅ РїСЂРѕРјРѕС‚Р°Р» СЃРІРѕРµ СЃРѕСЃС‚РѕСЏРЅРёРµ, Р° СЂРѕРґСЃС‚РІРµРЅРЅРёРєРё, РЅРµ Р·РЅР°СЏ СЌС‚РѕРіРѕ, РґРµР»СЏС‚ РЅРµСЃСѓС‰РµСЃС‚РІСѓСЋС‰РµРµ РЅР°СЃР»РµРґСЃС‚РІРѕ. РЎСЋР¶РµС‚ РїСЂРѕСЃС‚, РєРѕРјРёС‡РµРЅ, РЅРѕ РІРµС‡РЅС‹Рµ С‚РµРјС‹ вЂ“ РґРµРЅСЊРіРё Рё РІР·Р°РёРјРѕРѕС‚РЅРѕС€РµРЅРёСЏ Р»СЋРґРµР№, РёСЃС‚РёРЅРЅР°СЏ СЃС‚СЂР°СЃС‚РЅР°СЏ Р»СЋР±РѕРІСЊ Рё Р±РµСЃРєРѕСЂС‹СЃС‚РёРµ.</t>
        </is>
      </c>
      <c r="L4067" s="2" t="inlineStr">
        <is>
          <t>https://www.kino-teatr.ru/teatr/movie/4252/annot/</t>
        </is>
      </c>
      <c r="M4067" s="2">
        <f>HYPERLINK("https://ru.wikipedia.org/w/index.php?search=%D0%A0%D1%9C%D0%A0%C2%B0%D0%A1%D0%83%D0%A0%C2%BB%D0%A0%C2%B5%D0%A0%D2%91%D0%A0%D0%85%D0%A0%D1%91%D0%A0%D1%94%D0%A0%D1%91%20%D0%A0%20%D0%A0%C2%B0%D0%A0%C2%B1%D0%A1%D1%93%D0%A1%D0%82%D0%A0%D2%91%D0%A1%D0%8C%D0%A0%D0%85%D0%A0%C2%B0%201962%20%D1%84%D0%B8%D0%BB%D1%8C%D0%BC","искать")</f>
        <v/>
      </c>
      <c r="N4067" s="3" t="n"/>
      <c r="O4067" s="2" t="n"/>
    </row>
    <row r="4068">
      <c r="A4068" s="2" t="n">
        <v>4067</v>
      </c>
      <c r="B4068" s="2" t="inlineStr"/>
      <c r="C4068" s="2" t="n">
        <v>11257</v>
      </c>
      <c r="D4068" s="3" t="inlineStr">
        <is>
          <t>Записки Самсона Самосуя</t>
        </is>
      </c>
      <c r="E4068" s="2" t="n">
        <v>1989</v>
      </c>
      <c r="F4068" s="2" t="inlineStr">
        <is>
          <t>фильм-спектакль</t>
        </is>
      </c>
      <c r="G4068" s="2" t="inlineStr">
        <is>
          <t>Беларусьфильм</t>
        </is>
      </c>
      <c r="H4068" s="2" t="n">
        <v>580</v>
      </c>
      <c r="I4068" s="2" t="inlineStr"/>
      <c r="J4068" s="2" t="inlineStr"/>
      <c r="K4068" s="3" t="inlineStr">
        <is>
          <t>Экранизация сатирического романа Андрея Мрыя (Шашалевича).
Главный герой - руководитель культотдела райисполкома Самсон Самосуй, отсутствие компетентности которого компенсируется необычайной активностью в области организации культуры.
Самосуй организовывает абсурдные культурные мероприятия, стараясь в кратчайший срок «поднять уровень культуры» в районе, параллельно стремясь во что бы то ни стало наладить свою личную жизнь.
После обнаружения в районе селения «троглодитов» и скандальной театральной постановки некомпетентного Самосуя повышают и переводят в окружной культотдел.</t>
        </is>
      </c>
      <c r="L4068" s="2" t="inlineStr">
        <is>
          <t>https://www.kino-teatr.ru/teatr/movie/16469/annot/</t>
        </is>
      </c>
      <c r="M4068" s="2">
        <f>HYPERLINK("https://ru.wikipedia.org/w/index.php?search=%D0%97%D0%B0%D0%BF%D0%B8%D1%81%D0%BA%D0%B8%20%D0%A1%D0%B0%D0%BC%D1%81%D0%BE%D0%BD%D0%B0%20%D0%A1%D0%B0%D0%BC%D0%BE%D1%81%D1%83%D1%8F%201989%20%D1%84%D0%B8%D0%BB%D1%8C%D0%BC","искать")</f>
        <v/>
      </c>
      <c r="N4068" s="3" t="n"/>
      <c r="O4068" s="2" t="n"/>
    </row>
    <row r="4069">
      <c r="A4069" s="2" t="n">
        <v>4068</v>
      </c>
      <c r="B4069" s="2" t="inlineStr"/>
      <c r="C4069" s="2" t="n">
        <v>11004</v>
      </c>
      <c r="D4069" s="3" t="inlineStr">
        <is>
          <t>Пираты Пензенса</t>
        </is>
      </c>
      <c r="E4069" s="2" t="n">
        <v>1983</v>
      </c>
      <c r="F4069" s="2" t="inlineStr">
        <is>
          <t>фильм-спектакль</t>
        </is>
      </c>
      <c r="G4069" s="2" t="inlineStr">
        <is>
          <t>Universal Pictures, Pressman Film, Timothy Burrill Productions, St. Michael Finance Limited</t>
        </is>
      </c>
      <c r="H4069" s="2" t="n">
        <v>581</v>
      </c>
      <c r="I4069" s="2" t="inlineStr"/>
      <c r="J4069" s="2" t="inlineStr"/>
      <c r="K4069" s="3" t="inlineStr">
        <is>
          <t>История о Фредерике, который, достигнув возраста 21 года, освобождается от ученичества у сердобольной команды пиратов. Он встречает Мейбл, дочку генерал-майора Стэнли, и они сразу влюбляются друг в друга. Однако, поскольку Фредерик родился 29 февраля, то, технически, его день рождения бывает только раз в четыре года, то есть в високосном году. Из этого выходит, что, считая по дням рождения, он пробыл у пиратов только 5 лет с четвертью и, следовательно, должен прослужить в команде 63 года. У связанного долгом Фредерика есть единственное утешение — Мейбл обещала дождаться его.</t>
        </is>
      </c>
      <c r="L4069" s="2" t="inlineStr">
        <is>
          <t>https://www.kino-teatr.ru/teatr/movie/72496/annot/</t>
        </is>
      </c>
      <c r="M4069" s="2">
        <f>HYPERLINK("https://ru.wikipedia.org/w/index.php?search=%D0%9F%D0%B8%D1%80%D0%B0%D1%82%D1%8B%20%D0%9F%D0%B5%D0%BD%D0%B7%D0%B5%D0%BD%D1%81%D0%B0%201983%20%D1%84%D0%B8%D0%BB%D1%8C%D0%BC","искать")</f>
        <v/>
      </c>
      <c r="N4069" s="3" t="n"/>
      <c r="O4069" s="2" t="n"/>
    </row>
    <row r="4070">
      <c r="A4070" s="2" t="n">
        <v>4069</v>
      </c>
      <c r="B4070" s="2" t="inlineStr"/>
      <c r="C4070" s="2" t="n">
        <v>10351</v>
      </c>
      <c r="D4070" s="3" t="inlineStr">
        <is>
          <t>Верхом на дельфине</t>
        </is>
      </c>
      <c r="E4070" s="2" t="n">
        <v>1970</v>
      </c>
      <c r="F4070" s="2" t="inlineStr">
        <is>
          <t>фильм-спектакль</t>
        </is>
      </c>
      <c r="G4070" s="2" t="inlineStr">
        <is>
          <t>Центральное телевидение</t>
        </is>
      </c>
      <c r="H4070" s="2" t="n">
        <v>582</v>
      </c>
      <c r="I4070" s="2" t="inlineStr"/>
      <c r="J4070" s="2" t="inlineStr"/>
      <c r="K4070" s="3" t="inlineStr">
        <is>
          <t>По одноименной пьесе Леонида Жуховицкого "Остановиться, оглянуться" в постановке Московского драматического театра им. Н.В. Гоголя.
Действие происходит в редакции крупной столичной газеты.
Талантливый журналист Егор Королев, чьи острые фельетоны всегда в центре внимания, получает от жизни жестокий урок за самоуверенность. В газете выходит фельетон о самом Королеве, его безответственном, поверхностном отношении к открытию нового лекарства. Фельетон ставит под угрозу дальнейшую карьеру журналиста, но написан он по его просьбе - иначе было невозможно восстановить справедливость.</t>
        </is>
      </c>
      <c r="L4070" s="2" t="inlineStr">
        <is>
          <t>https://www.kino-teatr.ru/teatr/movie/92362/annot/</t>
        </is>
      </c>
      <c r="M4070" s="2">
        <f>HYPERLINK("https://ru.wikipedia.org/w/index.php?search=%D0%92%D0%B5%D1%80%D1%85%D0%BE%D0%BC%20%D0%BD%D0%B0%20%D0%B4%D0%B5%D0%BB%D1%8C%D1%84%D0%B8%D0%BD%D0%B5%201970%20%D1%84%D0%B8%D0%BB%D1%8C%D0%BC","искать")</f>
        <v/>
      </c>
      <c r="N4070" s="3" t="n"/>
      <c r="O4070" s="2" t="n"/>
    </row>
    <row r="4071">
      <c r="A4071" s="2" t="n">
        <v>4070</v>
      </c>
      <c r="B4071" s="2" t="inlineStr"/>
      <c r="C4071" s="2" t="n">
        <v>10540</v>
      </c>
      <c r="D4071" s="3" t="inlineStr">
        <is>
          <t>Аптека "Голубые шары"</t>
        </is>
      </c>
      <c r="E4071" s="2" t="n">
        <v>1974</v>
      </c>
      <c r="F4071" s="2" t="inlineStr">
        <is>
          <t>фильм-спектакль</t>
        </is>
      </c>
      <c r="G4071" s="2" t="inlineStr">
        <is>
          <t>Ленинградское ТВ</t>
        </is>
      </c>
      <c r="H4071" s="2" t="n">
        <v>582</v>
      </c>
      <c r="I4071" s="2" t="inlineStr"/>
      <c r="J4071" s="2" t="inlineStr"/>
      <c r="K4071" s="3" t="inlineStr">
        <is>
          <t>Телепостановка по повести-сказке Вениамина Каверина.
О дружбе, взаимной выручке ребят — мальчика Пети и других хороших людей, которые стремятся сделать все, чтобы Снегурочка не растаяла с первыми лучами весеннего солнца, хотят найти средство, чтобы превратилась она в обыкновенную девочку-школьницу. Найти такое средство — не простое дело, а тут еще злые волшебники мешают: перерождение Снегурочки грозит им смертью. Но, как всегда бывает в сказках, добро побеждает, зло наказано, ибо не могут злые люди, даже если они и волшебники, противостоять дружбе объединившихся добрых людей.</t>
        </is>
      </c>
      <c r="L4071" s="2" t="inlineStr">
        <is>
          <t>https://www.kino-teatr.ru/teatr/movie/88019/annot/</t>
        </is>
      </c>
      <c r="M4071" s="2">
        <f>HYPERLINK("https://ru.wikipedia.org/w/index.php?search=%D0%90%D0%BF%D1%82%D0%B5%D0%BA%D0%B0%20%22%D0%93%D0%BE%D0%BB%D1%83%D0%B1%D1%8B%D0%B5%20%D1%88%D0%B0%D1%80%D1%8B%22%201974%20%D1%84%D0%B8%D0%BB%D1%8C%D0%BC","искать")</f>
        <v/>
      </c>
      <c r="N4071" s="3" t="n"/>
      <c r="O4071" s="2" t="n"/>
    </row>
    <row r="4072">
      <c r="A4072" s="2" t="n">
        <v>4071</v>
      </c>
      <c r="B4072" s="2" t="inlineStr"/>
      <c r="C4072" s="2" t="n">
        <v>11332</v>
      </c>
      <c r="D4072" s="3" t="inlineStr">
        <is>
          <t>Этот фантастический мир. Выпуск 16</t>
        </is>
      </c>
      <c r="E4072" s="2" t="n">
        <v>1990</v>
      </c>
      <c r="F4072" s="2" t="inlineStr">
        <is>
          <t>фильм-спектакль</t>
        </is>
      </c>
      <c r="G4072" s="2" t="inlineStr">
        <is>
          <t>Главная редакция программ для детей и юношества ЦТ</t>
        </is>
      </c>
      <c r="H4072" s="2" t="n">
        <v>584</v>
      </c>
      <c r="I4072" s="2" t="inlineStr"/>
      <c r="J4072" s="2" t="inlineStr"/>
      <c r="K4072" s="3" t="inlineStr">
        <is>
          <t>По повести Джеймса Ганна "Где бы ты ни был".
Молодой ученый Мэт пишет диссертацию на тему "Психодинамика колдовства" и пытается доказать, что явлений, описанных в исторических судах над ведьмами, быть не может. Но однажды он встречает юную деревенскую девушку Эби, обладающую сверхъестественными способностями, и влюбляется в нее. В нем начинают бороться человеческие чувства и азарт ученого...
Телевизионный фильм "Психодинамика колдовства" - последний, 16 выпуск популярного телеальманаха "Этот фантастический мир", регулярно выходившего на Центральном Телевидении СССР с 1979 года.</t>
        </is>
      </c>
      <c r="L4072" s="2" t="inlineStr">
        <is>
          <t>https://www.kino-teatr.ru/teatr/movie/78750/annot/</t>
        </is>
      </c>
      <c r="M4072" s="2">
        <f>HYPERLINK("https://ru.wikipedia.org/w/index.php?search=%D0%AD%D1%82%D0%BE%D1%82%20%D1%84%D0%B0%D0%BD%D1%82%D0%B0%D1%81%D1%82%D0%B8%D1%87%D0%B5%D1%81%D0%BA%D0%B8%D0%B9%20%D0%BC%D0%B8%D1%80.%20%D0%92%D1%8B%D0%BF%D1%83%D1%81%D0%BA%2016%201990%20%D1%84%D0%B8%D0%BB%D1%8C%D0%BC","искать")</f>
        <v/>
      </c>
      <c r="N4072" s="3" t="n"/>
      <c r="O4072" s="2" t="n"/>
    </row>
    <row r="4073">
      <c r="A4073" s="2" t="n">
        <v>4072</v>
      </c>
      <c r="B4073" s="2" t="inlineStr"/>
      <c r="C4073" s="2" t="n">
        <v>10643</v>
      </c>
      <c r="D4073" s="3" t="inlineStr">
        <is>
          <t>Дамы и гусары</t>
        </is>
      </c>
      <c r="E4073" s="2" t="n">
        <v>1976</v>
      </c>
      <c r="F4073" s="2" t="inlineStr">
        <is>
          <t>фильм-спектакль</t>
        </is>
      </c>
      <c r="G4073" s="2" t="inlineStr">
        <is>
          <t>ТО "Экран"</t>
        </is>
      </c>
      <c r="H4073" s="2" t="n">
        <v>587</v>
      </c>
      <c r="I4073" s="2" t="inlineStr"/>
      <c r="J4073" s="2" t="inlineStr"/>
      <c r="K4073" s="3" t="inlineStr">
        <is>
          <t>Экранизация одноимённого спектакля по пьесе А.Фредро.
К закоренелым холостякам, счастливо "соединяющим усилия" за чашей вина, - лихим гусарам, панам майору, ротмистру, поручику Эдмунду и капеллану приезжают сестры пана майора, решившие женить приближающегося к 60-летию братца на племяннице. Но племянница уже давно любит Эдмунда, и тогда созревает план уговорить майора жениться, в последний момент подменив его на поручика. Для этого дамами были сплетены самые коварные интриги, в результате которых все остальные вояки тоже задумали жениться и чуть было не преуспели в этом намерении!</t>
        </is>
      </c>
      <c r="L4073" s="2" t="inlineStr">
        <is>
          <t>https://www.kino-teatr.ru/teatr/movie/1591/annot/</t>
        </is>
      </c>
      <c r="M4073" s="2">
        <f>HYPERLINK("https://ru.wikipedia.org/w/index.php?search=%D0%94%D0%B0%D0%BC%D1%8B%20%D0%B8%20%D0%B3%D1%83%D1%81%D0%B0%D1%80%D1%8B%201976%20%D1%84%D0%B8%D0%BB%D1%8C%D0%BC","искать")</f>
        <v/>
      </c>
      <c r="N4073" s="3" t="n"/>
      <c r="O4073" s="2" t="n"/>
    </row>
    <row r="4074">
      <c r="A4074" s="2" t="n">
        <v>4073</v>
      </c>
      <c r="B4074" s="2" t="inlineStr"/>
      <c r="C4074" s="2" t="n">
        <v>11213</v>
      </c>
      <c r="D4074" s="3" t="inlineStr">
        <is>
          <t>Кьоджинские перепалки</t>
        </is>
      </c>
      <c r="E4074" s="2" t="n">
        <v>1988</v>
      </c>
      <c r="F4074" s="2" t="inlineStr">
        <is>
          <t>фильм-спектакль</t>
        </is>
      </c>
      <c r="G4074" s="2" t="inlineStr">
        <is>
          <t>Главная редакция литературно-драматических программ ЦТ</t>
        </is>
      </c>
      <c r="H4074" s="2" t="n">
        <v>595</v>
      </c>
      <c r="I4074" s="2" t="inlineStr"/>
      <c r="J4074" s="2" t="inlineStr"/>
      <c r="K4074" s="3" t="inlineStr">
        <is>
          <t>По одноименной пьесе Карло Гольдони в исполнении выпускников Государственного института театрального искусства имени А.В. Луначарского.
В маленьком приморском городке Кьодже жены, невесты и сестры рыбаков ожидают возвращения с моря мужчин, коротая время за сплетнями и поддразниванием друг друга. Чуть-чуть кокетства, чуть-чуть соперничества, и из этих искорок, мгновенно раздутых кумушками, в горячих южных характерах вспыхивает пламя ревности и обид. Рушится счастье двух влюбленных пар. Привычные перепалки соседок, их постоянное развлечение достигает упоительного накала непримиримой вражды.</t>
        </is>
      </c>
      <c r="L4074" s="2" t="inlineStr">
        <is>
          <t>https://www.kino-teatr.ru/teatr/movie/81597/annot/</t>
        </is>
      </c>
      <c r="M4074" s="2">
        <f>HYPERLINK("https://ru.wikipedia.org/w/index.php?search=%D0%9A%D1%8C%D0%BE%D0%B4%D0%B6%D0%B8%D0%BD%D1%81%D0%BA%D0%B8%D0%B5%20%D0%BF%D0%B5%D1%80%D0%B5%D0%BF%D0%B0%D0%BB%D0%BA%D0%B8%201988%20%D1%84%D0%B8%D0%BB%D1%8C%D0%BC","искать")</f>
        <v/>
      </c>
      <c r="N4074" s="3" t="n"/>
      <c r="O4074" s="2" t="n"/>
    </row>
    <row r="4075">
      <c r="A4075" s="2" t="n">
        <v>4074</v>
      </c>
      <c r="B4075" s="2" t="inlineStr"/>
      <c r="C4075" s="2" t="n">
        <v>9794</v>
      </c>
      <c r="D4075" s="3" t="inlineStr">
        <is>
          <t>Вызываем огонь на себя</t>
        </is>
      </c>
      <c r="E4075" s="2" t="n">
        <v>1964</v>
      </c>
      <c r="F4075" s="2" t="inlineStr">
        <is>
          <t>телефильм</t>
        </is>
      </c>
      <c r="G4075" s="2" t="inlineStr">
        <is>
          <t>Мосфильм, творческое объединение "Экран" по заказу ЦТ</t>
        </is>
      </c>
      <c r="H4075" s="2" t="n">
        <v>597</v>
      </c>
      <c r="I4075" s="2" t="inlineStr"/>
      <c r="J4075" s="2" t="inlineStr"/>
      <c r="K4075" s="3" t="inlineStr">
        <is>
          <t>Первый советский многосерийный телефильм - сериал, снятый к 20-летию Победы советского народа в Великой Отечественной войне. Военный детектив, рассказывающий о подвиге советских и польских подпольщиков в годы войны на оккупированной территории.
Фильм снят по одноимённой повести Овидия Горчакова и Януша Пшимановского и основан на реальных фактах и документальных материалах.
Аня Морозова организует в тылу врага разведгруппу и устанавливает связь с поляками, работающими на немецком аэродроме. Ценой больших жертв им удается совершить серию диверсий по уничтожению авиационной техники противника.</t>
        </is>
      </c>
      <c r="L4075" s="2" t="inlineStr">
        <is>
          <t>https://www.kino-teatr.ru/kino/movie/sov/1296/annot/</t>
        </is>
      </c>
      <c r="M4075" s="2">
        <f>HYPERLINK("https://ru.wikipedia.org/w/index.php?search=%D0%92%D1%8B%D0%B7%D1%8B%D0%B2%D0%B0%D0%B5%D0%BC%20%D0%BE%D0%B3%D0%BE%D0%BD%D1%8C%20%D0%BD%D0%B0%20%D1%81%D0%B5%D0%B1%D1%8F%201964%20%D1%84%D0%B8%D0%BB%D1%8C%D0%BC","искать")</f>
        <v/>
      </c>
      <c r="N4075" s="3" t="n"/>
      <c r="O4075" s="2" t="n"/>
    </row>
    <row r="4076">
      <c r="A4076" s="2" t="n">
        <v>4075</v>
      </c>
      <c r="B4076" s="2" t="inlineStr"/>
      <c r="C4076" s="2" t="n">
        <v>7410</v>
      </c>
      <c r="D4076" s="3" t="inlineStr">
        <is>
          <t>Встречи на Медео</t>
        </is>
      </c>
      <c r="E4076" s="2" t="n">
        <v>1976</v>
      </c>
      <c r="F4076" s="2" t="inlineStr">
        <is>
          <t>телефильм</t>
        </is>
      </c>
      <c r="G4076" s="2" t="n"/>
      <c r="H4076" s="2" t="n">
        <v>600</v>
      </c>
      <c r="I4076" s="2" t="inlineStr"/>
      <c r="J4076" s="2" t="inlineStr"/>
      <c r="K4076" s="3" t="inlineStr">
        <is>
          <t>Телефильм. На высокогорном катке Медео тренируются юные фигуристы - танцевальная пара Эрик и Джайран. При подготовке к ответственным соревнованиям тренер решает, что Эрик должен выступать с более опытной партнершей... Пара, снимавшаяся в главной роли, входила в сборную Казахстана. Участвовала в соревнованиях вместе с такими известными мастерами, как Людмила Пахомова, Александр Горшков, Ирина Моисеева, Андрей Миненков, Наталья Линичук, Геннадий Карпоносов, Елена Гаранина, Игорь Завозин, Юрий Овчинников, Елена Водорезова, тренеры: Станислав Жук, Елена Чайковская, Татьяна Тарасова, Алексей Мишин.</t>
        </is>
      </c>
      <c r="L4076" s="2" t="inlineStr">
        <is>
          <t>Кино_СССР сводный каталог.xlsx: список телефильмов</t>
        </is>
      </c>
      <c r="M4076" s="2">
        <f>HYPERLINK("https://ru.wikipedia.org/w/index.php?search=%D0%92%D1%81%D1%82%D1%80%D0%B5%D1%87%D0%B8%20%D0%BD%D0%B0%20%D0%9C%D0%B5%D0%B4%D0%B5%D0%BE%201976%20%D1%84%D0%B8%D0%BB%D1%8C%D0%BC","искать")</f>
        <v/>
      </c>
      <c r="N4076" s="3" t="n"/>
      <c r="O4076" s="2" t="n"/>
    </row>
    <row r="4077">
      <c r="A4077" s="2" t="n">
        <v>4076</v>
      </c>
      <c r="B4077" s="2" t="inlineStr"/>
      <c r="C4077" s="2" t="n">
        <v>9811</v>
      </c>
      <c r="D4077" s="3" t="inlineStr">
        <is>
          <t>Ведьма</t>
        </is>
      </c>
      <c r="E4077" s="2" t="n">
        <v>1958</v>
      </c>
      <c r="F4077" s="2" t="inlineStr">
        <is>
          <t>телефильм</t>
        </is>
      </c>
      <c r="G4077" s="2" t="inlineStr">
        <is>
          <t>Ленфильм</t>
        </is>
      </c>
      <c r="H4077" s="2" t="n">
        <v>601</v>
      </c>
      <c r="I4077" s="2" t="inlineStr"/>
      <c r="J4077" s="2" t="inlineStr"/>
      <c r="K4077" s="3" t="inlineStr">
        <is>
          <t>Телефильм по одноименному рассказу А.П.Чехова.
В далёкой сторожке живут двое - грязный, обросший дьячок Савелий и его жена Раиса - молодая, красивая женщина. Дьячок мучает свою жену дикой, нелепой ревностью. Сцены ревности становятся особенно невыносимыми, когда начинает кружить метель. Это ворожит она - "ведьма". Каждый раз, как кровь в ней начинает играть, так и непогода, а как непогода, так и несёт к ним какого-нибудь безумца - то масетра, то охотника, то писаря... И всё молодые... Вот и теперь наворожила. В сторожку входит облепленный снегом, замерзший, измученный ужасной дорогой почтальон.</t>
        </is>
      </c>
      <c r="L4077" s="2" t="inlineStr">
        <is>
          <t>https://www.kino-teatr.ru/short/movie/sov/842/annot/</t>
        </is>
      </c>
      <c r="M4077" s="2">
        <f>HYPERLINK("https://ru.wikipedia.org/w/index.php?search=%D0%92%D0%B5%D0%B4%D1%8C%D0%BC%D0%B0%201958%20%D1%84%D0%B8%D0%BB%D1%8C%D0%BC","искать")</f>
        <v/>
      </c>
      <c r="N4077" s="3" t="n"/>
      <c r="O4077" s="2" t="n"/>
    </row>
    <row r="4078">
      <c r="A4078" s="2" t="n">
        <v>4077</v>
      </c>
      <c r="B4078" s="2" t="inlineStr"/>
      <c r="C4078" s="2" t="n">
        <v>10240</v>
      </c>
      <c r="D4078" s="3" t="inlineStr">
        <is>
          <t>Гибель "Эппи Нийбур"</t>
        </is>
      </c>
      <c r="E4078" s="2" t="n">
        <v>1968</v>
      </c>
      <c r="F4078" s="2" t="inlineStr">
        <is>
          <t>фильм-спектакль</t>
        </is>
      </c>
      <c r="G4078" s="2" t="n"/>
      <c r="H4078" s="2" t="n">
        <v>601</v>
      </c>
      <c r="I4078" s="2" t="inlineStr"/>
      <c r="J4078" s="2" t="inlineStr"/>
      <c r="K4078" s="3" t="inlineStr">
        <is>
          <t>По пьесе Клааса Смелика.
Три серии спектакля представляют собой три заседания, на которых совет мореходства расследует причины гибели корабля, причем тень подозрения в умышленном уничтожении судна падает на старого капитана Нийбура.
Члены совета не способны, да и не желают, вникнуть в существо обстоятельств, понять, почему капитан вынужден был принять на борт лишний груз, почему этот слепнущий старик не уходил с капитанского мостика.
"Не будет преувеличением сказать, что успех постановки во многом определила работа Бориса Тенина, исполнявшего главную роль." ("Советская культура" от 6.03.1969г.)</t>
        </is>
      </c>
      <c r="L4078" s="2" t="inlineStr">
        <is>
          <t>https://www.kino-teatr.ru/teatr/movie/82126/annot/</t>
        </is>
      </c>
      <c r="M4078" s="2">
        <f>HYPERLINK("https://ru.wikipedia.org/w/index.php?search=%D0%93%D0%B8%D0%B1%D0%B5%D0%BB%D1%8C%20%22%D0%AD%D0%BF%D0%BF%D0%B8%20%D0%9D%D0%B8%D0%B9%D0%B1%D1%83%D1%80%22%201968%20%D1%84%D0%B8%D0%BB%D1%8C%D0%BC","искать")</f>
        <v/>
      </c>
      <c r="N4078" s="3" t="n"/>
      <c r="O4078" s="2" t="n"/>
    </row>
    <row r="4079">
      <c r="A4079" s="2" t="n">
        <v>4078</v>
      </c>
      <c r="B4079" s="2" t="inlineStr"/>
      <c r="C4079" s="2" t="n">
        <v>10686</v>
      </c>
      <c r="D4079" s="3" t="inlineStr">
        <is>
          <t>Джентльмены, которым не повезло</t>
        </is>
      </c>
      <c r="E4079" s="2" t="n">
        <v>1977</v>
      </c>
      <c r="F4079" s="2" t="inlineStr">
        <is>
          <t>фильм-спектакль</t>
        </is>
      </c>
      <c r="G4079" s="2" t="inlineStr">
        <is>
          <t>Центральное телевидение</t>
        </is>
      </c>
      <c r="H4079" s="2" t="n">
        <v>603</v>
      </c>
      <c r="I4079" s="2" t="inlineStr"/>
      <c r="J4079" s="2" t="inlineStr"/>
      <c r="K4079" s="3" t="inlineStr">
        <is>
          <t>По мотивам рассказов О.Генри "В антракте", "Без вымысла", "Негодное правило", "Предвестник весны", "Фараон и хорал", "Дебют Тильди". О судьбах "маленьких людей", неудачников, живущих в одном дешевом пансионе.
Герои О.Генри разнообразны: миллионеры, ковбои, спекулянты, клерки, прачки, бандиты, финансисты, политики, писатели, артисты, художники, рабочие, инженеры, пожарные — сменяют друг друга. Умелый конструктор сюжета, О.Генри не показывает психологическую сторону происходящего, действия его персонажей не получают глубокой психологической мотивировки, что ещё более усиливает неожиданность финала.</t>
        </is>
      </c>
      <c r="L4079" s="2" t="inlineStr">
        <is>
          <t>https://www.kino-teatr.ru/teatr/movie/16494/annot/</t>
        </is>
      </c>
      <c r="M4079" s="2">
        <f>HYPERLINK("https://ru.wikipedia.org/w/index.php?search=%D0%94%D0%B6%D0%B5%D0%BD%D1%82%D0%BB%D1%8C%D0%BC%D0%B5%D0%BD%D1%8B%2C%20%D0%BA%D0%BE%D1%82%D0%BE%D1%80%D1%8B%D0%BC%20%D0%BD%D0%B5%20%D0%BF%D0%BE%D0%B2%D0%B5%D0%B7%D0%BB%D0%BE%201977%20%D1%84%D0%B8%D0%BB%D1%8C%D0%BC","искать")</f>
        <v/>
      </c>
      <c r="N4079" s="3" t="n"/>
      <c r="O4079" s="2" t="n"/>
    </row>
    <row r="4080">
      <c r="A4080" s="2" t="n">
        <v>4079</v>
      </c>
      <c r="B4080" s="2" t="inlineStr"/>
      <c r="C4080" s="2" t="n">
        <v>9805</v>
      </c>
      <c r="D4080" s="3" t="inlineStr">
        <is>
          <t>Красный цвет папоротника</t>
        </is>
      </c>
      <c r="E4080" s="2" t="n">
        <v>1988</v>
      </c>
      <c r="F4080" s="2" t="inlineStr">
        <is>
          <t>телефильм</t>
        </is>
      </c>
      <c r="G4080" s="2" t="inlineStr">
        <is>
          <t>"Беларусьфильм", кинообъединение "Профиль", Польша</t>
        </is>
      </c>
      <c r="H4080" s="2" t="n">
        <v>606</v>
      </c>
      <c r="I4080" s="2" t="inlineStr"/>
      <c r="J4080" s="2" t="inlineStr"/>
      <c r="K4080" s="3" t="inlineStr">
        <is>
          <t>Телевизионный вариант фильма "Переправа" - в четырех сериях.
Весной 1944 года в Яновских лесах Польши против фашистских оккупантов действовали отряды советских партизан и бойцы польского Сопротивления: Армия Людовой и Армия Крайовой, которая, подчиняясь буржуазному польскому правительству, находившемуся в Лондоне, придерживалась нейтралитета. Когда фашисты блокировали лес, советские партизаны, отразив первый удар, предложили предводителю Армии Крайовой - Бжезине - единый план выхода из окружения. Отвергнув предложение союзников, польские солдаты не смогли выйти из окружения и погибли в неравном бою.</t>
        </is>
      </c>
      <c r="L4080" s="2" t="inlineStr">
        <is>
          <t>https://www.kino-teatr.ru/kino/movie/euro/5078/annot/</t>
        </is>
      </c>
      <c r="M4080" s="2">
        <f>HYPERLINK("https://ru.wikipedia.org/w/index.php?search=%D0%9A%D1%80%D0%B0%D1%81%D0%BD%D1%8B%D0%B9%20%D1%86%D0%B2%D0%B5%D1%82%20%D0%BF%D0%B0%D0%BF%D0%BE%D1%80%D0%BE%D1%82%D0%BD%D0%B8%D0%BA%D0%B0%201988%20%D1%84%D0%B8%D0%BB%D1%8C%D0%BC","искать")</f>
        <v/>
      </c>
      <c r="N4080" s="3" t="n"/>
      <c r="O4080" s="2" t="n"/>
    </row>
    <row r="4081">
      <c r="A4081" s="2" t="n">
        <v>4080</v>
      </c>
      <c r="B4081" s="2" t="inlineStr"/>
      <c r="C4081" s="2" t="n">
        <v>10310</v>
      </c>
      <c r="D4081" s="3" t="inlineStr">
        <is>
          <t>К новым берегам</t>
        </is>
      </c>
      <c r="E4081" s="2" t="n">
        <v>1969</v>
      </c>
      <c r="F4081" s="2" t="inlineStr">
        <is>
          <t>фильм-спектакль</t>
        </is>
      </c>
      <c r="G4081" s="2" t="n"/>
      <c r="H4081" s="2" t="n">
        <v>610</v>
      </c>
      <c r="I4081" s="2" t="inlineStr"/>
      <c r="J4081" s="2" t="inlineStr"/>
      <c r="K4081" s="3" t="inlineStr">
        <is>
          <t>О творческом пути великого русского композитора М.П.Мусоргского.
Хмурым мартом 1881 года в Николаевском военно-сухопутном госпитале в Петербурге умирал старый, больной человек. Белая горячка сделала своё чёрное дело: надежд на выздоровление не было. А этому "старику" только-только исполнилось 42 года, и был это великий русский композитор Модест Петрович Мусоргский. Кто знает, какие видения, какие воспоминания роились в его воспалённом воображении в редкие минуты просветлений?
За год с небольшим до смерти он писал Стасову:
"Девиз мой, известный Вам: "Дерзай! вперед к новым берегам!", остался неизменным".</t>
        </is>
      </c>
      <c r="L4081" s="2" t="inlineStr">
        <is>
          <t>https://www.kino-teatr.ru/teatr/movie/82691/annot/</t>
        </is>
      </c>
      <c r="M4081" s="2">
        <f>HYPERLINK("https://ru.wikipedia.org/w/index.php?search=%D0%9A%20%D0%BD%D0%BE%D0%B2%D1%8B%D0%BC%20%D0%B1%D0%B5%D1%80%D0%B5%D0%B3%D0%B0%D0%BC%201969%20%D1%84%D0%B8%D0%BB%D1%8C%D0%BC","искать")</f>
        <v/>
      </c>
      <c r="N4081" s="3" t="n"/>
      <c r="O4081" s="2" t="n"/>
    </row>
    <row r="4082">
      <c r="A4082" s="2" t="n">
        <v>4081</v>
      </c>
      <c r="B4082" s="2" t="inlineStr"/>
      <c r="C4082" s="2" t="n">
        <v>10424</v>
      </c>
      <c r="D4082" s="3" t="inlineStr">
        <is>
          <t>Умница</t>
        </is>
      </c>
      <c r="E4082" s="2" t="n">
        <v>1971</v>
      </c>
      <c r="F4082" s="2" t="inlineStr">
        <is>
          <t>фильм-спектакль</t>
        </is>
      </c>
      <c r="G4082" s="2" t="inlineStr">
        <is>
          <t>Главная редакция музыкальных программ</t>
        </is>
      </c>
      <c r="H4082" s="2" t="n">
        <v>610</v>
      </c>
      <c r="I4082" s="2" t="inlineStr"/>
      <c r="J4082" s="2" t="inlineStr"/>
      <c r="K4082" s="3" t="inlineStr">
        <is>
          <t>Музыкальный телеспектакль по опере Карла Орфа.
Либретто композитора по сказке братьев Гримм "Умная крестьянская дочь". Оригинальное сочинение Орфа сочетает в себе разговорные и музыкальные сцены. Эту сказку, носящую характер притчи, отличает яркая театральность.
Король женился на умной и красивой крестьянской девушке, но сам был не очень-то умен, и превосходство жены оскорбляло его. Он прогнал жену, разрешив ей, однако, захватить с собой то, что ей всего дороже. Она дала королю сонное питье, а когда он заснул, унесла его в свою хижину: он и был ей всего дороже. Растроганный король вернул жену во дворец.</t>
        </is>
      </c>
      <c r="L4082" s="2" t="inlineStr">
        <is>
          <t>https://www.kino-teatr.ru/teatr/movie/111282/annot/</t>
        </is>
      </c>
      <c r="M4082" s="2">
        <f>HYPERLINK("https://ru.wikipedia.org/w/index.php?search=%D0%A3%D0%BC%D0%BD%D0%B8%D1%86%D0%B0%201971%20%D1%84%D0%B8%D0%BB%D1%8C%D0%BC","искать")</f>
        <v/>
      </c>
      <c r="N4082" s="3" t="n"/>
      <c r="O4082" s="2" t="n"/>
    </row>
    <row r="4083">
      <c r="A4083" s="2" t="n">
        <v>4082</v>
      </c>
      <c r="B4083" s="2" t="inlineStr"/>
      <c r="C4083" s="2" t="n">
        <v>10786</v>
      </c>
      <c r="D4083" s="3" t="inlineStr">
        <is>
          <t>Часы с кукушкой</t>
        </is>
      </c>
      <c r="E4083" s="2" t="n">
        <v>1978</v>
      </c>
      <c r="F4083" s="2" t="inlineStr">
        <is>
          <t>фильм-спектакль</t>
        </is>
      </c>
      <c r="G4083" s="2" t="inlineStr">
        <is>
          <t>Главная редакция литературно-драматических программ ЦТ</t>
        </is>
      </c>
      <c r="H4083" s="2" t="n">
        <v>610</v>
      </c>
      <c r="I4083" s="2" t="inlineStr"/>
      <c r="J4083" s="2" t="inlineStr"/>
      <c r="K4083" s="3" t="inlineStr">
        <is>
          <t>Второй телеспектакль трилогии о супругах Кузнецовых, в которую входят еще два «Кошка на радиаторе» (1977) и «Осторожно, ремонт!» (1979).
Представьте себе: вы сидите, уткнувшись в телевизор, а жена каждый вечер пилит и пилит вас: "Скучно живем, ни театра, ни кино, ни концертов, даже в гости не ходим, да и к нам - никто...". Чем это может закончиться? Понятно чем: является однажды в дом полуночный гость, и скучать сразу некогда. Так становится весело, что уже и до развода недалеко...
Смешная бытовая история оказывается на поверку глубокой философской притчей, как и все пьесы, созданные Леонидом Филатовым.</t>
        </is>
      </c>
      <c r="L4083" s="2" t="inlineStr">
        <is>
          <t>https://www.kino-teatr.ru/teatr/movie/13827/annot/</t>
        </is>
      </c>
      <c r="M4083" s="2">
        <f>HYPERLINK("https://ru.wikipedia.org/w/index.php?search=%D0%A7%D0%B0%D1%81%D1%8B%20%D1%81%20%D0%BA%D1%83%D0%BA%D1%83%D1%88%D0%BA%D0%BE%D0%B9%201978%20%D1%84%D0%B8%D0%BB%D1%8C%D0%BC","искать")</f>
        <v/>
      </c>
      <c r="N4083" s="3" t="n"/>
      <c r="O4083" s="2" t="n"/>
    </row>
    <row r="4084">
      <c r="A4084" s="2" t="n">
        <v>4083</v>
      </c>
      <c r="B4084" s="2" t="inlineStr"/>
      <c r="C4084" s="2" t="n">
        <v>10605</v>
      </c>
      <c r="D4084" s="3" t="inlineStr">
        <is>
          <t>Девичий переполох</t>
        </is>
      </c>
      <c r="E4084" s="2" t="n">
        <v>1975</v>
      </c>
      <c r="F4084" s="2" t="inlineStr">
        <is>
          <t>фильм-спектакль</t>
        </is>
      </c>
      <c r="G4084" s="2" t="inlineStr">
        <is>
          <t>Главная редакция музыкальных программ Центрального телевидения</t>
        </is>
      </c>
      <c r="H4084" s="2" t="n">
        <v>611</v>
      </c>
      <c r="I4084" s="2" t="inlineStr"/>
      <c r="J4084" s="2" t="inlineStr"/>
      <c r="K4084" s="3" t="inlineStr">
        <is>
          <t>Действие происходит в России в XVII веке. Царь повелел выбрать себе невесту – самую пригожую, благовоспитанную и хозяйственную девицу из всех дворянских дочек на Руси. В отдалённое воеводство приезжают царский сват – боярин Сапун Тюфякин – и сопровождающий его молодой дьяк Юрий. Юрий влюбляется в дочь местного воеводы Марфу, которая, чтобы проверить любовь Юрия, выдаёт себя за сенную девушку. Опасаясь, что выбор падёт на неё, Марфа скрывается от царского свата – боярина, а заодно и от Юрия. После ряда приключений и недоразумений Марфа и Юрий счастливо преодолевают все препятствия, мешающие их соединению.</t>
        </is>
      </c>
      <c r="L4084" s="2" t="inlineStr">
        <is>
          <t>https://www.kino-teatr.ru/teatr/movie/85746/annot/</t>
        </is>
      </c>
      <c r="M4084" s="2">
        <f>HYPERLINK("https://ru.wikipedia.org/w/index.php?search=%D0%94%D0%B5%D0%B2%D0%B8%D1%87%D0%B8%D0%B9%20%D0%BF%D0%B5%D1%80%D0%B5%D0%BF%D0%BE%D0%BB%D0%BE%D1%85%201975%20%D1%84%D0%B8%D0%BB%D1%8C%D0%BC","искать")</f>
        <v/>
      </c>
      <c r="N4084" s="3" t="n"/>
      <c r="O4084" s="2" t="n"/>
    </row>
    <row r="4085">
      <c r="A4085" s="2" t="n">
        <v>4084</v>
      </c>
      <c r="B4085" s="2" t="inlineStr"/>
      <c r="C4085" s="2" t="n">
        <v>10967</v>
      </c>
      <c r="D4085" s="3" t="inlineStr">
        <is>
          <t>Семь крестиков в записной книжке</t>
        </is>
      </c>
      <c r="E4085" s="2" t="n">
        <v>1982</v>
      </c>
      <c r="F4085" s="2" t="inlineStr">
        <is>
          <t>фильм-спектакль</t>
        </is>
      </c>
      <c r="G4085" s="2" t="inlineStr">
        <is>
          <t>Ленинградское Телевидение</t>
        </is>
      </c>
      <c r="H4085" s="2" t="n">
        <v>611</v>
      </c>
      <c r="I4085" s="2" t="inlineStr"/>
      <c r="J4085" s="2" t="inlineStr"/>
      <c r="K4085" s="3" t="inlineStr">
        <is>
          <t>По мотивам одноименной повести Ж. Сименона.
Как и полагается всякой детективной истории, начало ее весьма интригующе. Ведущий (в этой роли А. Насибулин) вводит зрителей в курс дела: "Парижане, конечно, помнят убийцу, которого газеты называли "мсье Воскресенье" - восемь убийств и все в воскресные и праздничные дни. Мы попробуем шаг за шагом восстановить события той рождественской ночи, когда было совершено его последнее преступление...".
Детективный сюжет произведения - не самоцель для писателя. Он призван выявить теневые стороны общества, в котором живут герои. Спектакль поставлен режиссером В. Геллером.</t>
        </is>
      </c>
      <c r="L4085" s="2" t="inlineStr">
        <is>
          <t>https://www.kino-teatr.ru/teatr/movie/79328/annot/</t>
        </is>
      </c>
      <c r="M4085" s="2">
        <f>HYPERLINK("https://ru.wikipedia.org/w/index.php?search=%D0%A1%D0%B5%D0%BC%D1%8C%20%D0%BA%D1%80%D0%B5%D1%81%D1%82%D0%B8%D0%BA%D0%BE%D0%B2%20%D0%B2%20%D0%B7%D0%B0%D0%BF%D0%B8%D1%81%D0%BD%D0%BE%D0%B9%20%D0%BA%D0%BD%D0%B8%D0%B6%D0%BA%D0%B5%201982%20%D1%84%D0%B8%D0%BB%D1%8C%D0%BC","искать")</f>
        <v/>
      </c>
      <c r="N4085" s="3" t="n"/>
      <c r="O4085" s="2" t="n"/>
    </row>
    <row r="4086">
      <c r="A4086" s="2" t="n">
        <v>4085</v>
      </c>
      <c r="B4086" s="2" t="inlineStr"/>
      <c r="C4086" s="2" t="n">
        <v>10608</v>
      </c>
      <c r="D4086" s="3" t="inlineStr">
        <is>
          <t>Дома вдовца</t>
        </is>
      </c>
      <c r="E4086" s="2" t="n">
        <v>1975</v>
      </c>
      <c r="F4086" s="2" t="inlineStr">
        <is>
          <t>фильм-спектакль</t>
        </is>
      </c>
      <c r="G4086" s="2" t="inlineStr">
        <is>
          <t>ЦТ, Главная редакция литературно-драматургических программ</t>
        </is>
      </c>
      <c r="H4086" s="2" t="n">
        <v>612</v>
      </c>
      <c r="I4086" s="2" t="inlineStr"/>
      <c r="J4086" s="2" t="inlineStr"/>
      <c r="K4086" s="3" t="inlineStr">
        <is>
          <t>По одноименной пьесе Бернарда Шоу.
Двое друзей, Гарри и Уильям, в путешествии знакомятся с респектабельным мистером Сарториусом и его прелестной дочерью Бланш. Гарри Тренч влюбляется в Бланш и делает ей предложение. Но неожиданно открывается, что свое состояние Сарториус нажил нечестным путем. Этот добродушный богач зарабатывал деньги довольно грязным способом - сдавая беднякам трущобы. Тренч настолько возмущён, что отказывается от брака. Но вскоре ему предстоит узнать горькую правду: и его ценные бумаги обеспечены доходом от тех же самых трущоб.
Как поступить молодому человеку из аристократической семьи?</t>
        </is>
      </c>
      <c r="L4086" s="2" t="inlineStr">
        <is>
          <t>https://www.kino-teatr.ru/teatr/movie/79363/annot/</t>
        </is>
      </c>
      <c r="M4086" s="2">
        <f>HYPERLINK("https://ru.wikipedia.org/w/index.php?search=%D0%94%D0%BE%D0%BC%D0%B0%20%D0%B2%D0%B4%D0%BE%D0%B2%D1%86%D0%B0%201975%20%D1%84%D0%B8%D0%BB%D1%8C%D0%BC","искать")</f>
        <v/>
      </c>
      <c r="N4086" s="3" t="n"/>
      <c r="O4086" s="2" t="n"/>
    </row>
    <row r="4087">
      <c r="A4087" s="2" t="n">
        <v>4086</v>
      </c>
      <c r="B4087" s="2" t="inlineStr"/>
      <c r="C4087" s="2" t="n">
        <v>10405</v>
      </c>
      <c r="D4087" s="3" t="inlineStr">
        <is>
          <t>Марат, Лика, Леонидик</t>
        </is>
      </c>
      <c r="E4087" s="2" t="n">
        <v>1971</v>
      </c>
      <c r="F4087" s="2" t="inlineStr">
        <is>
          <t>фильм-спектакль</t>
        </is>
      </c>
      <c r="G4087" s="2" t="inlineStr">
        <is>
          <t>Главная редакция лит-драм. программ ЦТ</t>
        </is>
      </c>
      <c r="H4087" s="2" t="n">
        <v>621</v>
      </c>
      <c r="I4087" s="2" t="inlineStr"/>
      <c r="J4087" s="2" t="inlineStr"/>
      <c r="K4087" s="3" t="inlineStr">
        <is>
          <t>По пьесе Алексея Арбузова «Мой бедный Марат».
В шестидесятые годы один из самых популярных спектаклей Московского театра имени Ленинского комсомола.
История о тройке блокадных юнцов, которые искали уцелевшую под бомбежкой квартиру, а нашли друг друга на всю жизнь. Марат и Лика (любила гордеца Марата, но вышла замуж за Леонидика, потерявшего на фронте руку) бежали от собственного счастья и теперь мучительно возвращаются к нему, учатся снова быть счастливыми с таким трудом, точно заново учатся ходить. А Леонидик, для которого бремя его любви стало непосильным, невыносимым, так же тяжело учится заново быть свободным.</t>
        </is>
      </c>
      <c r="L4087" s="2" t="inlineStr">
        <is>
          <t>https://www.kino-teatr.ru/teatr/movie/3720/annot/</t>
        </is>
      </c>
      <c r="M4087" s="2">
        <f>HYPERLINK("https://ru.wikipedia.org/w/index.php?search=%D0%9C%D0%B0%D1%80%D0%B0%D1%82%2C%20%D0%9B%D0%B8%D0%BA%D0%B0%2C%20%D0%9B%D0%B5%D0%BE%D0%BD%D0%B8%D0%B4%D0%B8%D0%BA%201971%20%D1%84%D0%B8%D0%BB%D1%8C%D0%BC","искать")</f>
        <v/>
      </c>
      <c r="N4087" s="3" t="n"/>
      <c r="O4087" s="2" t="n"/>
    </row>
    <row r="4088">
      <c r="A4088" s="2" t="n">
        <v>4087</v>
      </c>
      <c r="B4088" s="2" t="inlineStr"/>
      <c r="C4088" s="2" t="n">
        <v>10921</v>
      </c>
      <c r="D4088" s="3" t="inlineStr">
        <is>
          <t>Тупейный художник</t>
        </is>
      </c>
      <c r="E4088" s="2" t="n">
        <v>1981</v>
      </c>
      <c r="F4088" s="2" t="inlineStr">
        <is>
          <t>фильм-спектакль</t>
        </is>
      </c>
      <c r="G4088" s="2" t="inlineStr">
        <is>
          <t>Центральное телевидение</t>
        </is>
      </c>
      <c r="H4088" s="2" t="n">
        <v>621</v>
      </c>
      <c r="I4088" s="2" t="inlineStr"/>
      <c r="J4088" s="2" t="inlineStr"/>
      <c r="K4088" s="3" t="inlineStr">
        <is>
          <t>По рассказу Н.С.Лескова (1883).
События рассказа происходят в крепостном театре орловского графа Каменского, известного своей жестокостью. Историю тупейного художника Аркадия рассказывает бывшая актриса орловского крепостного театра, а сейчас нянька младшего брата рассказчика Любовь Онисимовна. Актриса и парикмахер были влюблены друг в друга, но «свидания с глазу на глаз были совершенно невозможны и даже немыслимы»: романы актрисам не позволялись. Аркадий решает увезти возлюбленную, узнав, что граф оказывает ей особые знаки расположения и хочет сделать своей любовницей, однако в доме священника их настигает погоня</t>
        </is>
      </c>
      <c r="L4088" s="2" t="inlineStr">
        <is>
          <t>https://www.kino-teatr.ru/teatr/movie/115492/annot/</t>
        </is>
      </c>
      <c r="M4088" s="2">
        <f>HYPERLINK("https://ru.wikipedia.org/w/index.php?search=%D0%A2%D1%83%D0%BF%D0%B5%D0%B9%D0%BD%D1%8B%D0%B9%20%D1%85%D1%83%D0%B4%D0%BE%D0%B6%D0%BD%D0%B8%D0%BA%201981%20%D1%84%D0%B8%D0%BB%D1%8C%D0%BC","искать")</f>
        <v/>
      </c>
      <c r="N4088" s="3" t="n"/>
      <c r="O4088" s="2" t="n"/>
    </row>
    <row r="4089">
      <c r="A4089" s="2" t="n">
        <v>4088</v>
      </c>
      <c r="B4089" s="2" t="inlineStr"/>
      <c r="C4089" s="2" t="n">
        <v>11248</v>
      </c>
      <c r="D4089" s="3" t="inlineStr">
        <is>
          <t>Биография</t>
        </is>
      </c>
      <c r="E4089" s="2" t="n">
        <v>1989</v>
      </c>
      <c r="F4089" s="2" t="inlineStr">
        <is>
          <t>фильм-спектакль</t>
        </is>
      </c>
      <c r="G4089" s="2" t="n"/>
      <c r="H4089" s="2" t="n">
        <v>624</v>
      </c>
      <c r="I4089" s="2" t="inlineStr"/>
      <c r="J4089" s="2" t="inlineStr"/>
      <c r="K4089" s="3" t="inlineStr">
        <is>
          <t>Санкт-Петербургский театр Комедии имени Н.П.Акимова
(Ленинградский академический театр комедии)
Знаменитая пьеса Макса Фриша, впервые в России поставленная Львом Стукаловым на сцене театра Комедии.
Пьеса интеллектуальная, а значит, аналитически сконструировавшая пространство, где сквозь судьбы сорокалетних дуют ледяные ветры ХХ века. Рецензенты хвалили премьеру режиссера за смелость, дерзость и сложность заданного хода.
В спектакле разыгрывается театральная репетиция и, иногда, воспоминания главного героя. Это история, увиденная глазами человека, получившего возможность прожить жизнь заново и сочинить свою биографию.</t>
        </is>
      </c>
      <c r="L4089" s="2" t="inlineStr">
        <is>
          <t>https://www.kino-teatr.ru/teatr/movie/143593/annot/</t>
        </is>
      </c>
      <c r="M4089" s="2">
        <f>HYPERLINK("https://ru.wikipedia.org/w/index.php?search=%D0%91%D0%B8%D0%BE%D0%B3%D1%80%D0%B0%D1%84%D0%B8%D1%8F%201989%20%D1%84%D0%B8%D0%BB%D1%8C%D0%BC","искать")</f>
        <v/>
      </c>
      <c r="N4089" s="3" t="n"/>
      <c r="O4089" s="2" t="n"/>
    </row>
    <row r="4090">
      <c r="A4090" s="2" t="n">
        <v>4089</v>
      </c>
      <c r="B4090" s="2" t="inlineStr"/>
      <c r="C4090" s="2" t="n">
        <v>8847</v>
      </c>
      <c r="D4090" s="3" t="inlineStr">
        <is>
          <t>Московский цирк. Сто лет</t>
        </is>
      </c>
      <c r="E4090" s="2" t="n">
        <v>1981</v>
      </c>
      <c r="F4090" s="2" t="inlineStr">
        <is>
          <t>кинофильм</t>
        </is>
      </c>
      <c r="G4090" s="2" t="n"/>
      <c r="H4090" s="2" t="n">
        <v>625</v>
      </c>
      <c r="I4090" s="2" t="inlineStr"/>
      <c r="J4090" s="2" t="inlineStr"/>
      <c r="K4090" s="3" t="inlineStr">
        <is>
          <t>Юбилейная программа, посвященная 100-летию цирка на Цветном бульваре, в очередной раз создает атмосферу веселого праздника, приносит взрослым и детям много радости, веселья и смеха. И нет сомнения, что еще больше радости он принесет нам в будущем. Участвуют акробаты под руководством Виктора Радохова и Виктора Викторова, Любовь и Борис Воробьевы, эквилибристы под руководством Анатолия Стеценко, дрессировщик и жонглер Сарват Бегбуди, эквилибрист Григорий Попович, клоуны Юрий Никулин, Михаил Шуйдин, Татьяна Никулина, Дмитрий Альперов, гимнасты Тамара Мусина и Гунар Каткевич, силовые акробаты Виктор Сдобнин и Юрий Илюшин.</t>
        </is>
      </c>
      <c r="L4090" s="2" t="inlineStr">
        <is>
          <t>Кино_СССР сводный каталог.xlsx: список фильмов (доп.)</t>
        </is>
      </c>
      <c r="M4090" s="2">
        <f>HYPERLINK("https://ru.wikipedia.org/w/index.php?search=%D0%9C%D0%BE%D1%81%D0%BA%D0%BE%D0%B2%D1%81%D0%BA%D0%B8%D0%B9%20%D1%86%D0%B8%D1%80%D0%BA.%20%D0%A1%D1%82%D0%BE%20%D0%BB%D0%B5%D1%82%201981%20%D1%84%D0%B8%D0%BB%D1%8C%D0%BC","искать")</f>
        <v/>
      </c>
      <c r="N4090" s="3" t="n"/>
      <c r="O4090" s="2" t="n"/>
    </row>
    <row r="4091">
      <c r="A4091" s="2" t="n">
        <v>4090</v>
      </c>
      <c r="B4091" s="2" t="inlineStr"/>
      <c r="C4091" s="2" t="n">
        <v>11192</v>
      </c>
      <c r="D4091" s="3" t="inlineStr">
        <is>
          <t>Грамматика любви</t>
        </is>
      </c>
      <c r="E4091" s="2" t="n">
        <v>1988</v>
      </c>
      <c r="F4091" s="2" t="inlineStr">
        <is>
          <t>фильм-спектакль</t>
        </is>
      </c>
      <c r="G4091" s="2" t="inlineStr">
        <is>
          <t>Лентелефильм</t>
        </is>
      </c>
      <c r="H4091" s="2" t="n">
        <v>628</v>
      </c>
      <c r="I4091" s="2" t="inlineStr"/>
      <c r="J4091" s="2" t="inlineStr"/>
      <c r="K4091" s="3" t="inlineStr">
        <is>
          <t>Фильм-спектакль по рассказам И. Бунина “Таня”, “В Париже”, “Грамматика любви”, "Холодная осень" из цикла “Темные аллеи”.
Герой фильма, писатель средних лет, знакомится с эмигранткой из России, которая работает в русской столовой в Париже. Тоска по родине соединяет их. Они делятся своими воспоминаниями – единственным, и самым дорогим, что им осталось. Он рассказывает ей историю своей любви. Она – о своем женихе, который погиб на фронте в 14 году. Он – о невесте, с которой его разлучил февраль 17 года. Война становится основной темой, темой расставания в поздних произведениях писателя, а утрата любви – темой потери Родины.</t>
        </is>
      </c>
      <c r="L4091" s="2" t="inlineStr">
        <is>
          <t>https://www.kino-teatr.ru/teatr/movie/9906/annot/</t>
        </is>
      </c>
      <c r="M4091" s="2">
        <f>HYPERLINK("https://ru.wikipedia.org/w/index.php?search=%D0%93%D1%80%D0%B0%D0%BC%D0%BC%D0%B0%D1%82%D0%B8%D0%BA%D0%B0%20%D0%BB%D1%8E%D0%B1%D0%B2%D0%B8%201988%20%D1%84%D0%B8%D0%BB%D1%8C%D0%BC","искать")</f>
        <v/>
      </c>
      <c r="N4091" s="3" t="n"/>
      <c r="O4091" s="2" t="n"/>
    </row>
    <row r="4092">
      <c r="A4092" s="2" t="n">
        <v>4091</v>
      </c>
      <c r="B4092" s="2" t="inlineStr"/>
      <c r="C4092" s="2" t="n">
        <v>10005</v>
      </c>
      <c r="D4092" s="3" t="inlineStr">
        <is>
          <t>В. Давыдов и Голиаф</t>
        </is>
      </c>
      <c r="E4092" s="2" t="n">
        <v>1985</v>
      </c>
      <c r="F4092" s="2" t="inlineStr">
        <is>
          <t>телефильм</t>
        </is>
      </c>
      <c r="G4092" s="2" t="inlineStr">
        <is>
          <t>ТО "Экран"</t>
        </is>
      </c>
      <c r="H4092" s="2" t="n">
        <v>631</v>
      </c>
      <c r="I4092" s="2" t="inlineStr"/>
      <c r="J4092" s="2" t="inlineStr"/>
      <c r="K4092" s="3" t="inlineStr">
        <is>
          <t>Семиклассника Витю Давыдова отправляют на практику на завод. Его наставником назначают рабочего по кличке Голиаф. Тот дает школьнику задание – покрасить мотор. Мальчик справляется с задачей и жаждет новых дел. Но Голиаф отправляет его домой, а сам… выносит из стен предприятия свежевыкрашенный механизм - для поливки собственного сада. Витя становится этому свидетелем.
Кристально честный пионер, конечно же, против хищения государственной собственности! Он возвращает мотор на завод. Голиаф вновь забирает его, Витя – возвращает. Начинается настоящая война, в которой "несун" могучего телосложения терпит сокрушительное поражение!</t>
        </is>
      </c>
      <c r="L4092" s="2" t="inlineStr">
        <is>
          <t>https://www.kino-teatr.ru/short/movie/sov/792/annot/</t>
        </is>
      </c>
      <c r="M4092" s="2">
        <f>HYPERLINK("https://ru.wikipedia.org/w/index.php?search=%D0%92.%20%D0%94%D0%B0%D0%B2%D1%8B%D0%B4%D0%BE%D0%B2%20%D0%B8%20%D0%93%D0%BE%D0%BB%D0%B8%D0%B0%D1%84%201985%20%D1%84%D0%B8%D0%BB%D1%8C%D0%BC","искать")</f>
        <v/>
      </c>
      <c r="N4092" s="3" t="n"/>
      <c r="O4092" s="2" t="n"/>
    </row>
    <row r="4093">
      <c r="A4093" s="2" t="n">
        <v>4092</v>
      </c>
      <c r="B4093" s="2" t="inlineStr"/>
      <c r="C4093" s="2" t="n">
        <v>10478</v>
      </c>
      <c r="D4093" s="3" t="inlineStr">
        <is>
          <t>Школьный спектакль</t>
        </is>
      </c>
      <c r="E4093" s="2" t="n">
        <v>1972</v>
      </c>
      <c r="F4093" s="2" t="inlineStr">
        <is>
          <t>фильм-спектакль</t>
        </is>
      </c>
      <c r="G4093" s="2" t="inlineStr">
        <is>
          <t>Студия Центрального телевидения</t>
        </is>
      </c>
      <c r="H4093" s="2" t="n">
        <v>631</v>
      </c>
      <c r="I4093" s="2" t="inlineStr"/>
      <c r="J4093" s="2" t="inlineStr"/>
      <c r="K4093" s="3" t="inlineStr">
        <is>
          <t>Экранизация повести Вениамина Каверина.
Все началось с того, что четверо юношей выбрали себе одну и туже даму сердца - одноклассницу Варю Самарину. Из-за своих переживаний ребята совсем перестали учиться. Но в этот момент им на помощь пришел учитель литературы Андрей Данилович, он предложил своим ученикам поставить спектакль. Благодаря этой постановке ребята смогли разобраться в своих взаимоотношениях.
К несомненным плюсам "Школьного спектакля" относится и редкая возможность увидеть самого Вениамина Каверина - который появляется на экране со вступительным словом, и читает далее закадровый текст на протяжении всего действия.</t>
        </is>
      </c>
      <c r="L4093" s="2" t="inlineStr">
        <is>
          <t>https://www.kino-teatr.ru/teatr/movie/8008/annot/</t>
        </is>
      </c>
      <c r="M4093" s="2">
        <f>HYPERLINK("https://ru.wikipedia.org/w/index.php?search=%D0%A8%D0%BA%D0%BE%D0%BB%D1%8C%D0%BD%D1%8B%D0%B9%20%D1%81%D0%BF%D0%B5%D0%BA%D1%82%D0%B0%D0%BA%D0%BB%D1%8C%201972%20%D1%84%D0%B8%D0%BB%D1%8C%D0%BC","искать")</f>
        <v/>
      </c>
      <c r="N4093" s="3" t="n"/>
      <c r="O4093" s="2" t="n"/>
    </row>
    <row r="4094">
      <c r="A4094" s="2" t="n">
        <v>4093</v>
      </c>
      <c r="B4094" s="2" t="inlineStr"/>
      <c r="C4094" s="2" t="n">
        <v>10933</v>
      </c>
      <c r="D4094" s="3" t="inlineStr">
        <is>
          <t>Возчик Геншель</t>
        </is>
      </c>
      <c r="E4094" s="2" t="n">
        <v>1982</v>
      </c>
      <c r="F4094" s="2" t="inlineStr">
        <is>
          <t>фильм-спектакль</t>
        </is>
      </c>
      <c r="G4094" s="2" t="inlineStr">
        <is>
          <t>ТО "Экран"</t>
        </is>
      </c>
      <c r="H4094" s="2" t="n">
        <v>632</v>
      </c>
      <c r="I4094" s="2" t="inlineStr"/>
      <c r="J4094" s="2" t="inlineStr"/>
      <c r="K4094" s="3" t="inlineStr">
        <is>
          <t>По одноименной пьесе Г.Гауптмана в постановке Московского Художественного академического театра Союза ССР имени М.Горького.
«Возчик Геншель» — трагедия простого доброго человека, доведенного женой до самоубийства. Немецкий драматург Герхарт Гауптман открыл новый сценический прием — напряженность действия при кажущейся бездейственности. Многое не выражено словами, но прочитывается в паузах, жестах. Стилистика его пьес близка стилистике А. П. Чехова. «Возчик Геншель» в 1899 году был поставлен в Москве одновременно в трех театрах — МХТ, Малом и театре Корша. В 1981 году Владимир Салюк восстановил легендарный спектакль во МХАТе.</t>
        </is>
      </c>
      <c r="L4094" s="2" t="inlineStr">
        <is>
          <t>https://www.kino-teatr.ru/teatr/movie/17169/annot/</t>
        </is>
      </c>
      <c r="M4094" s="2">
        <f>HYPERLINK("https://ru.wikipedia.org/w/index.php?search=%D0%92%D0%BE%D0%B7%D1%87%D0%B8%D0%BA%20%D0%93%D0%B5%D0%BD%D1%88%D0%B5%D0%BB%D1%8C%201982%20%D1%84%D0%B8%D0%BB%D1%8C%D0%BC","искать")</f>
        <v/>
      </c>
      <c r="N4094" s="3" t="n"/>
      <c r="O4094" s="2" t="n"/>
    </row>
    <row r="4095">
      <c r="A4095" s="2" t="n">
        <v>4094</v>
      </c>
      <c r="B4095" s="2" t="inlineStr"/>
      <c r="C4095" s="2" t="n">
        <v>10908</v>
      </c>
      <c r="D4095" s="3" t="inlineStr">
        <is>
          <t>Р РѕРґСЃС‚РІРµРЅРЅРёРєРё</t>
        </is>
      </c>
      <c r="E4095" s="2" t="n">
        <v>1981</v>
      </c>
      <c r="F4095" s="2" t="inlineStr">
        <is>
          <t>фильм-спектакль</t>
        </is>
      </c>
      <c r="G4095" s="2" t="n"/>
      <c r="H4095" s="2" t="n">
        <v>636</v>
      </c>
      <c r="I4095" s="2" t="inlineStr"/>
      <c r="J4095" s="2" t="inlineStr"/>
      <c r="K4095" s="3" t="inlineStr">
        <is>
          <t>РџРѕ РѕРґРЅРѕРёРјРµРЅРЅРѕР№ РїСЊРµСЃРµ Р­РјРёР»СЏ Р‘СЂР°РіРёРЅСЃРєРѕРіРѕ Рё Р­Р»СЊРґР°СЂР° Р СЏР·Р°РЅРѕРІР° РІ РїРѕСЃС‚Р°РЅРѕРІРєРµ РњРѕСЃРєРѕРІСЃРєРѕРіРѕ Р°РєР°РґРµРјРёС‡РµСЃРєРѕРіРѕ С‚РµР°С‚СЂР° РёРј. Р’Р». РњР°СЏРєРѕРІСЃРєРѕРіРѕ.
РќР°С‡РёРЅР°СЋС‰РёР№ С„РѕС‚РѕРіСЂР°С„ Р—Р°РїР»Р°С‚РёРЅ РёР· РєР°СЂСЊРµСЂРёСЃС‚СЃРєРёС… РїРѕР±СѓР¶РґРµРЅРёР№ СѓС…Р°Р¶РёРІР°РµС‚ Р·Р° СЂРѕРґСЃС‚РІРµРЅРЅРёС†РµР№ С‡РµР»РѕРІРµРєР°, Р·Р°РЅРёРјР°СЋС‰РµРіРѕ РІС‹СЃРѕРєРёР№ РґРѕР»Р¶РЅРѕСЃС‚РЅРѕР№ РїРѕСЃС‚. Р’Рѕ РёРјСЏ СЌС‚РѕРіРѕ РѕРЅ СЂР°СЃСЃС‚Р°РµС‚СЃСЏ СЃРѕ СЃРІРѕРµР№ РЅРµРІРµСЃС‚РѕР№. РќРѕ РїР»Р°РЅР°Рј Р—Р°РїР»Р°С‚РёРЅР° РЅРµ СЃСѓР¶РґРµРЅРѕ СЃР±С‹С‚СЊСЃСЏ.</t>
        </is>
      </c>
      <c r="L4095" s="2" t="inlineStr">
        <is>
          <t>https://www.kino-teatr.ru/teatr/movie/12043/annot/</t>
        </is>
      </c>
      <c r="M4095" s="2">
        <f>HYPERLINK("https://ru.wikipedia.org/w/index.php?search=%D0%A0%20%D0%A0%D1%95%D0%A0%D2%91%D0%A1%D0%83%D0%A1%E2%80%9A%D0%A0%D0%86%D0%A0%C2%B5%D0%A0%D0%85%D0%A0%D0%85%D0%A0%D1%91%D0%A0%D1%94%D0%A0%D1%91%201981%20%D1%84%D0%B8%D0%BB%D1%8C%D0%BC","искать")</f>
        <v/>
      </c>
      <c r="N4095" s="3" t="n"/>
      <c r="O4095" s="2" t="n"/>
    </row>
    <row r="4096">
      <c r="A4096" s="2" t="n">
        <v>4095</v>
      </c>
      <c r="B4096" s="2" t="inlineStr"/>
      <c r="C4096" s="2" t="n">
        <v>10870</v>
      </c>
      <c r="D4096" s="3" t="inlineStr">
        <is>
          <t>Художник из Шервудского леса</t>
        </is>
      </c>
      <c r="E4096" s="2" t="n">
        <v>1980</v>
      </c>
      <c r="F4096" s="2" t="inlineStr">
        <is>
          <t>фильм-спектакль</t>
        </is>
      </c>
      <c r="G4096" s="2" t="n"/>
      <c r="H4096" s="2" t="n">
        <v>639</v>
      </c>
      <c r="I4096" s="2" t="inlineStr"/>
      <c r="J4096" s="2" t="inlineStr"/>
      <c r="K4096" s="3" t="inlineStr">
        <is>
          <t>Оставаясь верным духу народных баллад, автор создал оригинальное произведение «Художник из Шервудского леса».
В нем действуют известные по народному эпосу друзья и враги Робина, но появились и новые лица. Прежде всего Мария — дочка лорда-шерифа, в которую, несмотря на верную и прекрасную подругу Мэриан, влюбился Робин. Легко понять основную пружину сюжета, развитие которого невозможно без вечных столкновений добра и зла, ума и глупости, коварной хитрости и прямоты.
В этой комедии - масса веселых эпизодов, много музыки, танцев, песен, а финал — торжество справедливости.
В спектакле звучат 12 баллад Юрия Буцко на стихи Вадима Левина.</t>
        </is>
      </c>
      <c r="L4096" s="2" t="inlineStr">
        <is>
          <t>https://www.kino-teatr.ru/teatr/movie/93175/annot/</t>
        </is>
      </c>
      <c r="M4096" s="2">
        <f>HYPERLINK("https://ru.wikipedia.org/w/index.php?search=%D0%A5%D1%83%D0%B4%D0%BE%D0%B6%D0%BD%D0%B8%D0%BA%20%D0%B8%D0%B7%20%D0%A8%D0%B5%D1%80%D0%B2%D1%83%D0%B4%D1%81%D0%BA%D0%BE%D0%B3%D0%BE%20%D0%BB%D0%B5%D1%81%D0%B0%201980%20%D1%84%D0%B8%D0%BB%D1%8C%D0%BC","искать")</f>
        <v/>
      </c>
      <c r="N4096" s="3" t="n"/>
      <c r="O4096" s="2" t="n"/>
    </row>
    <row r="4097">
      <c r="A4097" s="2" t="n">
        <v>4096</v>
      </c>
      <c r="B4097" s="2" t="inlineStr"/>
      <c r="C4097" s="2" t="n">
        <v>9948</v>
      </c>
      <c r="D4097" s="3" t="inlineStr">
        <is>
          <t>Аистёнок</t>
        </is>
      </c>
      <c r="E4097" s="2" t="n">
        <v>1980</v>
      </c>
      <c r="F4097" s="2" t="inlineStr">
        <is>
          <t>телефильм</t>
        </is>
      </c>
      <c r="G4097" s="2" t="inlineStr">
        <is>
          <t>Белорусское телевидение</t>
        </is>
      </c>
      <c r="H4097" s="2" t="n">
        <v>641</v>
      </c>
      <c r="I4097" s="2" t="inlineStr"/>
      <c r="J4097" s="2" t="inlineStr"/>
      <c r="K4097" s="3" t="inlineStr">
        <is>
          <t>Фильм рассказывает о летних приключениях десятилетнего Васьки, которого в родной деревне прозвали Конструктором за то, что он все время что-то изобретал или усовершенствовал. Его любимым занятием было мастерить и запускать воздушных змеев. Но втайне мальчишка мечтал когда-нибудь научиться летать. И однажды деятельный Васька предложил своему закадычному другу Мухомору вместе строить дельтаплан.
"Плодотворно работает в этот период (1970-80) в жанре теленовеллы и Валерий Басов. Придя из теледокументалистики, он принес в игровое телекино внимание к правде детали, документальной правдивости фактуры интерьеров, костюмов, поведения героев."</t>
        </is>
      </c>
      <c r="L4097" s="2" t="inlineStr">
        <is>
          <t>https://www.kino-teatr.ru/short/movie/sov/16380/annot/</t>
        </is>
      </c>
      <c r="M4097" s="2">
        <f>HYPERLINK("https://ru.wikipedia.org/w/index.php?search=%D0%90%D0%B8%D1%81%D1%82%D1%91%D0%BD%D0%BE%D0%BA%201980%20%D1%84%D0%B8%D0%BB%D1%8C%D0%BC","искать")</f>
        <v/>
      </c>
      <c r="N4097" s="3" t="n"/>
      <c r="O4097" s="2" t="n"/>
    </row>
    <row r="4098">
      <c r="A4098" s="2" t="n">
        <v>4097</v>
      </c>
      <c r="B4098" s="2" t="inlineStr"/>
      <c r="C4098" s="2" t="n">
        <v>10368</v>
      </c>
      <c r="D4098" s="3" t="inlineStr">
        <is>
          <t>Свои люди — сочтёмся</t>
        </is>
      </c>
      <c r="E4098" s="2" t="n">
        <v>1970</v>
      </c>
      <c r="F4098" s="2" t="inlineStr">
        <is>
          <t>фильм-спектакль</t>
        </is>
      </c>
      <c r="G4098" s="2" t="inlineStr">
        <is>
          <t>Студия ЦТ</t>
        </is>
      </c>
      <c r="H4098" s="2" t="n">
        <v>642</v>
      </c>
      <c r="I4098" s="2" t="inlineStr"/>
      <c r="J4098" s="2" t="inlineStr"/>
      <c r="K4098" s="3" t="inlineStr">
        <is>
          <t>Бессмертная комедия рассказывает нам о мире, в котором царит обман, и если мошенник бывает наказан, то только потому, что его обманывает еще больший плут.
Очень хитро поступил купец Большов, объявив себя банкротом и положившись во всем на своего преданного приказчика. Да только не перехитрил ли он самого себя? Случается, плут сталкивается с еще более искусным плутом — и эта история, рассказанная Островским, не теряет, к сожалению, своей актуальности.
О честности и ее отсутствии, о неблагодарности и предательстве и о том, как человек может перехитрить самого себя — комедия Островского "Свои люди — сочтемся!" в постановке Малого театра.</t>
        </is>
      </c>
      <c r="L4098" s="2" t="inlineStr">
        <is>
          <t>https://www.kino-teatr.ru/teatr/movie/82107/annot/</t>
        </is>
      </c>
      <c r="M4098" s="2">
        <f>HYPERLINK("https://ru.wikipedia.org/w/index.php?search=%D0%A1%D0%B2%D0%BE%D0%B8%20%D0%BB%D1%8E%D0%B4%D0%B8%20%E2%80%94%20%D1%81%D0%BE%D1%87%D1%82%D1%91%D0%BC%D1%81%D1%8F%201970%20%D1%84%D0%B8%D0%BB%D1%8C%D0%BC","искать")</f>
        <v/>
      </c>
      <c r="N4098" s="3" t="n"/>
      <c r="O4098" s="2" t="n"/>
    </row>
    <row r="4099">
      <c r="A4099" s="2" t="n">
        <v>4098</v>
      </c>
      <c r="B4099" s="2" t="inlineStr"/>
      <c r="C4099" s="2" t="n">
        <v>10330</v>
      </c>
      <c r="D4099" s="3" t="inlineStr">
        <is>
          <t>Смерть Вазир-Мухтара</t>
        </is>
      </c>
      <c r="E4099" s="2" t="n">
        <v>1969</v>
      </c>
      <c r="F4099" s="2" t="inlineStr">
        <is>
          <t>фильм-спектакль</t>
        </is>
      </c>
      <c r="G4099" s="2" t="inlineStr">
        <is>
          <t>Ленинградское ТВ</t>
        </is>
      </c>
      <c r="H4099" s="2" t="n">
        <v>647</v>
      </c>
      <c r="I4099" s="2" t="inlineStr"/>
      <c r="J4099" s="2" t="inlineStr"/>
      <c r="K4099" s="3" t="inlineStr">
        <is>
          <t>По мотивам романа Юрия Тынянова о последних годах жизни драматурга и дипломата Александра Грибоедова.
Когда роман был опубликован, некоторые критики объявили «Смерть Вазир-Мухтара» мрачной, пессимистической книгой. Но книга о трудной жизни и страшной смерти Грибоедова едва ли могла быть особенно веселой (Грибоедов погиб от рук мусульман-фанатиков, захвативших русскую миссию в Тегеране 12 февраля 1829 года).
Спектакль был поставлен режиссерами Р.Сирота и В.Рецептером. В ролях — лучшие ленинградские актеры — «золотая команда». Однако спектаклю не суждено было сразу появиться на экранах ТВ. Причина была политическая. «Мы» заигрывали с Ираном.</t>
        </is>
      </c>
      <c r="L4099" s="2" t="inlineStr">
        <is>
          <t>https://www.kino-teatr.ru/teatr/movie/16642/annot/</t>
        </is>
      </c>
      <c r="M4099" s="2">
        <f>HYPERLINK("https://ru.wikipedia.org/w/index.php?search=%D0%A1%D0%BC%D0%B5%D1%80%D1%82%D1%8C%20%D0%92%D0%B0%D0%B7%D0%B8%D1%80-%D0%9C%D1%83%D1%85%D1%82%D0%B0%D1%80%D0%B0%201969%20%D1%84%D0%B8%D0%BB%D1%8C%D0%BC","искать")</f>
        <v/>
      </c>
      <c r="N4099" s="3" t="n"/>
      <c r="O4099" s="2" t="n"/>
    </row>
    <row r="4100">
      <c r="A4100" s="2" t="n">
        <v>4099</v>
      </c>
      <c r="B4100" s="2" t="inlineStr"/>
      <c r="C4100" s="2" t="n">
        <v>10815</v>
      </c>
      <c r="D4100" s="3" t="inlineStr">
        <is>
          <t>Плутни Скапена</t>
        </is>
      </c>
      <c r="E4100" s="2" t="n">
        <v>1979</v>
      </c>
      <c r="F4100" s="2" t="inlineStr">
        <is>
          <t>фильм-спектакль</t>
        </is>
      </c>
      <c r="G4100" s="2" t="inlineStr">
        <is>
          <t>Главная  редакция литературно-драматических программ Россия</t>
        </is>
      </c>
      <c r="H4100" s="2" t="n">
        <v>648</v>
      </c>
      <c r="I4100" s="2" t="inlineStr"/>
      <c r="J4100" s="2" t="inlineStr"/>
      <c r="K4100" s="3" t="inlineStr">
        <is>
          <t>По одноименной пьесе Жана-Батиста Мольера в постановке государственного академического Малого театра.
Великий комедиограф Жан-Батист Мольер, будучи артистом, сделал своего забавного и трогательного, неистощимого на выдумки и хитрости Скапена настоящим Актером. Этот темпераментный Лицедей самую банальную и рутинную жизненную ситуацию превращает в шумное, веселое театральное представление, не жалея для этого ни сил, ни времени, ни изобретательности.
Сюжет пьесы традиционен: ловкий слуга помогает воссоединиться влюбленным парам, хитроумно обведя вокруг пальца их скупердяев-отцов. Первое представление пьесы состоялось в Париже 24 мая 1671 года.</t>
        </is>
      </c>
      <c r="L4100" s="2" t="inlineStr">
        <is>
          <t>https://www.kino-teatr.ru/teatr/movie/82071/annot/</t>
        </is>
      </c>
      <c r="M4100" s="2">
        <f>HYPERLINK("https://ru.wikipedia.org/w/index.php?search=%D0%9F%D0%BB%D1%83%D1%82%D0%BD%D0%B8%20%D0%A1%D0%BA%D0%B0%D0%BF%D0%B5%D0%BD%D0%B0%201979%20%D1%84%D0%B8%D0%BB%D1%8C%D0%BC","искать")</f>
        <v/>
      </c>
      <c r="N4100" s="3" t="n"/>
      <c r="O4100" s="2" t="n"/>
    </row>
    <row r="4101">
      <c r="A4101" s="2" t="n">
        <v>4100</v>
      </c>
      <c r="B4101" s="2" t="inlineStr"/>
      <c r="C4101" s="2" t="n">
        <v>10736</v>
      </c>
      <c r="D4101" s="3" t="inlineStr">
        <is>
          <t>Дальше - тишина</t>
        </is>
      </c>
      <c r="E4101" s="2" t="n">
        <v>1978</v>
      </c>
      <c r="F4101" s="2" t="inlineStr">
        <is>
          <t>фильм-спектакль</t>
        </is>
      </c>
      <c r="G4101" s="2" t="inlineStr">
        <is>
          <t>Главная редакция литературно-драматических программ ЦТ</t>
        </is>
      </c>
      <c r="H4101" s="2" t="n">
        <v>652</v>
      </c>
      <c r="I4101" s="2" t="inlineStr"/>
      <c r="J4101" s="2" t="inlineStr"/>
      <c r="K4101" s="3" t="inlineStr">
        <is>
          <t>Спектакль театра им. Моссовета, основанный на киносценарии американской писательницы Винья Дельмар "Уступи место завтрашнему дню"(фильм 1937 года) на основе пьесы Хелен и Ноа Лири, которая, в свою очередь, была написана по роману Джозефины Лоуренс "Долгие годы".
Пожилая пара остается без средств к существованию. Но никому из взрослых детей престарелые родители не нужны. Их хотят отправить в разные дома престарелых, но для главных героев – это трагедия, ведь старики нежно любят друг друга и не мыслят существования вдали друг от друга.
Спектакль имел огромный успех благодаря талантливой игре Ростислава Яновича Плятта и Фаины Георгиевны Раневской.</t>
        </is>
      </c>
      <c r="L4101" s="2" t="inlineStr">
        <is>
          <t>https://www.kino-teatr.ru/teatr/movie/1583/annot/</t>
        </is>
      </c>
      <c r="M4101" s="2">
        <f>HYPERLINK("https://ru.wikipedia.org/w/index.php?search=%D0%94%D0%B0%D0%BB%D1%8C%D1%88%D0%B5%20-%20%D1%82%D0%B8%D1%88%D0%B8%D0%BD%D0%B0%201978%20%D1%84%D0%B8%D0%BB%D1%8C%D0%BC","искать")</f>
        <v/>
      </c>
      <c r="N4101" s="3" t="n"/>
      <c r="O4101" s="2" t="n"/>
    </row>
    <row r="4102">
      <c r="A4102" s="2" t="n">
        <v>4101</v>
      </c>
      <c r="B4102" s="2" t="inlineStr"/>
      <c r="C4102" s="2" t="n">
        <v>10619</v>
      </c>
      <c r="D4102" s="3" t="inlineStr">
        <is>
          <t>Обратный адрес</t>
        </is>
      </c>
      <c r="E4102" s="2" t="n">
        <v>1975</v>
      </c>
      <c r="F4102" s="2" t="inlineStr">
        <is>
          <t>фильм-спектакль</t>
        </is>
      </c>
      <c r="G4102" s="2" t="inlineStr">
        <is>
          <t>Ленинградское телевидение</t>
        </is>
      </c>
      <c r="H4102" s="2" t="n">
        <v>656</v>
      </c>
      <c r="I4102" s="2" t="inlineStr"/>
      <c r="J4102" s="2" t="inlineStr"/>
      <c r="K4102" s="3" t="inlineStr">
        <is>
          <t>Спектакль для школьников по повести Анатолия Алексина.
Серёжа Емельянов случайно познакомился с Ниной Георгиевной, женщиной, с которой когда-то расстался его отец, тоже Сергей. Нина Георгиевна провожала Сергея-старшего на войну, лечила после контузии, полученной на фронте. Расставание с ним было первым ударом. После этого Нина Георгиевна взяла из детского дома мальчика Шурика, а через шестнадцать лет нашлись его родители. Шурик сразу же забыл про приёмную мать. Это был второй удар. Но Нина Георгиевна никого не винила в своих бедах. Сергей-младший понял, что не может предать эту беззащитную одинокую женщину, он стал ей настоящим другом и защитником.</t>
        </is>
      </c>
      <c r="L4102" s="2" t="inlineStr">
        <is>
          <t>https://www.kino-teatr.ru/teatr/movie/137281/annot/</t>
        </is>
      </c>
      <c r="M4102" s="2">
        <f>HYPERLINK("https://ru.wikipedia.org/w/index.php?search=%D0%9E%D0%B1%D1%80%D0%B0%D1%82%D0%BD%D1%8B%D0%B9%20%D0%B0%D0%B4%D1%80%D0%B5%D1%81%201975%20%D1%84%D0%B8%D0%BB%D1%8C%D0%BC","искать")</f>
        <v/>
      </c>
      <c r="N4102" s="3" t="n"/>
      <c r="O4102" s="2" t="n"/>
    </row>
    <row r="4103">
      <c r="A4103" s="2" t="n">
        <v>4102</v>
      </c>
      <c r="B4103" s="2" t="inlineStr"/>
      <c r="C4103" s="2" t="n">
        <v>10591</v>
      </c>
      <c r="D4103" s="3" t="inlineStr">
        <is>
          <t>Старик</t>
        </is>
      </c>
      <c r="E4103" s="2" t="n">
        <v>1974</v>
      </c>
      <c r="F4103" s="2" t="inlineStr">
        <is>
          <t>фильм-спектакль</t>
        </is>
      </c>
      <c r="G4103" s="2" t="inlineStr">
        <is>
          <t>ТО "Экран"</t>
        </is>
      </c>
      <c r="H4103" s="2" t="n">
        <v>658</v>
      </c>
      <c r="I4103" s="2" t="inlineStr"/>
      <c r="J4103" s="2" t="inlineStr"/>
      <c r="K4103" s="3" t="inlineStr">
        <is>
          <t>По одноименной пьесе Максима Горького в постановке Малого театра.
Россия, 1905 год.
Преуспевающий заводчик Мастаков счастливо влюблен в полковничью вдову. И все бы хорошо, да объявился в округе странный старик с девицей. И с ужасом узнает в нем Мастаков своего бывшего товарища по каторге. Бежали они вместе, да вот Мастакову повезло, а старика поймали, и отсидел он положенные ему 12 лет. Не деньги нужны Старику, за душой он пришел, хочет выместить свою злость и зависть, заставить мучиться.
Добавляет неприятностей компаньон Мастакова Харитонов, у которого когда-то не сложилась любовь, и теперь он злобствует, пытаясь вбить клин в счастливую семью героя.</t>
        </is>
      </c>
      <c r="L4103" s="2" t="inlineStr">
        <is>
          <t>https://www.kino-teatr.ru/teatr/movie/9407/annot/</t>
        </is>
      </c>
      <c r="M4103" s="2">
        <f>HYPERLINK("https://ru.wikipedia.org/w/index.php?search=%D0%A1%D1%82%D0%B0%D1%80%D0%B8%D0%BA%201974%20%D1%84%D0%B8%D0%BB%D1%8C%D0%BC","искать")</f>
        <v/>
      </c>
      <c r="N4103" s="3" t="n"/>
      <c r="O4103" s="2" t="n"/>
    </row>
    <row r="4104">
      <c r="A4104" s="2" t="n">
        <v>4103</v>
      </c>
      <c r="B4104" s="2" t="inlineStr"/>
      <c r="C4104" s="2" t="n">
        <v>11275</v>
      </c>
      <c r="D4104" s="3" t="inlineStr">
        <is>
          <t>Премьера года</t>
        </is>
      </c>
      <c r="E4104" s="2" t="n">
        <v>1989</v>
      </c>
      <c r="F4104" s="2" t="inlineStr">
        <is>
          <t>фильм-спектакль</t>
        </is>
      </c>
      <c r="G4104" s="2" t="inlineStr">
        <is>
          <t>Главная редакция программ для детей ЦТ</t>
        </is>
      </c>
      <c r="H4104" s="2" t="n">
        <v>659</v>
      </c>
      <c r="I4104" s="2" t="inlineStr"/>
      <c r="J4104" s="2" t="inlineStr"/>
      <c r="K4104" s="3" t="inlineStr">
        <is>
          <t>Эта новогодняя праздничная программа для детей и взрослых проходит в форме театрального спектакля.
Вы увидите отрывки из спектаклей:
"Синяя птица" - МХАТ им.Горького
"Шлягер, только шлягер" - Центральный театр кукол
"Кот в сапогах" - театр им. Вахтангова
"Баня" - Центральный детский театр
Также выступят:
Раиса Виноградова и ее кукла Кирилл
Эстонская шоу-группа "Апельсин" исполнит "Песню туриста"
Валентина Толкунова споет "Сизари"
группа "Рондо" исполнит песню "С новым годом!"
Людмила Гурченко исполнит свою песню "Первая любовь"
В концерте принимают участие театр-студия "Музыка" п/р Игоря Гранова, студенты училища циркового и эстрадного искусства и др.</t>
        </is>
      </c>
      <c r="L4104" s="2" t="inlineStr">
        <is>
          <t>https://www.kino-teatr.ru/teatr/movie/94193/annot/</t>
        </is>
      </c>
      <c r="M4104" s="2">
        <f>HYPERLINK("https://ru.wikipedia.org/w/index.php?search=%D0%9F%D1%80%D0%B5%D0%BC%D1%8C%D0%B5%D1%80%D0%B0%20%D0%B3%D0%BE%D0%B4%D0%B0%201989%20%D1%84%D0%B8%D0%BB%D1%8C%D0%BC","искать")</f>
        <v/>
      </c>
      <c r="N4104" s="3" t="n"/>
      <c r="O4104" s="2" t="n"/>
    </row>
    <row r="4105">
      <c r="A4105" s="2" t="n">
        <v>4104</v>
      </c>
      <c r="B4105" s="2" t="inlineStr"/>
      <c r="C4105" s="2" t="n">
        <v>10744</v>
      </c>
      <c r="D4105" s="3" t="inlineStr">
        <is>
          <t>Женитьба Белугина</t>
        </is>
      </c>
      <c r="E4105" s="2" t="n">
        <v>1978</v>
      </c>
      <c r="F4105" s="2" t="inlineStr">
        <is>
          <t>фильм-спектакль</t>
        </is>
      </c>
      <c r="G4105" s="2" t="inlineStr">
        <is>
          <t>Центральное телевидение</t>
        </is>
      </c>
      <c r="H4105" s="2" t="n">
        <v>662</v>
      </c>
      <c r="I4105" s="2" t="inlineStr"/>
      <c r="J4105" s="2" t="inlineStr"/>
      <c r="K4105" s="3" t="inlineStr">
        <is>
          <t>По одноименной пьесе А.Н. Островского и Н. Соловьева в постановке Московского драматического театра имени К.С. Станиславского.
В основе сюжета - история женитьбы богатого купца Андрея Белугина на красивой, но бедной аристократке Елене Карминой. Та выходит замуж по расчету, а затем сама мучается и мучает мужа. В "Женитьбе Белугина" узнаваемы излюбленные Островским типы: молодой купец-миллионер, влюбившийся в девушку из обедневшего благородного семейства. Циничный молодой человек без средств, готовый наставлять рога другу и жить за его счет. Молодая девушка, влюбленная в обманщика, выходящая замуж по расчету, чтобы без помех развлекаться на мужнины деньги.</t>
        </is>
      </c>
      <c r="L4105" s="2" t="inlineStr">
        <is>
          <t>https://www.kino-teatr.ru/teatr/movie/82374/annot/</t>
        </is>
      </c>
      <c r="M4105" s="2">
        <f>HYPERLINK("https://ru.wikipedia.org/w/index.php?search=%D0%96%D0%B5%D0%BD%D0%B8%D1%82%D1%8C%D0%B1%D0%B0%20%D0%91%D0%B5%D0%BB%D1%83%D0%B3%D0%B8%D0%BD%D0%B0%201978%20%D1%84%D0%B8%D0%BB%D1%8C%D0%BC","искать")</f>
        <v/>
      </c>
      <c r="N4105" s="3" t="n"/>
      <c r="O4105" s="2" t="n"/>
    </row>
    <row r="4106">
      <c r="A4106" s="2" t="n">
        <v>4105</v>
      </c>
      <c r="B4106" s="2" t="inlineStr"/>
      <c r="C4106" s="2" t="n">
        <v>10769</v>
      </c>
      <c r="D4106" s="3" t="inlineStr">
        <is>
          <t>Последняя альтернатива</t>
        </is>
      </c>
      <c r="E4106" s="2" t="n">
        <v>1978</v>
      </c>
      <c r="F4106" s="2" t="inlineStr">
        <is>
          <t>фильм-спектакль</t>
        </is>
      </c>
      <c r="G4106" s="2" t="inlineStr">
        <is>
          <t>Ленинградское телевидение</t>
        </is>
      </c>
      <c r="H4106" s="2" t="n">
        <v>665</v>
      </c>
      <c r="I4106" s="2" t="inlineStr"/>
      <c r="J4106" s="2" t="inlineStr"/>
      <c r="K4106" s="3" t="inlineStr">
        <is>
          <t>По мотивам романа Айзека Азимова "Обнаженное солнце".
Детектива Эла Бейли приглашают в один из внешних миров - Солярию, где произошло загадочное убийство. Солярия отличается изолированностью жителей друг от друга (даже муж с женой видятся по расписанию), что делает убийство невероятным. С детства люди растут в окружении роботов, взрослыми людьми личные контакты воспринимаются как нечто неприличное и являются весьма тяжёлым испытанием. Неподготовленность жителей к убийству вынуждает их согласиться с предложением пригласить землянина. Прибыв на планету, Эл Бейли встречает своего старого знакомого - робота Дана, в паре с которым они приступают к расследованию.</t>
        </is>
      </c>
      <c r="L4106" s="2" t="inlineStr">
        <is>
          <t>https://www.kino-teatr.ru/teatr/movie/113308/annot/</t>
        </is>
      </c>
      <c r="M4106" s="2">
        <f>HYPERLINK("https://ru.wikipedia.org/w/index.php?search=%D0%9F%D0%BE%D1%81%D0%BB%D0%B5%D0%B4%D0%BD%D1%8F%D1%8F%20%D0%B0%D0%BB%D1%8C%D1%82%D0%B5%D1%80%D0%BD%D0%B0%D1%82%D0%B8%D0%B2%D0%B0%201978%20%D1%84%D0%B8%D0%BB%D1%8C%D0%BC","искать")</f>
        <v/>
      </c>
      <c r="N4106" s="3" t="n"/>
      <c r="O4106" s="2" t="n"/>
    </row>
    <row r="4107">
      <c r="A4107" s="2" t="n">
        <v>4106</v>
      </c>
      <c r="B4107" s="2" t="inlineStr"/>
      <c r="C4107" s="2" t="n">
        <v>11009</v>
      </c>
      <c r="D4107" s="3" t="inlineStr">
        <is>
          <t>Р Р°СЃСЃР»РµРґСѓРµС‚ Р±СЂРёРіР°РґР° Р‘С‹С‡РєРѕРІР°</t>
        </is>
      </c>
      <c r="E4107" s="2" t="n">
        <v>1983</v>
      </c>
      <c r="F4107" s="2" t="inlineStr">
        <is>
          <t>фильм-спектакль</t>
        </is>
      </c>
      <c r="G4107" s="2" t="n"/>
      <c r="H4107" s="2" t="n">
        <v>665</v>
      </c>
      <c r="I4107" s="2" t="inlineStr"/>
      <c r="J4107" s="2" t="inlineStr"/>
      <c r="K4107" s="3" t="inlineStr">
        <is>
          <t>РўРµР»РµРїРµРєС‚Р°РєР»СЊ РёР· С†РёРєР»Р° "Р”РµР»Р° Рё Р»СЋРґРё Р»РµРЅРёРЅРіСЂР°РґСЃРєРѕР№ РјРёР»РёС†РёРё".
РЎРѕР±С‹С‚РёСЏ СЃРїРµРєС‚Р°РєР»СЏ РЅР°С‡РёРЅР°СЋС‚СЃСЏ РІ 1936 РіРѕРґСѓ, Р° Р·Р°РєР°РЅС‡РёРІР°СЋС‚СЃСЏ РІ РґРЅРё Р±Р»РѕРєР°РґС‹, Р·РёРјРѕР№ 1942-РіРѕ.
Р’ РѕСЃРЅРѕРІРµ - С„Р°РєС‚С‹ РёР· РїСЂР°РєС‚РёРєРё СЂР°Р±РѕС‚С‹ РѕСЂРіР°РЅРѕРІ РјРёР»РёС†РёРё Р›РµРЅРёРЅРіСЂР°РґР°. Р РµР°Р»СЊРЅС‹Рµ Р»СЋРґРё СЏРІР»СЏСЋС‚СЃСЏ РїСЂРѕС‚РѕС‚РёРїР°РјРё РіРµСЂРѕРµРІ.
Р­С‚Рѕ СЂР°СЃСЃРєР°Р· Рѕ РЅР°СЃС‚РѕР№С‡РёРІРѕРј, РЅРѕ РЅРµ РІСЃРµРіРґР° Р·Р°РјРµС‚РЅРѕРј СЃСЂР°Р¶РµРЅРёРё Р·Р° РЅСЂР°РІСЃС‚РІРµРЅРЅС‹Рµ СѓСЃС‚РѕРё Р»РёС‡РЅРѕСЃС‚Рё, Р·Р° Р±СѓРґСѓС‰РµРµ РјРѕР»РѕРґС‹С… Р»СЋРґРµР№.</t>
        </is>
      </c>
      <c r="L4107" s="2" t="inlineStr">
        <is>
          <t>https://www.kino-teatr.ru/teatr/movie/79768/annot/</t>
        </is>
      </c>
      <c r="M4107" s="2">
        <f>HYPERLINK("https://ru.wikipedia.org/w/index.php?search=%D0%A0%20%D0%A0%C2%B0%D0%A1%D0%83%D0%A1%D0%83%D0%A0%C2%BB%D0%A0%C2%B5%D0%A0%D2%91%D0%A1%D1%93%D0%A0%C2%B5%D0%A1%E2%80%9A%20%D0%A0%C2%B1%D0%A1%D0%82%D0%A0%D1%91%D0%A0%D1%96%D0%A0%C2%B0%D0%A0%D2%91%D0%A0%C2%B0%20%D0%A0%E2%80%98%D0%A1%E2%80%B9%D0%A1%E2%80%A1%D0%A0%D1%94%D0%A0%D1%95%D0%A0%D0%86%D0%A0%C2%B0%201983%20%D1%84%D0%B8%D0%BB%D1%8C%D0%BC","искать")</f>
        <v/>
      </c>
      <c r="N4107" s="3" t="n"/>
      <c r="O4107" s="2" t="n"/>
    </row>
    <row r="4108">
      <c r="A4108" s="2" t="n">
        <v>4107</v>
      </c>
      <c r="B4108" s="2" t="inlineStr"/>
      <c r="C4108" s="2" t="n">
        <v>10507</v>
      </c>
      <c r="D4108" s="3" t="inlineStr">
        <is>
          <t>Обратный адрес</t>
        </is>
      </c>
      <c r="E4108" s="2" t="n">
        <v>1973</v>
      </c>
      <c r="F4108" s="2" t="inlineStr">
        <is>
          <t>фильм-спектакль</t>
        </is>
      </c>
      <c r="G4108" s="2" t="inlineStr">
        <is>
          <t>Центральное телевидение</t>
        </is>
      </c>
      <c r="H4108" s="2" t="n">
        <v>667</v>
      </c>
      <c r="I4108" s="2" t="inlineStr"/>
      <c r="J4108" s="2" t="inlineStr"/>
      <c r="K4108" s="3" t="inlineStr">
        <is>
          <t>По рассказу А.Алексина в постановке Центрального детского театра.
Серёжа Емельянов случайно познакомился с Ниной Георгиевной, женщиной, с которой когда-то расстался его отец, тоже Сергей. Нина Георгиевна провожала Сергея старшего на войну, лечила после контузии, полученной на фронте. Расставание с ним было первым ударом. После этого Нина Георгиевна взяла из детского дома мальчика Шурика, а через шестнадцать лет нашлись его родители. Шурик сразу же забыл про приемную мать. Это был второй удар. Но Нина Георгиевна никого не винила в своих бедах. Сергей младший понял, что не может предать эту беззащитную одинокую женщину, он стал ей настоящим другом и защитником.</t>
        </is>
      </c>
      <c r="L4108" s="2" t="inlineStr">
        <is>
          <t>https://www.kino-teatr.ru/teatr/movie/108955/annot/</t>
        </is>
      </c>
      <c r="M4108" s="2">
        <f>HYPERLINK("https://ru.wikipedia.org/w/index.php?search=%D0%9E%D0%B1%D1%80%D0%B0%D1%82%D0%BD%D1%8B%D0%B9%20%D0%B0%D0%B4%D1%80%D0%B5%D1%81%201973%20%D1%84%D0%B8%D0%BB%D1%8C%D0%BC","искать")</f>
        <v/>
      </c>
      <c r="N4108" s="3" t="n"/>
      <c r="O4108" s="2" t="n"/>
    </row>
    <row r="4109">
      <c r="A4109" s="2" t="n">
        <v>4108</v>
      </c>
      <c r="B4109" s="2" t="inlineStr"/>
      <c r="C4109" s="2" t="n">
        <v>10463</v>
      </c>
      <c r="D4109" s="3" t="inlineStr">
        <is>
          <t>Правда - хорошо, а счастье - лучше</t>
        </is>
      </c>
      <c r="E4109" s="2" t="n">
        <v>1972</v>
      </c>
      <c r="F4109" s="2" t="inlineStr">
        <is>
          <t>фильм-спектакль</t>
        </is>
      </c>
      <c r="G4109" s="2" t="n"/>
      <c r="H4109" s="2" t="n">
        <v>668</v>
      </c>
      <c r="I4109" s="2" t="inlineStr"/>
      <c r="J4109" s="2" t="inlineStr"/>
      <c r="K4109" s="3" t="inlineStr">
        <is>
          <t>Фильм-спектакль по одноименной пьесе А. Н. Островского.
Властная старуха Мавра Тарасовна, мать московского купца Амоса Панфиловича Барабошева, ищет для своей внучки Поликсены жениха-генерала. Но девушка любит приказчика Платона Зыбкина, честного и бедного парня, задолжавшего хозяину двести рублей. Платону грозит долговая тюрьма. Стараниями няньки Поликсены, решившей помочь влюбленным, в доме появляется новый сторож - отставной унтер-офицер Сила Ерофеевич Грознов, бывший любовник Мавры Тарасовны. Перепуганная тем, что старые грехи станут всем известны, старуха удовлетворяет требования Грознова - уничтожает вексель Платона и разрешает внучке выйти за него замуж.</t>
        </is>
      </c>
      <c r="L4109" s="2" t="inlineStr">
        <is>
          <t>https://www.kino-teatr.ru/teatr/movie/80983/annot/</t>
        </is>
      </c>
      <c r="M4109" s="2">
        <f>HYPERLINK("https://ru.wikipedia.org/w/index.php?search=%D0%9F%D1%80%D0%B0%D0%B2%D0%B4%D0%B0%20-%20%D1%85%D0%BE%D1%80%D0%BE%D1%88%D0%BE%2C%20%D0%B0%20%D1%81%D1%87%D0%B0%D1%81%D1%82%D1%8C%D0%B5%20-%20%D0%BB%D1%83%D1%87%D1%88%D0%B5%201972%20%D1%84%D0%B8%D0%BB%D1%8C%D0%BC","искать")</f>
        <v/>
      </c>
      <c r="N4109" s="3" t="n"/>
      <c r="O4109" s="2" t="n"/>
    </row>
    <row r="4110">
      <c r="A4110" s="2" t="n">
        <v>4109</v>
      </c>
      <c r="B4110" s="2" t="inlineStr"/>
      <c r="C4110" s="2" t="n">
        <v>10354</v>
      </c>
      <c r="D4110" s="3" t="inlineStr">
        <is>
          <t>Дело о...</t>
        </is>
      </c>
      <c r="E4110" s="2" t="n">
        <v>1970</v>
      </c>
      <c r="F4110" s="2" t="inlineStr">
        <is>
          <t>фильм-спектакль</t>
        </is>
      </c>
      <c r="G4110" s="2" t="inlineStr">
        <is>
          <t>ТО "Экран"</t>
        </is>
      </c>
      <c r="H4110" s="2" t="n">
        <v>677</v>
      </c>
      <c r="I4110" s="2" t="inlineStr"/>
      <c r="J4110" s="2" t="inlineStr"/>
      <c r="K4110" s="3" t="inlineStr">
        <is>
          <t>Миров и Новицкий, самый популярный в 50-х — 60-х годах эстрадный сатирический дуэт, — участники скандального музыкально-комедийного судебного процесса. В эстрадных номерах участвуют Лариса Мондрус, ансамбль "Радуга" Московского мюзик-холла, Ленинградский ансамбль "Диксиленд", братья Воронины и др.
Лев Миров обвиняется в преднамеренном убийстве. Суду предстоит выяснить, где находился обвиняемый в момент совершения преступления, какие записи содержит его единственная «синяя» книга и что послужило причиной многочисленных странных болезней Мирова, от которых «хронически першит в глазах». Участники процесса не знают, что настоящий убийца присутствует в зале, среди зрителей.</t>
        </is>
      </c>
      <c r="L4110" s="2" t="inlineStr">
        <is>
          <t>https://www.kino-teatr.ru/teatr/movie/13497/annot/</t>
        </is>
      </c>
      <c r="M4110" s="2">
        <f>HYPERLINK("https://ru.wikipedia.org/w/index.php?search=%D0%94%D0%B5%D0%BB%D0%BE%20%D0%BE...%201970%20%D1%84%D0%B8%D0%BB%D1%8C%D0%BC","искать")</f>
        <v/>
      </c>
      <c r="N4110" s="3" t="n"/>
      <c r="O4110" s="2" t="n"/>
    </row>
    <row r="4111">
      <c r="A4111" s="2" t="n">
        <v>4110</v>
      </c>
      <c r="B4111" s="2" t="inlineStr"/>
      <c r="C4111" s="2" t="n">
        <v>11152</v>
      </c>
      <c r="D4111" s="3" t="inlineStr">
        <is>
          <t>Живи и помни</t>
        </is>
      </c>
      <c r="E4111" s="2" t="n">
        <v>1987</v>
      </c>
      <c r="F4111" s="2" t="inlineStr">
        <is>
          <t>фильм-спектакль</t>
        </is>
      </c>
      <c r="G4111" s="2" t="inlineStr">
        <is>
          <t>Главная редакция литературно-драматических программ ЦТ</t>
        </is>
      </c>
      <c r="H4111" s="2" t="n">
        <v>678</v>
      </c>
      <c r="I4111" s="2" t="inlineStr"/>
      <c r="J4111" s="2" t="inlineStr"/>
      <c r="K4111" s="3" t="inlineStr">
        <is>
          <t>По одноименной повести В.Распутина в постановке Московского драматического театра-студии "Сфера".
Действие происходит в годы Великой Отечественной войны.
В последний год войны в родную деревню возвращается Андрей. Но возвращается не героем, а дезертиром, не доехавшим после ранения из госпиталя в свою воинскую часть. О том, что Андрей вернулся, знает только один человек – жена Настя – единственная, кому Андрей может доверить свою жизнь. Настя вынуждена скрывать мужа даже от родных, лишь изредка навещая его в укрытии. Андрей теперь – вечный беглец, обреченный на одиночество. Чувство тяжелой вины за происшедшее, безвыходность сложившейся ситуации приводят Настёну к гибели.</t>
        </is>
      </c>
      <c r="L4111" s="2" t="inlineStr">
        <is>
          <t>https://www.kino-teatr.ru/teatr/movie/81295/annot/</t>
        </is>
      </c>
      <c r="M4111" s="2">
        <f>HYPERLINK("https://ru.wikipedia.org/w/index.php?search=%D0%96%D0%B8%D0%B2%D0%B8%20%D0%B8%20%D0%BF%D0%BE%D0%BC%D0%BD%D0%B8%201987%20%D1%84%D0%B8%D0%BB%D1%8C%D0%BC","искать")</f>
        <v/>
      </c>
      <c r="N4111" s="3" t="n"/>
      <c r="O4111" s="2" t="n"/>
    </row>
    <row r="4112">
      <c r="A4112" s="2" t="n">
        <v>4111</v>
      </c>
      <c r="B4112" s="2" t="inlineStr"/>
      <c r="C4112" s="2" t="n">
        <v>10704</v>
      </c>
      <c r="D4112" s="3" t="inlineStr">
        <is>
          <t>Не от мира сего</t>
        </is>
      </c>
      <c r="E4112" s="2" t="n">
        <v>1977</v>
      </c>
      <c r="F4112" s="2" t="inlineStr">
        <is>
          <t>фильм-спектакль</t>
        </is>
      </c>
      <c r="G4112" s="2" t="inlineStr">
        <is>
          <t>ТО “Экран”</t>
        </is>
      </c>
      <c r="H4112" s="2" t="n">
        <v>684</v>
      </c>
      <c r="I4112" s="2" t="inlineStr"/>
      <c r="J4112" s="2" t="inlineStr"/>
      <c r="K4112" s="3" t="inlineStr">
        <is>
          <t>Спектакль по последней пьесе Александра Николаевича Островского в постановке театра на Малой Бронной.
Действие пьесы «Не от мира сего» тоже разворачивается в Замоскворечье. Главная героиня — действительно «не от мира сего», но не столько по своим идеальным совершенствам, сколько по судьбе, устраиваемой для нее автором. Она является на сцену, произносит несколько чувствительных монологов, впадает в необъяснимый ужас перед одним из действующих лиц — человеком безобидным и на редкость добрым, только любящим пожить, и, наконец, внезапно умирает самой ангельской и красноречивой смертью, оставаясь в живых ровно столько, чтобы сказать мужу-грешнику о своей любви к нему и о прощении.</t>
        </is>
      </c>
      <c r="L4112" s="2" t="inlineStr">
        <is>
          <t>https://www.kino-teatr.ru/teatr/movie/81468/annot/</t>
        </is>
      </c>
      <c r="M4112" s="2">
        <f>HYPERLINK("https://ru.wikipedia.org/w/index.php?search=%D0%9D%D0%B5%20%D0%BE%D1%82%20%D0%BC%D0%B8%D1%80%D0%B0%20%D1%81%D0%B5%D0%B3%D0%BE%201977%20%D1%84%D0%B8%D0%BB%D1%8C%D0%BC","искать")</f>
        <v/>
      </c>
      <c r="N4112" s="3" t="n"/>
      <c r="O4112" s="2" t="n"/>
    </row>
    <row r="4113">
      <c r="A4113" s="2" t="n">
        <v>4112</v>
      </c>
      <c r="B4113" s="2" t="inlineStr"/>
      <c r="C4113" s="2" t="n">
        <v>11105</v>
      </c>
      <c r="D4113" s="3" t="inlineStr">
        <is>
          <t>Двенадцатая ночь, или Что угодно (фильм-балет)</t>
        </is>
      </c>
      <c r="E4113" s="2" t="n">
        <v>1986</v>
      </c>
      <c r="F4113" s="2" t="inlineStr">
        <is>
          <t>фильм-спектакль</t>
        </is>
      </c>
      <c r="G4113" s="2" t="inlineStr">
        <is>
          <t>Грузия-телефильм</t>
        </is>
      </c>
      <c r="H4113" s="2" t="n">
        <v>685</v>
      </c>
      <c r="I4113" s="2" t="inlineStr"/>
      <c r="J4113" s="2" t="inlineStr"/>
      <c r="K4113" s="3" t="inlineStr">
        <is>
          <t>«Двенадцатая ночь, или Что угодно» — телефильм-балет Б. Эйфмана 1986 года по мотивам комедии Шекспира.
Брат и сестра случайно оказываются на современном уличном представлении балета. Они так очарованы сюжетом, что, позабыв о том, что находятся на представлении, поднимаются на сцену и оказываются в сказочной стране. Брат влюбляется в Оливию, а сестра — в герцога. Но так как объекты любви не допускают к себе людей противоположного пола, они переодеваются: брат в одежду сестры, а сестра — в брата, и поступают в услужение Оливии и герцогу. После веселых приключений обман раскрывается и все заканчивается свадьбой.
Звучит музыка из опер Доницетти в свободной обработке Тимура Когана.</t>
        </is>
      </c>
      <c r="L4113" s="2" t="inlineStr">
        <is>
          <t>https://www.kino-teatr.ru/teatr/movie/85267/annot/</t>
        </is>
      </c>
      <c r="M4113" s="2">
        <f>HYPERLINK("https://ru.wikipedia.org/w/index.php?search=%D0%94%D0%B2%D0%B5%D0%BD%D0%B0%D0%B4%D1%86%D0%B0%D1%82%D0%B0%D1%8F%20%D0%BD%D0%BE%D1%87%D1%8C%2C%20%D0%B8%D0%BB%D0%B8%20%D0%A7%D1%82%D0%BE%20%D1%83%D0%B3%D0%BE%D0%B4%D0%BD%D0%BE%20%28%D1%84%D0%B8%D0%BB%D1%8C%D0%BC-%D0%B1%D0%B0%D0%BB%D0%B5%D1%82%29%201986%20%D1%84%D0%B8%D0%BB%D1%8C%D0%BC","искать")</f>
        <v/>
      </c>
      <c r="N4113" s="3" t="n"/>
      <c r="O4113" s="2" t="n"/>
    </row>
    <row r="4114">
      <c r="A4114" s="2" t="n">
        <v>4113</v>
      </c>
      <c r="B4114" s="2" t="inlineStr"/>
      <c r="C4114" s="2" t="n">
        <v>10408</v>
      </c>
      <c r="D4114" s="3" t="inlineStr">
        <is>
          <t>Нахлебник</t>
        </is>
      </c>
      <c r="E4114" s="2" t="n">
        <v>1971</v>
      </c>
      <c r="F4114" s="2" t="inlineStr">
        <is>
          <t>фильм-спектакль</t>
        </is>
      </c>
      <c r="G4114" s="2" t="inlineStr">
        <is>
          <t>ТО "Экран", Подборки фильмов, экранизации Тургенева</t>
        </is>
      </c>
      <c r="H4114" s="2" t="n">
        <v>687</v>
      </c>
      <c r="I4114" s="2" t="inlineStr"/>
      <c r="J4114" s="2" t="inlineStr"/>
      <c r="K4114" s="3" t="inlineStr">
        <is>
          <t>По одноименной пьесе И.Тургенева в постановке Московского Художественного академического театра им. Горького.
После многолетнего отсутствия из Петербурга в свое имение приезжает с мужем молодая помещица Елецкая. Молодых встречает бедный дворянин Кузовкин - нахлебник в доме Елецкой. Ее муж и окрестные помещики, томимые скукой провинциальной жизни, потешаются над стариком, унижая его человеческое достоинство. Не выдержав издевательств, Кузовкин во всеуслышание объявляет, что хозяйка имения - его дочь. По настоянию Елецкого старик покидает дом своей дочери. Эта простая история сыграна Яншиным с такой душераздирающей трогательностью, что равнодушным зритель остаться просто не может.</t>
        </is>
      </c>
      <c r="L4114" s="2" t="inlineStr">
        <is>
          <t>https://www.kino-teatr.ru/teatr/movie/4272/annot/</t>
        </is>
      </c>
      <c r="M4114" s="2">
        <f>HYPERLINK("https://ru.wikipedia.org/w/index.php?search=%D0%9D%D0%B0%D1%85%D0%BB%D0%B5%D0%B1%D0%BD%D0%B8%D0%BA%201971%20%D1%84%D0%B8%D0%BB%D1%8C%D0%BC","искать")</f>
        <v/>
      </c>
      <c r="N4114" s="3" t="n"/>
      <c r="O4114" s="2" t="n"/>
    </row>
    <row r="4115">
      <c r="A4115" s="2" t="n">
        <v>4114</v>
      </c>
      <c r="B4115" s="2" t="inlineStr"/>
      <c r="C4115" s="2" t="n">
        <v>11010</v>
      </c>
      <c r="D4115" s="3" t="inlineStr">
        <is>
          <t>Равняется четырём Франциям</t>
        </is>
      </c>
      <c r="E4115" s="2" t="n">
        <v>1983</v>
      </c>
      <c r="F4115" s="2" t="inlineStr">
        <is>
          <t>фильм-спектакль</t>
        </is>
      </c>
      <c r="G4115" s="2" t="inlineStr">
        <is>
          <t>Ленинградское ТВ</t>
        </is>
      </c>
      <c r="H4115" s="2" t="n">
        <v>688</v>
      </c>
      <c r="I4115" s="2" t="inlineStr"/>
      <c r="J4115" s="2" t="inlineStr"/>
      <c r="K4115" s="3" t="inlineStr">
        <is>
          <t>В море терпит бедствие сухогруз "Челюскинец", а руководители равняющегося четырем Франциям края, от которых зависит сейчас столь многое, скрупулезно и вдумчиво решают вопрос о том, давать ли "SOS", что является прерогативой капитана. В крайкоме партии идет спор о том, подменять или не подменять командира в столь экстремальной ситуации.
Впрочем, экстремальная ситуация, избранная драматургом для сюжетной завязки, могда возникнуть не только в океане. Автор не ставил перед собой задачу художественно отразить какую-то конкретную ситуацию. Здесь она - лишь фон для столкновения характеров, проявления подлинно партийного подхода к делу или противоположного ему, формального, амбициозного.</t>
        </is>
      </c>
      <c r="L4115" s="2" t="inlineStr">
        <is>
          <t>https://www.kino-teatr.ru/teatr/movie/79772/annot/</t>
        </is>
      </c>
      <c r="M4115" s="2">
        <f>HYPERLINK("https://ru.wikipedia.org/w/index.php?search=%D0%A0%D0%B0%D0%B2%D0%BD%D1%8F%D0%B5%D1%82%D1%81%D1%8F%20%D1%87%D0%B5%D1%82%D1%8B%D1%80%D1%91%D0%BC%20%D0%A4%D1%80%D0%B0%D0%BD%D1%86%D0%B8%D1%8F%D0%BC%201983%20%D1%84%D0%B8%D0%BB%D1%8C%D0%BC","искать")</f>
        <v/>
      </c>
      <c r="N4115" s="3" t="n"/>
      <c r="O4115" s="2" t="n"/>
    </row>
    <row r="4116">
      <c r="A4116" s="2" t="n">
        <v>4115</v>
      </c>
      <c r="B4116" s="2" t="inlineStr"/>
      <c r="C4116" s="2" t="n">
        <v>10007</v>
      </c>
      <c r="D4116" s="3" t="inlineStr">
        <is>
          <t>Один за всех!</t>
        </is>
      </c>
      <c r="E4116" s="2" t="n">
        <v>1985</v>
      </c>
      <c r="F4116" s="2" t="inlineStr">
        <is>
          <t>телефильм</t>
        </is>
      </c>
      <c r="G4116" s="2" t="inlineStr">
        <is>
          <t>Лентелефильм</t>
        </is>
      </c>
      <c r="H4116" s="2" t="n">
        <v>691</v>
      </c>
      <c r="I4116" s="2" t="inlineStr"/>
      <c r="J4116" s="2" t="inlineStr"/>
      <c r="K4116" s="3" t="inlineStr">
        <is>
          <t>Этот фильм - своеобразный бенефис актера Н.Караченцова. Действие происходит в Ленинграде. Кругом раcклеены афиши - “Скоро на экранах”. По городу в такси едет Он - тот, кто изображен на этих афишах. Он подъезжает к студии Ленинградского телевидения. Его встречают и приводят в группу фильма “Один за всех”. Ему рады, его приглашают сниматься в кино. Это будет Его фильм, говорят все, трудностей не будет, все трюки будет исполнять дублер. Напротив героя сидит человек - его точная копия. Это и есть дублер. Он так хорошо выполнил все трюки, что теперь уже его приглашают сниматься. Это будет Его фильм, убеждают его, а все трюки выполнит дублер. И в группе появляется... точная копия дублера.</t>
        </is>
      </c>
      <c r="L4116" s="2" t="inlineStr">
        <is>
          <t>https://www.kino-teatr.ru/short/movie/sov/16633/annot/</t>
        </is>
      </c>
      <c r="M4116" s="2">
        <f>HYPERLINK("https://ru.wikipedia.org/w/index.php?search=%D0%9E%D0%B4%D0%B8%D0%BD%20%D0%B7%D0%B0%20%D0%B2%D1%81%D0%B5%D1%85%21%201985%20%D1%84%D0%B8%D0%BB%D1%8C%D0%BC","искать")</f>
        <v/>
      </c>
      <c r="N4116" s="3" t="n"/>
      <c r="O4116" s="2" t="n"/>
    </row>
    <row r="4117">
      <c r="A4117" s="2" t="n">
        <v>4116</v>
      </c>
      <c r="B4117" s="2" t="inlineStr"/>
      <c r="C4117" s="2" t="n">
        <v>11341</v>
      </c>
      <c r="D4117" s="3" t="inlineStr">
        <is>
          <t>Ночь игуаны</t>
        </is>
      </c>
      <c r="E4117" s="2" t="n">
        <v>1991</v>
      </c>
      <c r="F4117" s="2" t="inlineStr">
        <is>
          <t>фильм-спектакль</t>
        </is>
      </c>
      <c r="G4117" s="2" t="n"/>
      <c r="H4117" s="2" t="n">
        <v>695</v>
      </c>
      <c r="I4117" s="2" t="inlineStr"/>
      <c r="J4117" s="2" t="inlineStr"/>
      <c r="K4117" s="3" t="inlineStr">
        <is>
          <t>Постановка государственного академического Малого театра.
«Ночь игуаны» — пьеса в трех действиях американского драматурга Теннеcси Уильямса, основанная на его же рассказе 1948 года.
В пьесе действие происходит в Мексике, в Пуэрто-Баррио, летом 1940 года.
Американский священник, преподобный Лоуренс Шэннон лишается сана и отправляется в Мексику, где становится гидом. Однажды его внимание привлекает юная Шарлотта Гудэлл, затесавшаяся в группу старых дев. Впрочем, знакомством с этой девушкой его сложные взаимоотношения с женщинами на этом не исчерпываются...
Премьера пьесы состоялась на Бродвее в 1961 году.
В 1964 году пьеса была экранизирована Джоном Хьюстоном (в главной роли — Р. Бертон).</t>
        </is>
      </c>
      <c r="L4117" s="2" t="inlineStr">
        <is>
          <t>https://www.kino-teatr.ru/teatr/movie/94600/annot/</t>
        </is>
      </c>
      <c r="M4117" s="2">
        <f>HYPERLINK("https://ru.wikipedia.org/w/index.php?search=%D0%9D%D0%BE%D1%87%D1%8C%20%D0%B8%D0%B3%D1%83%D0%B0%D0%BD%D1%8B%201991%20%D1%84%D0%B8%D0%BB%D1%8C%D0%BC","искать")</f>
        <v/>
      </c>
      <c r="N4117" s="3" t="n"/>
      <c r="O4117" s="2" t="n"/>
    </row>
    <row r="4118">
      <c r="A4118" s="2" t="n">
        <v>4117</v>
      </c>
      <c r="B4118" s="2" t="inlineStr"/>
      <c r="C4118" s="2" t="n">
        <v>10629</v>
      </c>
      <c r="D4118" s="3" t="inlineStr">
        <is>
          <t>Трактирщица</t>
        </is>
      </c>
      <c r="E4118" s="2" t="n">
        <v>1975</v>
      </c>
      <c r="F4118" s="2" t="inlineStr">
        <is>
          <t>фильм-спектакль</t>
        </is>
      </c>
      <c r="G4118" s="2" t="inlineStr">
        <is>
          <t>Гл. ред. лит-драм программ</t>
        </is>
      </c>
      <c r="H4118" s="2" t="n">
        <v>696</v>
      </c>
      <c r="I4118" s="2" t="inlineStr"/>
      <c r="J4118" s="2" t="inlineStr"/>
      <c r="K4118" s="3" t="inlineStr">
        <is>
          <t>Бессмертная комедия Карло Гольдони в постановке Московского академического театра имени Вл.Маяковского.
Прекрасная трактирщица Мирандолина привередливо выбирает себе мужа. Вокруг нее крутится множество прощелыг и фатов, но она решает покорить сердце единственного среди них женоненавистника – кавалера ди Риппафратту. Однако сердце красавицы само не знает, чего хочет. Едва влюбив в себя кавалера, Мирандолина выходит замуж за собственного слугу.
Режиссер Александр Белинский славится тем, что умеет раскрыть индивидуальность занятых в его постановках актрис. Каждый его фильм - бенефис исполнительницы главной роли. «Трактирщица» - это своего рода признание в любви к актрисе Наталье Гундаревой.</t>
        </is>
      </c>
      <c r="L4118" s="2" t="inlineStr">
        <is>
          <t>https://www.kino-teatr.ru/teatr/movie/7206/annot/</t>
        </is>
      </c>
      <c r="M4118" s="2">
        <f>HYPERLINK("https://ru.wikipedia.org/w/index.php?search=%D0%A2%D1%80%D0%B0%D0%BA%D1%82%D0%B8%D1%80%D1%89%D0%B8%D1%86%D0%B0%201975%20%D1%84%D0%B8%D0%BB%D1%8C%D0%BC","искать")</f>
        <v/>
      </c>
      <c r="N4118" s="3" t="n"/>
      <c r="O4118" s="2" t="n"/>
    </row>
    <row r="4119">
      <c r="A4119" s="2" t="n">
        <v>4118</v>
      </c>
      <c r="B4119" s="2" t="inlineStr"/>
      <c r="C4119" s="2" t="n">
        <v>10682</v>
      </c>
      <c r="D4119" s="3" t="inlineStr">
        <is>
          <t>Горе от ума</t>
        </is>
      </c>
      <c r="E4119" s="2" t="n">
        <v>1977</v>
      </c>
      <c r="F4119" s="2" t="inlineStr">
        <is>
          <t>фильм-спектакль</t>
        </is>
      </c>
      <c r="G4119" s="2" t="inlineStr">
        <is>
          <t>Государственный академический Малый театр и творческое объединение "Экран", Подборки фильмов, отечественные экранизации классики</t>
        </is>
      </c>
      <c r="H4119" s="2" t="n">
        <v>699</v>
      </c>
      <c r="I4119" s="2" t="inlineStr"/>
      <c r="J4119" s="2" t="inlineStr"/>
      <c r="K4119" s="3" t="inlineStr">
        <is>
          <t>Спектакль Государственного академического Малого театра по одноименной комедии А.С. Грибоедова. 2-е серии.
В дом сановного московского барина Фамусова приезжает Чацкий, возвратившийся из дальних странствий. Он спешит увидеть Софью, дочь Фамусова, которую любит с давних пор. Но Софья холодно встречает пылкие излияния Чацкого. Ее сентиментальную натуру, взлелеянную французскими романами, оскорбляют проникнутые горечью и негодованием речи Чацкого. Он обличает взяточничество, низкопоклонство, невежество и холуйство. Фамусов, Скалозуб, Молчалин, Загорецкий, Репетилов и другие мстят Чацкому, объявив его безумным. В довершение всего Чацкий узнает, что Софья отдала свое сердце ничтожному Молчалину.</t>
        </is>
      </c>
      <c r="L4119" s="2" t="inlineStr">
        <is>
          <t>https://www.kino-teatr.ru/teatr/movie/80985/annot/</t>
        </is>
      </c>
      <c r="M4119" s="2">
        <f>HYPERLINK("https://ru.wikipedia.org/w/index.php?search=%D0%93%D0%BE%D1%80%D0%B5%20%D0%BE%D1%82%20%D1%83%D0%BC%D0%B0%201977%20%D1%84%D0%B8%D0%BB%D1%8C%D0%BC","искать")</f>
        <v/>
      </c>
      <c r="N4119" s="3" t="n"/>
      <c r="O4119" s="2" t="n"/>
    </row>
    <row r="4120">
      <c r="A4120" s="2" t="n">
        <v>4119</v>
      </c>
      <c r="B4120" s="2" t="inlineStr"/>
      <c r="C4120" s="2" t="n">
        <v>11129</v>
      </c>
      <c r="D4120" s="3" t="inlineStr">
        <is>
          <t>Путь</t>
        </is>
      </c>
      <c r="E4120" s="2" t="n">
        <v>1986</v>
      </c>
      <c r="F4120" s="2" t="inlineStr">
        <is>
          <t>фильм-спектакль</t>
        </is>
      </c>
      <c r="G4120" s="2" t="inlineStr">
        <is>
          <t>Главная редакция программ для детей ЦТ</t>
        </is>
      </c>
      <c r="H4120" s="2" t="n">
        <v>700</v>
      </c>
      <c r="I4120" s="2" t="inlineStr"/>
      <c r="J4120" s="2" t="inlineStr"/>
      <c r="K4120" s="3" t="inlineStr">
        <is>
          <t>По пьесе Александра Ремеза "Путь", посвященной Александру Ульянову.
Александр был первым из детей Ульяновых, кто вступил в революционную борьбу. Он участвовал в студенческих нелегальных собраниях, демонстрациях, вёл пропаганду в рабочем кружке. В конце 1886 года Саша Ульянов стал членом "террористической фракции" партии "Народная воля", одним из авторов её программы, в которой основным методом борьбы с самодержавием признавался террор.
Почему студент-биолог всего за несколько месяцев превратился в террориста и принял смерть на эшафоте? Пьеса А. Ремеза - попытка представить собственную версию короткой жизни и страшной смерти Саши, который один выступил на поединок с целой социальной системой.</t>
        </is>
      </c>
      <c r="L4120" s="2" t="inlineStr">
        <is>
          <t>https://www.kino-teatr.ru/teatr/movie/85195/annot/</t>
        </is>
      </c>
      <c r="M4120" s="2">
        <f>HYPERLINK("https://ru.wikipedia.org/w/index.php?search=%D0%9F%D1%83%D1%82%D1%8C%201986%20%D1%84%D0%B8%D0%BB%D1%8C%D0%BC","искать")</f>
        <v/>
      </c>
      <c r="N4120" s="3" t="n"/>
      <c r="O4120" s="2" t="n"/>
    </row>
    <row r="4121">
      <c r="A4121" s="2" t="n">
        <v>4120</v>
      </c>
      <c r="B4121" s="2" t="inlineStr"/>
      <c r="C4121" s="2" t="n">
        <v>11066</v>
      </c>
      <c r="D4121" s="3" t="inlineStr">
        <is>
          <t>На всякого мудреца довольно простоты</t>
        </is>
      </c>
      <c r="E4121" s="2" t="n">
        <v>1985</v>
      </c>
      <c r="F4121" s="2" t="inlineStr">
        <is>
          <t>фильм-спектакль</t>
        </is>
      </c>
      <c r="G4121" s="2" t="inlineStr">
        <is>
          <t>Главная редакция литературно-драматических программ Гостелерадио СССР</t>
        </is>
      </c>
      <c r="H4121" s="2" t="n">
        <v>702</v>
      </c>
      <c r="I4121" s="2" t="inlineStr"/>
      <c r="J4121" s="2" t="inlineStr"/>
      <c r="K4121" s="3" t="inlineStr">
        <is>
          <t>Государственный академический Малый театр.
Постановка одноименной пьесы А.Островского.
Действие происходит в Москве, в 1868 году. Егор Дмитрич Глумов, молодой бедный человек, который писал эпиграммы, высмеивая глупость власть предержащих, решает сделать карьеру, добиться власти и богатства. Он подкупает слугу своего дальнего богатого родственника Мамаева, чтобы войти к нему в доверие и становится любовником его молодой жены, Клеопатры Львовны. Глумов подкупает и подсылает гадалок к богатой вдове Турусиной для того, чтобы жениться на её племяннице Машеньке. Он откровенно льстит Мамаеву и пресмыкается перед его влиятельными друзьям Крутицким и Городулиным, чтобы получить хорошее место по службе.</t>
        </is>
      </c>
      <c r="L4121" s="2" t="inlineStr">
        <is>
          <t>https://www.kino-teatr.ru/teatr/movie/117391/annot/</t>
        </is>
      </c>
      <c r="M4121" s="2">
        <f>HYPERLINK("https://ru.wikipedia.org/w/index.php?search=%D0%9D%D0%B0%20%D0%B2%D1%81%D1%8F%D0%BA%D0%BE%D0%B3%D0%BE%20%D0%BC%D1%83%D0%B4%D1%80%D0%B5%D1%86%D0%B0%20%D0%B4%D0%BE%D0%B2%D0%BE%D0%BB%D1%8C%D0%BD%D0%BE%20%D0%BF%D1%80%D0%BE%D1%81%D1%82%D0%BE%D1%82%D1%8B%201985%20%D1%84%D0%B8%D0%BB%D1%8C%D0%BC","искать")</f>
        <v/>
      </c>
      <c r="N4121" s="3" t="n"/>
      <c r="O4121" s="2" t="n"/>
    </row>
    <row r="4122">
      <c r="A4122" s="2" t="n">
        <v>4121</v>
      </c>
      <c r="B4122" s="2" t="inlineStr"/>
      <c r="C4122" s="2" t="n">
        <v>11077</v>
      </c>
      <c r="D4122" s="3" t="inlineStr">
        <is>
          <t>Рядовые</t>
        </is>
      </c>
      <c r="E4122" s="2" t="n">
        <v>1985</v>
      </c>
      <c r="F4122" s="2" t="inlineStr">
        <is>
          <t>фильм-спектакль</t>
        </is>
      </c>
      <c r="G4122" s="2" t="n"/>
      <c r="H4122" s="2" t="n">
        <v>704</v>
      </c>
      <c r="I4122" s="2" t="inlineStr"/>
      <c r="J4122" s="2" t="inlineStr"/>
      <c r="K4122" s="3" t="inlineStr">
        <is>
          <t>Спектакль был поставлен в БДТ по одноименной пьесе Алексея Дударева.
Действие разворачивается незадолго до Победы в развалинах Берлина. Но в центре происходящего не военные действия, а судьбы людей, их печали и надежды. Молодой первогодок Одуванчик, призванный в последние дни войны, совершенно по-детски страдает от того, что на его долю не выпадет воинской славы. Его старший друг Дервоед, на глазах у которого погибли жена и сын, мучается не в состоянии справиться с душевной болью. В противоположность им Буштец, которого забрали в военкомат прямо с собственной свадьбы, нервный и ожесточенный. Настоящий «пес войны», он только и умеет что убивать. Что делать, когда война закончится, куда себя деть?</t>
        </is>
      </c>
      <c r="L4122" s="2" t="inlineStr">
        <is>
          <t>https://www.kino-teatr.ru/teatr/movie/78871/annot/</t>
        </is>
      </c>
      <c r="M4122" s="2">
        <f>HYPERLINK("https://ru.wikipedia.org/w/index.php?search=%D0%A0%D1%8F%D0%B4%D0%BE%D0%B2%D1%8B%D0%B5%201985%20%D1%84%D0%B8%D0%BB%D1%8C%D0%BC","искать")</f>
        <v/>
      </c>
      <c r="N4122" s="3" t="n"/>
      <c r="O4122" s="2" t="n"/>
    </row>
    <row r="4123">
      <c r="A4123" s="2" t="n">
        <v>4122</v>
      </c>
      <c r="B4123" s="2" t="inlineStr"/>
      <c r="C4123" s="2" t="n">
        <v>9945</v>
      </c>
      <c r="D4123" s="3" t="inlineStr">
        <is>
          <t>Огонь в глубине дерева</t>
        </is>
      </c>
      <c r="E4123" s="2" t="n">
        <v>1979</v>
      </c>
      <c r="F4123" s="2" t="inlineStr">
        <is>
          <t>телефильм</t>
        </is>
      </c>
      <c r="G4123" s="2" t="inlineStr">
        <is>
          <t>Эстонское телевидение</t>
        </is>
      </c>
      <c r="H4123" s="2" t="n">
        <v>707</v>
      </c>
      <c r="I4123" s="2" t="inlineStr"/>
      <c r="J4123" s="2" t="inlineStr"/>
      <c r="K4123" s="3" t="inlineStr">
        <is>
          <t>По мотивам фрагмента повести русского писателя Эдуарда Шима "Ребята с нашего двора" (1976)
У юного Жеки нет отца, но есть отчим - достаточно обеспеченный мужчина, который пытается сблизиться с пасынком, делая ему дорогие подарки. Но мальчик считает, что любят не за них. Жеке нравится всё мастерить своими руками. Однажды к ним домой случайно приходит друг их старика-соседа. Оказывается, что он - мастер на все руки. Гость рассказывает Жеке, что шкаф в их гостиной - это уникальная работа старых забытых мастеров. В подтверждение своих слов он предлагает мальчику проверить подгонку стыков...
Встреча с этим мудрым увлеченным человеком делает жизнь Жеки по-настоящему интересной и многое меняет в их семье.</t>
        </is>
      </c>
      <c r="L4123" s="2" t="inlineStr">
        <is>
          <t>https://www.kino-teatr.ru/short/movie/sov/100660/annot/</t>
        </is>
      </c>
      <c r="M4123" s="2">
        <f>HYPERLINK("https://ru.wikipedia.org/w/index.php?search=%D0%9E%D0%B3%D0%BE%D0%BD%D1%8C%20%D0%B2%20%D0%B3%D0%BB%D1%83%D0%B1%D0%B8%D0%BD%D0%B5%20%D0%B4%D0%B5%D1%80%D0%B5%D0%B2%D0%B0%201979%20%D1%84%D0%B8%D0%BB%D1%8C%D0%BC","искать")</f>
        <v/>
      </c>
      <c r="N4123" s="3" t="n"/>
      <c r="O4123" s="2" t="n"/>
    </row>
    <row r="4124">
      <c r="A4124" s="2" t="n">
        <v>4123</v>
      </c>
      <c r="B4124" s="2" t="inlineStr"/>
      <c r="C4124" s="2" t="n">
        <v>10251</v>
      </c>
      <c r="D4124" s="3" t="inlineStr">
        <is>
          <t>Калиф-Аист</t>
        </is>
      </c>
      <c r="E4124" s="2" t="n">
        <v>1968</v>
      </c>
      <c r="F4124" s="2" t="inlineStr">
        <is>
          <t>фильм-спектакль</t>
        </is>
      </c>
      <c r="G4124" s="2" t="inlineStr">
        <is>
          <t>ТО "Экран"</t>
        </is>
      </c>
      <c r="H4124" s="2" t="n">
        <v>709</v>
      </c>
      <c r="I4124" s="2" t="inlineStr"/>
      <c r="J4124" s="2" t="inlineStr"/>
      <c r="K4124" s="3" t="inlineStr">
        <is>
          <t>Телефильм снят по мотивам сказки В.Гауфа. О великом Калифе Багдадском, его верном Визире и злом колдуне Кашнуре.
Было это давным-давно, в незапамятные времена, в далеком городе Багдаде. Однажды, в прекрасное послеобеденное время, калиф багдадский Хасид предавался отдыху. К нему пришел визирь в свое урочное время, но не стал просить за виновных, не стал жаловаться на правых, а низко поклонился калифу и молча отошел в сторону. Когда же калиф спросил своего визиря: "Чем озабочен ты, великий визирь?", визирь ответил ему: " У ворот дворца стоит бpoдячий торговец со всякими диковинными товарами. И еще знаю что я не могу купить у него даже самую ничтожную 6езделицу, потому что мне нечем за нее заплатить..."</t>
        </is>
      </c>
      <c r="L4124" s="2" t="inlineStr">
        <is>
          <t>https://www.kino-teatr.ru/teatr/movie/2879/annot/</t>
        </is>
      </c>
      <c r="M4124" s="2">
        <f>HYPERLINK("https://ru.wikipedia.org/w/index.php?search=%D0%9A%D0%B0%D0%BB%D0%B8%D1%84-%D0%90%D0%B8%D1%81%D1%82%201968%20%D1%84%D0%B8%D0%BB%D1%8C%D0%BC","искать")</f>
        <v/>
      </c>
      <c r="N4124" s="3" t="n"/>
      <c r="O4124" s="2" t="n"/>
    </row>
    <row r="4125">
      <c r="A4125" s="2" t="n">
        <v>4124</v>
      </c>
      <c r="B4125" s="2" t="inlineStr"/>
      <c r="C4125" s="2" t="n">
        <v>10985</v>
      </c>
      <c r="D4125" s="3" t="inlineStr">
        <is>
          <t>Героини пьес Островского</t>
        </is>
      </c>
      <c r="E4125" s="2" t="n">
        <v>1983</v>
      </c>
      <c r="F4125" s="2" t="inlineStr">
        <is>
          <t>фильм-спектакль</t>
        </is>
      </c>
      <c r="G4125" s="2" t="inlineStr">
        <is>
          <t>Главная редакция литературно-драматических программ ЦТ</t>
        </is>
      </c>
      <c r="H4125" s="2" t="n">
        <v>713</v>
      </c>
      <c r="I4125" s="2" t="inlineStr"/>
      <c r="J4125" s="2" t="inlineStr"/>
      <c r="K4125" s="3" t="inlineStr">
        <is>
          <t>Фильм посвящен героиням пьес Островского - женам, кухаркам, актрисам, свахам. По большей части, это собирательные образы, и все же у многих из них есть свой прототип. Автор был человеком наблюдательным и все интересное записывал в дневник. Так родилась галерея образов родного Замоскворечья, где Островский появился на свет. Позже, после путешествия по Волге, добавились портреты жителей приволжских городков. Александр Николаевич не упускал мелочей. Когда драматург описывал быт, детали одежды или манеру речи персонажа, то герой буквально оживал.
В фильме зритель увидит сцены из спектаклей по пьесам Островского, картины художника Бориса Кустодиева, а также услышит русские романсы.
Автор и ведущая Ия Саввина.</t>
        </is>
      </c>
      <c r="L4125" s="2" t="inlineStr">
        <is>
          <t>https://www.kino-teatr.ru/teatr/movie/84740/annot/</t>
        </is>
      </c>
      <c r="M4125" s="2">
        <f>HYPERLINK("https://ru.wikipedia.org/w/index.php?search=%D0%93%D0%B5%D1%80%D0%BE%D0%B8%D0%BD%D0%B8%20%D0%BF%D1%8C%D0%B5%D1%81%20%D0%9E%D1%81%D1%82%D1%80%D0%BE%D0%B2%D1%81%D0%BA%D0%BE%D0%B3%D0%BE%201983%20%D1%84%D0%B8%D0%BB%D1%8C%D0%BC","искать")</f>
        <v/>
      </c>
      <c r="N4125" s="3" t="n"/>
      <c r="O4125" s="2" t="n"/>
    </row>
    <row r="4126">
      <c r="A4126" s="2" t="n">
        <v>4125</v>
      </c>
      <c r="B4126" s="2" t="inlineStr"/>
      <c r="C4126" s="2" t="n">
        <v>10033</v>
      </c>
      <c r="D4126" s="3" t="inlineStr">
        <is>
          <t>Путь</t>
        </is>
      </c>
      <c r="E4126" s="2" t="n">
        <v>1988</v>
      </c>
      <c r="F4126" s="2" t="inlineStr">
        <is>
          <t>телефильм</t>
        </is>
      </c>
      <c r="G4126" s="2" t="n"/>
      <c r="H4126" s="2" t="n">
        <v>716</v>
      </c>
      <c r="I4126" s="2" t="inlineStr"/>
      <c r="J4126" s="2" t="inlineStr"/>
      <c r="K4126" s="3" t="inlineStr">
        <is>
          <t>Трое друзей встречаются в центре города для развлечений. Погуляв по бульварам, они оказываются на природе. Тёмная сторона леса вскрывает подсознание каждого. И никто из них не подозревает о существовании в мире тех сил, что пробуждают в человеке скрытые до времени тёмные стороны их личностей. Метафора фильма состоит в обнажении спрятанных от прямого видения законов природы, с которыми приходится считаться не подозревающему о них человеку.
Фильм передаёт неповторимый колорит первых лет перестройки, когда мечты не вступали в противоречие с явью, и вера в светлое будущее страны не являлась чем-то несбыточным, хотя весь настрой фильма пророчествует о неотвратимом и безвозвратном.
Фильм восстановлен в 2009 году.</t>
        </is>
      </c>
      <c r="L4126" s="2" t="inlineStr">
        <is>
          <t>https://www.kino-teatr.ru/short/movie/sov/83662/annot/</t>
        </is>
      </c>
      <c r="M4126" s="2">
        <f>HYPERLINK("https://ru.wikipedia.org/w/index.php?search=%D0%9F%D1%83%D1%82%D1%8C%201988%20%D1%84%D0%B8%D0%BB%D1%8C%D0%BC","искать")</f>
        <v/>
      </c>
      <c r="N4126" s="3" t="n"/>
      <c r="O4126" s="2" t="n"/>
    </row>
    <row r="4127">
      <c r="A4127" s="2" t="n">
        <v>4126</v>
      </c>
      <c r="B4127" s="2" t="inlineStr"/>
      <c r="C4127" s="2" t="n">
        <v>9796</v>
      </c>
      <c r="D4127" s="3" t="inlineStr">
        <is>
          <t>Корона Российской Империи, или Снова Неуловимые (1970-1971)</t>
        </is>
      </c>
      <c r="E4127" s="2" t="n">
        <v>1970</v>
      </c>
      <c r="F4127" s="2" t="inlineStr">
        <is>
          <t>кинофильм</t>
        </is>
      </c>
      <c r="G4127" s="2" t="inlineStr">
        <is>
          <t>Мосфильм</t>
        </is>
      </c>
      <c r="H4127" s="2" t="n">
        <v>718</v>
      </c>
      <c r="I4127" s="2" t="inlineStr"/>
      <c r="J4127" s="2" t="inlineStr"/>
      <c r="K4127" s="3" t="inlineStr">
        <is>
          <t>Последняя часть трилогии, вышедшая после "Новых приключений неуловимых", состоит из двух серий.
Окончилась гражданская война, но еще не все враги побеждены. Выросшие и возмужавшие ребята сражаются с бандитами всех мастей, приближая светлое будущее социализма. Им хочется учиться, но старые знакомые возвращаются из эмиграции на Родину, и на уме у них не созидательный труд. Есть в Париже уникальный специалист по краже дворцовых драгоценностей, и ему поручают украсть корону Российской империи для коронации претендента на престол.
В фильме также заняты: Я. Френкель, Людмила Гурченко (шансонетка из ресторана), а сам режиссер сыграл "шустрого брюнета". Тексты песен Сергея Есенина, Роберта Рождественского и Э.Радова.</t>
        </is>
      </c>
      <c r="L4127" s="2" t="inlineStr">
        <is>
          <t>https://www.kino-teatr.ru/kino/movie/sov/3189/annot/</t>
        </is>
      </c>
      <c r="M4127" s="2">
        <f>HYPERLINK("https://ru.wikipedia.org/w/index.php?search=%D0%9A%D0%BE%D1%80%D0%BE%D0%BD%D0%B0%20%D0%A0%D0%BE%D1%81%D1%81%D0%B8%D0%B9%D1%81%D0%BA%D0%BE%D0%B9%20%D0%98%D0%BC%D0%BF%D0%B5%D1%80%D0%B8%D0%B8%2C%20%D0%B8%D0%BB%D0%B8%20%D0%A1%D0%BD%D0%BE%D0%B2%D0%B0%20%D0%9D%D0%B5%D1%83%D0%BB%D0%BE%D0%B2%D0%B8%D0%BC%D1%8B%D0%B5%20%281970-1971%29%201970%20%D1%84%D0%B8%D0%BB%D1%8C%D0%BC","искать")</f>
        <v/>
      </c>
      <c r="N4127" s="3" t="n"/>
      <c r="O4127" s="2" t="n"/>
    </row>
    <row r="4128">
      <c r="A4128" s="2" t="n">
        <v>4127</v>
      </c>
      <c r="B4128" s="2" t="inlineStr"/>
      <c r="C4128" s="2" t="n">
        <v>10603</v>
      </c>
      <c r="D4128" s="3" t="inlineStr">
        <is>
          <t>Гаспароне</t>
        </is>
      </c>
      <c r="E4128" s="2" t="n">
        <v>1975</v>
      </c>
      <c r="F4128" s="2" t="inlineStr">
        <is>
          <t>фильм-спектакль</t>
        </is>
      </c>
      <c r="G4128" s="2" t="n"/>
      <c r="H4128" s="2" t="n">
        <v>722</v>
      </c>
      <c r="I4128" s="2" t="inlineStr"/>
      <c r="J4128" s="2" t="inlineStr"/>
      <c r="K4128" s="3" t="inlineStr">
        <is>
          <t>По оперетте Карла Миллёкера.
В портовый городок приезжает Эрминио, студент из Милана. От своего старого друга Карло, хозяина кабачка, он узнаёт о казнокраде губернаторе, обложившем непомерным налогом рыбаков, о том, что губернатор собирается женить своего непутёвого сынка на богатой вдове, красавице Шарлотте, в которую тайно влюблён Эрминио, и о зловещем морском разбойнике Гаспароне, роль которого предстоит сыграть ... самому Эрминио. Хитроумный Карло распутывает эти коллизии с находчивостью, достойной Фигаро: Карло и рыбаки с помощью Эрминио обводят вокруг пальца губернатора,а Эрминио находит путь к сердцу Шарлотты.
Вокальные партии исполняют:
Ольга Аматова, Кира Шеляховская, Марина Клещева, Д. Демьянов, Белугин</t>
        </is>
      </c>
      <c r="L4128" s="2" t="inlineStr">
        <is>
          <t>https://www.kino-teatr.ru/teatr/movie/85225/annot/</t>
        </is>
      </c>
      <c r="M4128" s="2">
        <f>HYPERLINK("https://ru.wikipedia.org/w/index.php?search=%D0%93%D0%B0%D1%81%D0%BF%D0%B0%D1%80%D0%BE%D0%BD%D0%B5%201975%20%D1%84%D0%B8%D0%BB%D1%8C%D0%BC","искать")</f>
        <v/>
      </c>
      <c r="N4128" s="3" t="n"/>
      <c r="O4128" s="2" t="n"/>
    </row>
    <row r="4129">
      <c r="A4129" s="2" t="n">
        <v>4128</v>
      </c>
      <c r="B4129" s="2" t="inlineStr"/>
      <c r="C4129" s="2" t="n">
        <v>10590</v>
      </c>
      <c r="D4129" s="3" t="inlineStr">
        <is>
          <t>Соло для часов с боем</t>
        </is>
      </c>
      <c r="E4129" s="2" t="n">
        <v>1974</v>
      </c>
      <c r="F4129" s="2" t="inlineStr">
        <is>
          <t>фильм-спектакль</t>
        </is>
      </c>
      <c r="G4129" s="2" t="inlineStr">
        <is>
          <t>ТО "Экран"</t>
        </is>
      </c>
      <c r="H4129" s="2" t="n">
        <v>723</v>
      </c>
      <c r="I4129" s="2" t="inlineStr"/>
      <c r="J4129" s="2" t="inlineStr"/>
      <c r="K4129" s="3" t="inlineStr">
        <is>
          <t>По одноименной пьесе Освальда Заградника.
Молодой человек собирался жениться. Где они будут жить, если не в старом дедушкином доме? Ненужные вещи можно выбросить, а дедушку попросить пожить на кухне или вообще переселить в дом престарелых - ведь там неплохо живут его друзья. Но дедушке этот дом дорог не потому, что здесь живут его вещи, а потому, что сюда приходят эти самые друзья и предаются воспоминаниям. Однажды они должны были прийти, чтобы отметить день рождения пани Конти...
В основе фильма - спектакль МХАТ имени М.Горького, поставленный Олегом Ефремовым специально для "стариков" театра.
Начинал работу над спектаклем известный в будущем театральный режиссер Анатолий Васильев.
Последняя роль Ольги Андровской.</t>
        </is>
      </c>
      <c r="L4129" s="2" t="inlineStr">
        <is>
          <t>https://www.kino-teatr.ru/teatr/movie/6653/annot/</t>
        </is>
      </c>
      <c r="M4129" s="2">
        <f>HYPERLINK("https://ru.wikipedia.org/w/index.php?search=%D0%A1%D0%BE%D0%BB%D0%BE%20%D0%B4%D0%BB%D1%8F%20%D1%87%D0%B0%D1%81%D0%BE%D0%B2%20%D1%81%20%D0%B1%D0%BE%D0%B5%D0%BC%201974%20%D1%84%D0%B8%D0%BB%D1%8C%D0%BC","искать")</f>
        <v/>
      </c>
      <c r="N4129" s="3" t="n"/>
      <c r="O4129" s="2" t="n"/>
    </row>
    <row r="4130">
      <c r="A4130" s="2" t="n">
        <v>4129</v>
      </c>
      <c r="B4130" s="2" t="inlineStr"/>
      <c r="C4130" s="2" t="n">
        <v>10932</v>
      </c>
      <c r="D4130" s="3" t="inlineStr">
        <is>
          <t>Василиса Мелентьева</t>
        </is>
      </c>
      <c r="E4130" s="2" t="n">
        <v>1982</v>
      </c>
      <c r="F4130" s="2" t="inlineStr">
        <is>
          <t>фильм-спектакль</t>
        </is>
      </c>
      <c r="G4130" s="2" t="inlineStr">
        <is>
          <t>Творческое объединение "Экран"</t>
        </is>
      </c>
      <c r="H4130" s="2" t="n">
        <v>724</v>
      </c>
      <c r="I4130" s="2" t="inlineStr"/>
      <c r="J4130" s="2" t="inlineStr"/>
      <c r="K4130" s="3" t="inlineStr">
        <is>
          <t>По произведению А.Н. Островского в постановке Московского драматического театра им. М.Н. Ермоловой.
Действие разворачивается в эпоху Ивана Грозного, при его дворе. Вокруг могущественного русского царя происходят интриги, плетутся козни, руководит всем Малюта Скуратов.
Василиса Мелентьева, молодая вдова, становится орудием в руках Малюты. Разжигаемая и направляемая Скуратовым, она задумывает извести царицу и занять ее место. Но сначала нужно обольстить Ивана Грозного, что ей и удается. Трагический финал этой исторической дворцовой истории ещё раз подтверждает истину — власть должна оставаться властью, не имея право на любовь и слабости, иначе ею можно манипулировать. Иван Грозный отдал свою жизнь на заклание власти.</t>
        </is>
      </c>
      <c r="L4130" s="2" t="inlineStr">
        <is>
          <t>https://www.kino-teatr.ru/teatr/movie/81376/annot/</t>
        </is>
      </c>
      <c r="M4130" s="2">
        <f>HYPERLINK("https://ru.wikipedia.org/w/index.php?search=%D0%92%D0%B0%D1%81%D0%B8%D0%BB%D0%B8%D1%81%D0%B0%20%D0%9C%D0%B5%D0%BB%D0%B5%D0%BD%D1%82%D1%8C%D0%B5%D0%B2%D0%B0%201982%20%D1%84%D0%B8%D0%BB%D1%8C%D0%BC","искать")</f>
        <v/>
      </c>
      <c r="N4130" s="3" t="n"/>
      <c r="O4130" s="2" t="n"/>
    </row>
    <row r="4131">
      <c r="A4131" s="2" t="n">
        <v>4130</v>
      </c>
      <c r="B4131" s="2" t="inlineStr"/>
      <c r="C4131" s="2" t="n">
        <v>11099</v>
      </c>
      <c r="D4131" s="3" t="inlineStr">
        <is>
          <t>Ворон</t>
        </is>
      </c>
      <c r="E4131" s="2" t="n">
        <v>1986</v>
      </c>
      <c r="F4131" s="2" t="inlineStr">
        <is>
          <t>фильм-спектакль</t>
        </is>
      </c>
      <c r="G4131" s="2" t="inlineStr">
        <is>
          <t>Главная редакция программ для детей ЦТ</t>
        </is>
      </c>
      <c r="H4131" s="2" t="n">
        <v>726</v>
      </c>
      <c r="I4131" s="2" t="inlineStr"/>
      <c r="J4131" s="2" t="inlineStr"/>
      <c r="K4131" s="3" t="inlineStr">
        <is>
          <t>По одноименной пьесе-сказке Карло Гоцци в постановке Московского академического театра сатиры.
Как-то раз король Миллон подстрелил черного Ворона, тот упал на мраморную гробницу, обагрив её кровью. В тот же миг перед Миллоном предстал Людоед, которому Ворон был посвящен, и проклял убийцу страшным проклятием: если Миллон не найдет красавицу, которая была бы бела, как мрамор, ала, как воронова кровь, и черна, как крыло убитой птицы, его ждет страшная смерть от тоски и терзаний. С того самого дня король стал на глазах чахнуть, и его брат Дженнаро, движимый любовью и состраданием, отправился на поиски красавицы. После долгих странствий он наконец нашел её.
Но это только начало удивительной сказки, написанной Карло Гоцци.</t>
        </is>
      </c>
      <c r="L4131" s="2" t="inlineStr">
        <is>
          <t>https://www.kino-teatr.ru/teatr/movie/85651/annot/</t>
        </is>
      </c>
      <c r="M4131" s="2">
        <f>HYPERLINK("https://ru.wikipedia.org/w/index.php?search=%D0%92%D0%BE%D1%80%D0%BE%D0%BD%201986%20%D1%84%D0%B8%D0%BB%D1%8C%D0%BC","искать")</f>
        <v/>
      </c>
      <c r="N4131" s="3" t="n"/>
      <c r="O4131" s="2" t="n"/>
    </row>
    <row r="4132">
      <c r="A4132" s="2" t="n">
        <v>4131</v>
      </c>
      <c r="B4132" s="2" t="inlineStr"/>
      <c r="C4132" s="2" t="n">
        <v>11036</v>
      </c>
      <c r="D4132" s="3" t="inlineStr">
        <is>
          <t>Повести Белкина. Метель</t>
        </is>
      </c>
      <c r="E4132" s="2" t="n">
        <v>1984</v>
      </c>
      <c r="F4132" s="2" t="inlineStr">
        <is>
          <t>фильм-спектакль</t>
        </is>
      </c>
      <c r="G4132" s="2" t="inlineStr">
        <is>
          <t>Центральное Телевидение</t>
        </is>
      </c>
      <c r="H4132" s="2" t="n">
        <v>735</v>
      </c>
      <c r="I4132" s="2" t="inlineStr"/>
      <c r="J4132" s="2" t="inlineStr"/>
      <c r="K4132" s="3" t="inlineStr">
        <is>
          <t>Постановка по одноименной повести А. С. Пушкина "Метель".
Роковая случайность — метель, закружившая героев и "подменившая" женихов.
"...А. С. Пушкин верил в решающую роль случая в жизни людей. Он не раз задумывался о том, не является ли человек игрушкой в руках неведомых сил. Метель в повести и есть воплощение таких тайных сил, руководящих нашей жизнью. Они могут жестоко подшутить над человеком, но если довериться им, могут принести счастье и удачу. Герои повести достойно приняли случившееся с ними. И судьба снова пошутила, но по-доброму. Она свела случайных супругов, дала им возможность узнать и полюбить друг друга. Став мужем и женой по невероятному стечению обстоятельств, Марья Гавриловна и Бурмин обрели счастье и любовь".</t>
        </is>
      </c>
      <c r="L4132" s="2" t="inlineStr">
        <is>
          <t>https://www.kino-teatr.ru/teatr/movie/10782/annot/</t>
        </is>
      </c>
      <c r="M4132" s="2">
        <f>HYPERLINK("https://ru.wikipedia.org/w/index.php?search=%D0%9F%D0%BE%D0%B2%D0%B5%D1%81%D1%82%D0%B8%20%D0%91%D0%B5%D0%BB%D0%BA%D0%B8%D0%BD%D0%B0.%20%D0%9C%D0%B5%D1%82%D0%B5%D0%BB%D1%8C%201984%20%D1%84%D0%B8%D0%BB%D1%8C%D0%BC","искать")</f>
        <v/>
      </c>
      <c r="N4132" s="3" t="n"/>
      <c r="O4132" s="2" t="n"/>
    </row>
    <row r="4133">
      <c r="A4133" s="2" t="n">
        <v>4132</v>
      </c>
      <c r="B4133" s="2" t="inlineStr"/>
      <c r="C4133" s="2" t="n">
        <v>10779</v>
      </c>
      <c r="D4133" s="3" t="inlineStr">
        <is>
          <t>Театр Аллы Пугачевой</t>
        </is>
      </c>
      <c r="E4133" s="2" t="n">
        <v>1978</v>
      </c>
      <c r="F4133" s="2" t="inlineStr">
        <is>
          <t>фильм-спектакль</t>
        </is>
      </c>
      <c r="G4133" s="2" t="inlineStr">
        <is>
          <t>Телевидение Эстонской ССР</t>
        </is>
      </c>
      <c r="H4133" s="2" t="n">
        <v>744</v>
      </c>
      <c r="I4133" s="2" t="inlineStr"/>
      <c r="J4133" s="2" t="inlineStr"/>
      <c r="K4133" s="3" t="inlineStr">
        <is>
          <t>Псевдодокументальный фильм-концерт, снятый режиссерами эстонского телевидения не имеет в общем-то определенного сюжета. Его основу составили несколько видеозаписей сольных концертов Аллы Пугачевой в июле 1978 года, сменяющиеся оригинальными студийными съемками. В фильме прозвучали песни "Все силы даже прилагая", "До свидания лето", "Ты возьми меня с собой", "Вот так случилось, мама", "Песенка первоклассника", "Приезжай", "Сонет Шекспира", "Все могут короли", "Песенка про меня", "Женщина, которая поет", которые стали суперхитами своего времени, а некоторые из них также прозвучали в фильме "Женщина, которая поет". В создании видеозаписи песни "Ты возьми меня с собой" впервые советскими дублерами были использованы методы ритм-компьютера.</t>
        </is>
      </c>
      <c r="L4133" s="2" t="inlineStr">
        <is>
          <t>https://www.kino-teatr.ru/teatr/movie/93369/annot/</t>
        </is>
      </c>
      <c r="M4133" s="2">
        <f>HYPERLINK("https://ru.wikipedia.org/w/index.php?search=%D0%A2%D0%B5%D0%B0%D1%82%D1%80%20%D0%90%D0%BB%D0%BB%D1%8B%20%D0%9F%D1%83%D0%B3%D0%B0%D1%87%D0%B5%D0%B2%D0%BE%D0%B9%201978%20%D1%84%D0%B8%D0%BB%D1%8C%D0%BC","искать")</f>
        <v/>
      </c>
      <c r="N4133" s="3" t="n"/>
      <c r="O4133" s="2" t="n"/>
    </row>
    <row r="4134">
      <c r="A4134" s="2" t="n">
        <v>4133</v>
      </c>
      <c r="B4134" s="2" t="inlineStr"/>
      <c r="C4134" s="2" t="n">
        <v>11102</v>
      </c>
      <c r="D4134" s="3" t="inlineStr">
        <is>
          <t>Герцогиня Герольштейнская</t>
        </is>
      </c>
      <c r="E4134" s="2" t="n">
        <v>1986</v>
      </c>
      <c r="F4134" s="2" t="inlineStr">
        <is>
          <t>фильм-спектакль</t>
        </is>
      </c>
      <c r="G4134" s="2" t="inlineStr">
        <is>
          <t>Главная редакция литературно-драматических программ ЦТ</t>
        </is>
      </c>
      <c r="H4134" s="2" t="n">
        <v>744</v>
      </c>
      <c r="I4134" s="2" t="inlineStr"/>
      <c r="J4134" s="2" t="inlineStr"/>
      <c r="K4134" s="3" t="inlineStr">
        <is>
          <t>Дипломный спектакль выпускников Театрального училища им. Б.В. Щукина при театре им. Евг.Вахтангова (руководитель курса - профессор Марианна Рубеновна Тер-Захарова, режиссер-педагог - Александр Ширвиндт).
"Герцогиня Герольштейнская" - это сатирическая оперетта-буфф в трех действиях композитора Жака Оффенбаха.
Премьера оперетты состоялась в парижском театре "Варьете" в 1867 году, во время Всемирной выставки.
В основе сюжета - любовные взаимоотношения между двумя молодыми и бездарными правителями враждующих государств - Великой герцогиней Герольштейнской и принцем Полем.
Несмотря на то, что действие оперетты происходит в вымышленной стране, большинство европейских монархий того времени (не исключая Россию) приняли её сатиру на свой счет.</t>
        </is>
      </c>
      <c r="L4134" s="2" t="inlineStr">
        <is>
          <t>https://www.kino-teatr.ru/teatr/movie/106656/annot/</t>
        </is>
      </c>
      <c r="M4134" s="2">
        <f>HYPERLINK("https://ru.wikipedia.org/w/index.php?search=%D0%93%D0%B5%D1%80%D1%86%D0%BE%D0%B3%D0%B8%D0%BD%D1%8F%20%D0%93%D0%B5%D1%80%D0%BE%D0%BB%D1%8C%D1%88%D1%82%D0%B5%D0%B9%D0%BD%D1%81%D0%BA%D0%B0%D1%8F%201986%20%D1%84%D0%B8%D0%BB%D1%8C%D0%BC","искать")</f>
        <v/>
      </c>
      <c r="N4134" s="3" t="n"/>
      <c r="O4134" s="2" t="n"/>
    </row>
    <row r="4135">
      <c r="A4135" s="2" t="n">
        <v>4134</v>
      </c>
      <c r="B4135" s="2" t="inlineStr"/>
      <c r="C4135" s="2" t="n">
        <v>9070</v>
      </c>
      <c r="D4135" s="3" t="inlineStr">
        <is>
          <t>Степа-капитан</t>
        </is>
      </c>
      <c r="E4135" s="2" t="n">
        <v>1953</v>
      </c>
      <c r="F4135" s="2" t="inlineStr">
        <is>
          <t>кинофильм</t>
        </is>
      </c>
      <c r="G4135" s="2" t="n"/>
      <c r="H4135" s="2" t="n">
        <v>751</v>
      </c>
      <c r="I4135" s="2" t="inlineStr"/>
      <c r="J4135" s="2" t="inlineStr"/>
      <c r="K4135" s="3" t="inlineStr">
        <is>
          <t>Пионер Степа и его друзья живут в колхозном селе на берегу Днепра и сами мечтают стать моряками — изучают основы навигации, помогают деду Панасу ставить бакены на реке, ходят на лодке, которую гордо именуют «крейсером». Но, увлёкшись моряцким делом, Степа получает тройку по географии — а на экскурсию в Киев из класса поедут только отличники. Стёпа уславливается с учителем исправить оценку — как он понял, вечером того же дня. Но на Днепре начинается сильная гроза, бурей в опасном месте срывает бакен. Пока друзья отправляются на лодке предупредить старого бакенщика, Степа под ливнем стоит с зажжённым фонарем: должен пройти большой катер... Помощь приходит вовремя. А наутро пионер сдаёт географию на «пять» и отправляется со всем классом в Киев.</t>
        </is>
      </c>
      <c r="L4135" s="2" t="inlineStr">
        <is>
          <t>Кино_СССР сводный каталог.xlsx: список фильмов (доп.)</t>
        </is>
      </c>
      <c r="M4135" s="2">
        <f>HYPERLINK("https://ru.wikipedia.org/w/index.php?search=%D0%A1%D1%82%D0%B5%D0%BF%D0%B0-%D0%BA%D0%B0%D0%BF%D0%B8%D1%82%D0%B0%D0%BD%201953%20%D1%84%D0%B8%D0%BB%D1%8C%D0%BC","искать")</f>
        <v/>
      </c>
      <c r="N4135" s="3" t="n"/>
      <c r="O4135" s="2" t="n"/>
    </row>
    <row r="4136">
      <c r="A4136" s="2" t="n">
        <v>4135</v>
      </c>
      <c r="B4136" s="2" t="inlineStr"/>
      <c r="C4136" s="2" t="n">
        <v>11337</v>
      </c>
      <c r="D4136" s="3" t="inlineStr">
        <is>
          <t>Демократия!</t>
        </is>
      </c>
      <c r="E4136" s="2" t="n">
        <v>1991</v>
      </c>
      <c r="F4136" s="2" t="inlineStr">
        <is>
          <t>фильм-спектакль</t>
        </is>
      </c>
      <c r="G4136" s="2" t="inlineStr">
        <is>
          <t>Главная редакция литературно-художественных программ ЦТ</t>
        </is>
      </c>
      <c r="H4136" s="2" t="n">
        <v>757</v>
      </c>
      <c r="I4136" s="2" t="inlineStr"/>
      <c r="J4136" s="2" t="inlineStr"/>
      <c r="K4136" s="3" t="inlineStr">
        <is>
          <t>По одноименной пьесе Иосифа Бродского в постановке Латвийского Молодежного театра.
В спектакле нет организующих собственно драматическое действие биографий, нет героев с интересными судьбами, персонажи не делятся на героев первого и второго плана: все пространство здесь занимает групповой портрет первых лиц небольшого социалистического государства в шести часах езды от Чехословакии или Венгрии. Они, привыкшие ориентироваться во всем на волю центра, вышестоящие фигуры и структуры, не могут взять в толк, что означает телефонный звонок из Москвы, известивший об объявлении демократии. Они, только что спокойно, со вкусом обедавшие, уточнявшие, откуда, из каких мест социалистического содружества рябчики, икра, арбузы, оказываются в полной растерянности.</t>
        </is>
      </c>
      <c r="L4136" s="2" t="inlineStr">
        <is>
          <t>https://www.kino-teatr.ru/teatr/movie/113979/annot/</t>
        </is>
      </c>
      <c r="M4136" s="2">
        <f>HYPERLINK("https://ru.wikipedia.org/w/index.php?search=%D0%94%D0%B5%D0%BC%D0%BE%D0%BA%D1%80%D0%B0%D1%82%D0%B8%D1%8F%21%201991%20%D1%84%D0%B8%D0%BB%D1%8C%D0%BC","искать")</f>
        <v/>
      </c>
      <c r="N4136" s="3" t="n"/>
      <c r="O4136" s="2" t="n"/>
    </row>
    <row r="4137">
      <c r="A4137" s="2" t="n">
        <v>4136</v>
      </c>
      <c r="B4137" s="2" t="inlineStr"/>
      <c r="C4137" s="2" t="n">
        <v>10588</v>
      </c>
      <c r="D4137" s="3" t="inlineStr">
        <is>
          <t>Свадьба как свадьба</t>
        </is>
      </c>
      <c r="E4137" s="2" t="n">
        <v>1974</v>
      </c>
      <c r="F4137" s="2" t="inlineStr">
        <is>
          <t>фильм-спектакль</t>
        </is>
      </c>
      <c r="G4137" s="2" t="n"/>
      <c r="H4137" s="2" t="n">
        <v>760</v>
      </c>
      <c r="I4137" s="2" t="inlineStr"/>
      <c r="J4137" s="2" t="inlineStr"/>
      <c r="K4137" s="3" t="inlineStr">
        <is>
          <t>По одноименной пьесе Веры Пановой.
Все происходит во время свадьбы. Персонажи спектакля, глядя на счастливые лица молодых, вспоминают свою любовь и свои свадьбы.
Действие постепенно развертывается в трех уровнях, в трех разных временах, охватывая молодость и бытие трех поколений, вместе с которыми прошла и собственная жизнь автора.
Как это свойственно драматургии Пановой, важнейшее для ее замысла лицо появляется среди других персонажей невзначай. Так приходит на свадьбу Жениха и Невесты незнакомый им Завсегдатай ресторана. И это обстоятельство многое меняет в отношениях действующих лиц. Рассказ Завсегдатая о своей профессии (он пишет репризы для цирка) это не только знакомство с новым действующим лицом, это и завязка новой темы, темы еще одной любви.</t>
        </is>
      </c>
      <c r="L4137" s="2" t="inlineStr">
        <is>
          <t>https://www.kino-teatr.ru/teatr/movie/82752/annot/</t>
        </is>
      </c>
      <c r="M4137" s="2">
        <f>HYPERLINK("https://ru.wikipedia.org/w/index.php?search=%D0%A1%D0%B2%D0%B0%D0%B4%D1%8C%D0%B1%D0%B0%20%D0%BA%D0%B0%D0%BA%20%D1%81%D0%B2%D0%B0%D0%B4%D1%8C%D0%B1%D0%B0%201974%20%D1%84%D0%B8%D0%BB%D1%8C%D0%BC","искать")</f>
        <v/>
      </c>
      <c r="N4137" s="3" t="n"/>
      <c r="O4137" s="2" t="n"/>
    </row>
    <row r="4138">
      <c r="A4138" s="2" t="n">
        <v>4137</v>
      </c>
      <c r="B4138" s="2" t="inlineStr"/>
      <c r="C4138" s="2" t="n">
        <v>11328</v>
      </c>
      <c r="D4138" s="3" t="inlineStr">
        <is>
          <t>Уроки музыки</t>
        </is>
      </c>
      <c r="E4138" s="2" t="n">
        <v>1990</v>
      </c>
      <c r="F4138" s="2" t="inlineStr">
        <is>
          <t>фильм-спектакль</t>
        </is>
      </c>
      <c r="G4138" s="2" t="inlineStr">
        <is>
          <t>Главная редакция литературно-художественных программ ЦТ</t>
        </is>
      </c>
      <c r="H4138" s="2" t="n">
        <v>761</v>
      </c>
      <c r="I4138" s="2" t="inlineStr"/>
      <c r="J4138" s="2" t="inlineStr"/>
      <c r="K4138" s="3" t="inlineStr">
        <is>
          <t>По одноименной пьесе Людмилы Петрушевской в постановке Московского академического театра имени Вл. Маяковского.
Живут по соседству два семейства. Одно, Козловых, благополучное, с коврами и хрусталем, другое, Гавриловых, нищее, с неким Ивановым, вернувшимся из тюрьмы, пьяницей и буяном.
Семья зажиточных Козловых встречает из армии единственного сына Николая. Радость от его возвращения омрачается появлением его девушки Нади, которая работает маляром и живёт в общежитии. Козловы уверены, что Надя претендует на их жилплощадь. К тому же она ведет себя независимо, остается в комнате Николая на ночь. Чтобы отвадить Надю, семья предпримет огромные усилия, пойдет на обман, разрушит жизнь нескольких людей. И потянется жизнь – монотонная, скучная, немузыкальная.</t>
        </is>
      </c>
      <c r="L4138" s="2" t="inlineStr">
        <is>
          <t>https://www.kino-teatr.ru/teatr/movie/7477/annot/</t>
        </is>
      </c>
      <c r="M4138" s="2">
        <f>HYPERLINK("https://ru.wikipedia.org/w/index.php?search=%D0%A3%D1%80%D0%BE%D0%BA%D0%B8%20%D0%BC%D1%83%D0%B7%D1%8B%D0%BA%D0%B8%201990%20%D1%84%D0%B8%D0%BB%D1%8C%D0%BC","искать")</f>
        <v/>
      </c>
      <c r="N4138" s="3" t="n"/>
      <c r="O4138" s="2" t="n"/>
    </row>
    <row r="4139">
      <c r="A4139" s="2" t="n">
        <v>4138</v>
      </c>
      <c r="B4139" s="2" t="inlineStr"/>
      <c r="C4139" s="2" t="n">
        <v>11350</v>
      </c>
      <c r="D4139" s="3" t="inlineStr">
        <is>
          <t>Убийство Гонзаго</t>
        </is>
      </c>
      <c r="E4139" s="2" t="n">
        <v>1991</v>
      </c>
      <c r="F4139" s="2" t="inlineStr">
        <is>
          <t>фильм-спектакль</t>
        </is>
      </c>
      <c r="G4139" s="2" t="n"/>
      <c r="H4139" s="2" t="n">
        <v>761</v>
      </c>
      <c r="I4139" s="2" t="inlineStr"/>
      <c r="J4139" s="2" t="inlineStr"/>
      <c r="K4139" s="3" t="inlineStr">
        <is>
          <t>Спектакль Малого театра и новосибирского театра "Глобус"по пьесе Н. Йорданова.
Известно, что Шекспир не придумал сюжет "Гамлета", а заимствовал его из старинных легенд. Драматурги следующих поколений пользовались уже не легендами, а пьесой Шекспира. Вот и болгарский драматург Н.Иорданов сочинил по Шекспировским мотивам пьесу "Убийство Гонзаго". Действие в ней происходит в Эльсиноре, в числе персонажей - Полоний, Офелия, Горацио. Но главные действующие лица не они, а труппа актёров бродячего театра. Полоний приглашает их в Эльсинор, для того, чтобы они сыграли спектакль и развлекли Гамлета, который не то тяжело грустит, не то легко помешался. "Убийство Гонзаго" - та самая пьеса, которую по просьбе принца датского Гамлета разыграют они в замке Эльсинор.</t>
        </is>
      </c>
      <c r="L4139" s="2" t="inlineStr">
        <is>
          <t>https://www.kino-teatr.ru/teatr/movie/82110/annot/</t>
        </is>
      </c>
      <c r="M4139" s="2">
        <f>HYPERLINK("https://ru.wikipedia.org/w/index.php?search=%D0%A3%D0%B1%D0%B8%D0%B9%D1%81%D1%82%D0%B2%D0%BE%20%D0%93%D0%BE%D0%BD%D0%B7%D0%B0%D0%B3%D0%BE%201991%20%D1%84%D0%B8%D0%BB%D1%8C%D0%BC","искать")</f>
        <v/>
      </c>
      <c r="N4139" s="3" t="n"/>
      <c r="O4139" s="2" t="n"/>
    </row>
    <row r="4140">
      <c r="A4140" s="2" t="n">
        <v>4139</v>
      </c>
      <c r="B4140" s="2" t="inlineStr"/>
      <c r="C4140" s="2" t="n">
        <v>11267</v>
      </c>
      <c r="D4140" s="3" t="inlineStr">
        <is>
          <t>Мещанская свадьба</t>
        </is>
      </c>
      <c r="E4140" s="2" t="n">
        <v>1989</v>
      </c>
      <c r="F4140" s="2" t="inlineStr">
        <is>
          <t>фильм-спектакль</t>
        </is>
      </c>
      <c r="G4140" s="2" t="n"/>
      <c r="H4140" s="2" t="n">
        <v>764</v>
      </c>
      <c r="I4140" s="2" t="inlineStr"/>
      <c r="J4140" s="2" t="inlineStr"/>
      <c r="K4140" s="3" t="inlineStr">
        <is>
          <t>Спектакль остается хитом репертуара театра "Ильхом" с 1979 года. Удачно найденная форма «семейного портрета в стиле ретро» оказалась универсальной, близкой зрителям. «Свадьба» в равной степени интересна и молодежи и старшему поколению, удовлетворяя любопытство одних и пробуждая ностальгические воспоминания других.
Обставив эту серьезную игру ловко развивающимся, смешным аттракционом со стульями, которые, по пьесе, проламываются под гостями, М. Вайль не забывает в полтора часа сценического времени проследить, как люди, которые минуту назад мирно переговаривались и пили за здоровье молодых, которые, казалось, любили друг друга, на глазах превращаются в злобных зверей, со скотскими рожами и ужимками. Начинается скандал, напоминая визг выпрямившейся пружины.</t>
        </is>
      </c>
      <c r="L4140" s="2" t="inlineStr">
        <is>
          <t>https://www.kino-teatr.ru/teatr/movie/120205/annot/</t>
        </is>
      </c>
      <c r="M4140" s="2">
        <f>HYPERLINK("https://ru.wikipedia.org/w/index.php?search=%D0%9C%D0%B5%D1%89%D0%B0%D0%BD%D1%81%D0%BA%D0%B0%D1%8F%20%D1%81%D0%B2%D0%B0%D0%B4%D1%8C%D0%B1%D0%B0%201989%20%D1%84%D0%B8%D0%BB%D1%8C%D0%BC","искать")</f>
        <v/>
      </c>
      <c r="N4140" s="3" t="n"/>
      <c r="O4140" s="2" t="n"/>
    </row>
    <row r="4141">
      <c r="A4141" s="2" t="n">
        <v>4140</v>
      </c>
      <c r="B4141" s="2" t="inlineStr"/>
      <c r="C4141" s="2" t="n">
        <v>10648</v>
      </c>
      <c r="D4141" s="3" t="inlineStr">
        <is>
          <t>Как важно быть серьёзным</t>
        </is>
      </c>
      <c r="E4141" s="2" t="n">
        <v>1976</v>
      </c>
      <c r="F4141" s="2" t="inlineStr">
        <is>
          <t>фильм-спектакль</t>
        </is>
      </c>
      <c r="G4141" s="2" t="inlineStr">
        <is>
          <t>Главная редакция литературно-драматических программ ЦТ</t>
        </is>
      </c>
      <c r="H4141" s="2" t="n">
        <v>773</v>
      </c>
      <c r="I4141" s="2" t="inlineStr"/>
      <c r="J4141" s="2" t="inlineStr"/>
      <c r="K4141" s="3" t="inlineStr">
        <is>
          <t>Комедия нравов, телеспектакль.
У пьесы О. Уайльда "Как важно быть серьезным", созданной в 1895 году, счастливая театральная и экранная судьба.
Две молодые девушки мечтают о женихе - серьезном, положительном и обязательно по имени Эрнест.
Два друга, два настоящих джентльмена влюблены и немного легкомысленны. Им виртуозно удается никогда не говорить правду своим возлюбленным. В свою очередь их избранницы непреклонны в своем решении выйти замуж только за серьезного человека, носящего имя Эрнест.
События развиваются стремительно, и новая ложь рождает следующую цепочку недоразумений. Кажется, что уже никогда не вырваться из этого нелепого круга. Но истинное чувство ставит все на свои места и заставляет усомниться в том, так ли "важно быть серьезным", когда ты влюблен?</t>
        </is>
      </c>
      <c r="L4141" s="2" t="inlineStr">
        <is>
          <t>https://www.kino-teatr.ru/teatr/movie/2850/annot/</t>
        </is>
      </c>
      <c r="M4141" s="2">
        <f>HYPERLINK("https://ru.wikipedia.org/w/index.php?search=%D0%9A%D0%B0%D0%BA%20%D0%B2%D0%B0%D0%B6%D0%BD%D0%BE%20%D0%B1%D1%8B%D1%82%D1%8C%20%D1%81%D0%B5%D1%80%D1%8C%D1%91%D0%B7%D0%BD%D1%8B%D0%BC%201976%20%D1%84%D0%B8%D0%BB%D1%8C%D0%BC","искать")</f>
        <v/>
      </c>
      <c r="N4141" s="3" t="n"/>
      <c r="O4141" s="2" t="n"/>
    </row>
    <row r="4142">
      <c r="A4142" s="2" t="n">
        <v>4141</v>
      </c>
      <c r="B4142" s="2" t="inlineStr"/>
      <c r="C4142" s="2" t="n">
        <v>10960</v>
      </c>
      <c r="D4142" s="3" t="inlineStr">
        <is>
          <t>Продавец птиц</t>
        </is>
      </c>
      <c r="E4142" s="2" t="n">
        <v>1982</v>
      </c>
      <c r="F4142" s="2" t="inlineStr">
        <is>
          <t>фильм-спектакль</t>
        </is>
      </c>
      <c r="G4142" s="2" t="inlineStr">
        <is>
          <t>Лентелефильм</t>
        </is>
      </c>
      <c r="H4142" s="2" t="n">
        <v>773</v>
      </c>
      <c r="I4142" s="2" t="inlineStr"/>
      <c r="J4142" s="2" t="inlineStr"/>
      <c r="K4142" s="3" t="inlineStr">
        <is>
          <t>Музыкальный телеспектакль по одноименной оперетте Карла Целлера.
Исполнение песен: В. Васильева, Л. Ермакова, Л. Федотова, Константин Плужников, Игорь Соркин.
Эстрадно-Симфонический оркестр Ленинградского Комитета по телевидению и радиовещанию.
Музыкальный руководитель и дирижер: С. Горковенко.
В оперетте главное – музыка. Сюжету полагается быть легким и незамысловатым. Здесь есть и графиня, мечтающая о мыловаренном заводе и пытающаяся обманом заставить работать у нее местных птицеловов; баронесса-вдова, мечтающая выйти замуж; и промотавшийся управляющий с племянником, грезящие о богатстве. И, конечно, влюбленная парочка – веселый и ловкий птицелов со своей невестой. Ни за что бы не разобраться в хитросплетениях сюжета, если бы не остроумный комментарий ведущего.</t>
        </is>
      </c>
      <c r="L4142" s="2" t="inlineStr">
        <is>
          <t>https://www.kino-teatr.ru/teatr/movie/5738/annot/</t>
        </is>
      </c>
      <c r="M4142" s="2">
        <f>HYPERLINK("https://ru.wikipedia.org/w/index.php?search=%D0%9F%D1%80%D0%BE%D0%B4%D0%B0%D0%B2%D0%B5%D1%86%20%D0%BF%D1%82%D0%B8%D1%86%201982%20%D1%84%D0%B8%D0%BB%D1%8C%D0%BC","искать")</f>
        <v/>
      </c>
      <c r="N4142" s="3" t="n"/>
      <c r="O4142" s="2" t="n"/>
    </row>
    <row r="4143">
      <c r="A4143" s="2" t="n">
        <v>4142</v>
      </c>
      <c r="B4143" s="2" t="inlineStr"/>
      <c r="C4143" s="2" t="n">
        <v>11274</v>
      </c>
      <c r="D4143" s="3" t="inlineStr">
        <is>
          <t>Последний пылкий влюблённый</t>
        </is>
      </c>
      <c r="E4143" s="2" t="n">
        <v>1989</v>
      </c>
      <c r="F4143" s="2" t="inlineStr">
        <is>
          <t>фильм-спектакль</t>
        </is>
      </c>
      <c r="G4143" s="2" t="inlineStr">
        <is>
          <t>ВПТО "Видеофильм"</t>
        </is>
      </c>
      <c r="H4143" s="2" t="n">
        <v>773</v>
      </c>
      <c r="I4143" s="2" t="inlineStr"/>
      <c r="J4143" s="2" t="inlineStr"/>
      <c r="K4143" s="3" t="inlineStr">
        <is>
          <t>Телеверсия одного из лучших спектаклей БДТ по пьесе Нила Саймона "Последний пылкий влюбленный".
События происходят в Нью-Йорке в квартире мамаши владельца рыбного ресторана Барни Кэшмена. Мужчине уже за 40. В один прекрасный день он задумывается о том, что прожил серую, скучную жизнь: ни разу не изменял жене, не подрался и не ввязался ни в какую авантюру. Барни решает внести в свое размеренное существование немного разнообразия. Он начинает знакомиться с женщинами. Сначала это была властная, ироничная итальянка Элейн Мацони. Вторая попытка - молодая девушка Бобби Митчел, приехавшая из другого города. И, наконец, жена лучшего друга Барини Женет Фишер. Именно она помогает понять Барни, что он не самый несчастный человек. Все три женские роли играет Алиса Фрейндлих.</t>
        </is>
      </c>
      <c r="L4143" s="2" t="inlineStr">
        <is>
          <t>https://www.kino-teatr.ru/teatr/movie/82979/annot/</t>
        </is>
      </c>
      <c r="M4143" s="2">
        <f>HYPERLINK("https://ru.wikipedia.org/w/index.php?search=%D0%9F%D0%BE%D1%81%D0%BB%D0%B5%D0%B4%D0%BD%D0%B8%D0%B9%20%D0%BF%D1%8B%D0%BB%D0%BA%D0%B8%D0%B9%20%D0%B2%D0%BB%D1%8E%D0%B1%D0%BB%D1%91%D0%BD%D0%BD%D1%8B%D0%B9%201989%20%D1%84%D0%B8%D0%BB%D1%8C%D0%BC","искать")</f>
        <v/>
      </c>
      <c r="N4143" s="3" t="n"/>
      <c r="O4143" s="2" t="n"/>
    </row>
    <row r="4144">
      <c r="A4144" s="2" t="n">
        <v>4143</v>
      </c>
      <c r="B4144" s="2" t="inlineStr"/>
      <c r="C4144" s="2" t="n">
        <v>10128</v>
      </c>
      <c r="D4144" s="3" t="inlineStr">
        <is>
          <t>Соберите Венеру</t>
        </is>
      </c>
      <c r="E4144" s="2" t="n">
        <v>1964</v>
      </c>
      <c r="F4144" s="2" t="inlineStr">
        <is>
          <t>фильм-спектакль</t>
        </is>
      </c>
      <c r="G4144" s="2" t="inlineStr">
        <is>
          <t>Центральное телевидение</t>
        </is>
      </c>
      <c r="H4144" s="2" t="n">
        <v>774</v>
      </c>
      <c r="I4144" s="2" t="inlineStr"/>
      <c r="J4144" s="2" t="inlineStr"/>
      <c r="K4144" s="3" t="inlineStr">
        <is>
          <t>Концертные номера с участием Николая Ольховикова и Раисы Калачевой, танцовщицы Жульнар Мамаевой, акробатов Золотовых, Юлии Романенко и Альвиана Гайдарова, Людмилы Зыкиной, Майи Плисецкой, оркестра электромузыкальных инструментов ЦТ и ВР п/у В. Мещерина, Галины Улановой, болгарской певицы Марии Косевой и ансамбля "Радуга", артистов балета Ленинградского государственного академического театра оперы и балета им. С. М. Кирова, ансамбля танца Игоря Моисеева и ансамбля танца им. Павла Вирского Украинской ССР и певицы Э. Багировой объединены сюжетом знаменитой клоунады Михаила Румянцева «Случай в парке». На арене с этим номером он выступал более 25 лет. В фильме «случай» имеет место в фойе кинотеатра, где Карандаш-киномеханик пытается собрать развалившуюся статую Венеры.</t>
        </is>
      </c>
      <c r="L4144" s="2" t="inlineStr">
        <is>
          <t>https://www.kino-teatr.ru/teatr/movie/83163/annot/</t>
        </is>
      </c>
      <c r="M4144" s="2">
        <f>HYPERLINK("https://ru.wikipedia.org/w/index.php?search=%D0%A1%D0%BE%D0%B1%D0%B5%D1%80%D0%B8%D1%82%D0%B5%20%D0%92%D0%B5%D0%BD%D0%B5%D1%80%D1%83%201964%20%D1%84%D0%B8%D0%BB%D1%8C%D0%BC","искать")</f>
        <v/>
      </c>
      <c r="N4144" s="3" t="n"/>
      <c r="O4144" s="2" t="n"/>
    </row>
    <row r="4145">
      <c r="A4145" s="2" t="n">
        <v>4144</v>
      </c>
      <c r="B4145" s="2" t="inlineStr"/>
      <c r="C4145" s="2" t="n">
        <v>10535</v>
      </c>
      <c r="D4145" s="3" t="inlineStr">
        <is>
          <t>Человек и джентльмен</t>
        </is>
      </c>
      <c r="E4145" s="2" t="n">
        <v>1973</v>
      </c>
      <c r="F4145" s="2" t="inlineStr">
        <is>
          <t>фильм-спектакль</t>
        </is>
      </c>
      <c r="G4145" s="2" t="n"/>
      <c r="H4145" s="2" t="n">
        <v>796</v>
      </c>
      <c r="I4145" s="2" t="inlineStr"/>
      <c r="J4145" s="2" t="inlineStr"/>
      <c r="K4145" s="3" t="inlineStr">
        <is>
          <t>По пьесе Эдуардо Де Филиппо в постановке театра им. Ленсовета.
В итальянский городок приезжает труппа бродячих артистов. Они жарят кильку в гостиничных номерах, носят сало в карманах и постоянно попадают в нелепые ситуации. Богатая публика придирчива и актеров ждет провал. А у их благодетеля – свои беды. У его возлюбленной обнаруживается ревнивый муж, и приходится ему притворяться сумасшедшим. Во всех розыгрышах и обманах ему помогают друзья-актеры. Вокруг бурлит жизнь и не менее комичные персонажи сходят с ума в прямом и переносном смысле. Сюжет завязывается в гостинице, интрига развивается во владениях графа, а кульминация приходится уже… на полицейский участок.
Нелепые ситуации, наполеоновские планы, коварные жены и самоотверженные любовники. Объективная реальность на грани абсурда.</t>
        </is>
      </c>
      <c r="L4145" s="2" t="inlineStr">
        <is>
          <t>https://www.kino-teatr.ru/teatr/movie/78847/annot/</t>
        </is>
      </c>
      <c r="M4145" s="2">
        <f>HYPERLINK("https://ru.wikipedia.org/w/index.php?search=%D0%A7%D0%B5%D0%BB%D0%BE%D0%B2%D0%B5%D0%BA%20%D0%B8%20%D0%B4%D0%B6%D0%B5%D0%BD%D1%82%D0%BB%D1%8C%D0%BC%D0%B5%D0%BD%201973%20%D1%84%D0%B8%D0%BB%D1%8C%D0%BC","искать")</f>
        <v/>
      </c>
      <c r="N4145" s="3" t="n"/>
      <c r="O4145" s="2" t="n"/>
    </row>
    <row r="4146">
      <c r="A4146" s="2" t="n">
        <v>4145</v>
      </c>
      <c r="B4146" s="2" t="inlineStr"/>
      <c r="C4146" s="2" t="n">
        <v>10978</v>
      </c>
      <c r="D4146" s="3" t="inlineStr">
        <is>
          <t>Басни Крылова и шуточные песни</t>
        </is>
      </c>
      <c r="E4146" s="2" t="n">
        <v>1983</v>
      </c>
      <c r="F4146" s="2" t="inlineStr">
        <is>
          <t>фильм-спектакль</t>
        </is>
      </c>
      <c r="G4146" s="2" t="n"/>
      <c r="H4146" s="2" t="n">
        <v>802</v>
      </c>
      <c r="I4146" s="2" t="inlineStr"/>
      <c r="J4146" s="2" t="inlineStr"/>
      <c r="K4146" s="3" t="inlineStr">
        <is>
          <t>Алексей Покровский исполняет басни Ивана Крылова и шуточные русские народные песни.
Музыкальные интермедии в исполнении инструментального ансамбля п/р А.Цадиковского.
В фильме использованы иллюстрации к басням художника В.Овечкина.
В программе:
1. Пруд и река
2. Откупщик и Сапожник
3. Песня Бобыля (русская народная песня)
4. Скупой
5. Филин и Осёл
6. Как приехали два брата (русская народная песня)
7. Пустынник и медведь
8. Стрекоза и Муравей
9. Ах вы, сени, мои сени (русская народная песня)
10. Разборчивая невеста
11. Во кузнице (русская народная песня)
12. Троеженец
13. Вдоль по речке (русская народная песня)
14. Кот и повар
15. Свинья под дубом
16. Муравей
17. Было у тещи (русская народная песня)
18. Демьянова уха
19. Крестьянин и собака
20. У меня квашня (русская народная песня)
21. Цветы</t>
        </is>
      </c>
      <c r="L4146" s="2" t="inlineStr">
        <is>
          <t>https://www.kino-teatr.ru/teatr/movie/101989/annot/</t>
        </is>
      </c>
      <c r="M4146" s="2">
        <f>HYPERLINK("https://ru.wikipedia.org/w/index.php?search=%D0%91%D0%B0%D1%81%D0%BD%D0%B8%20%D0%9A%D1%80%D1%8B%D0%BB%D0%BE%D0%B2%D0%B0%20%D0%B8%20%D1%88%D1%83%D1%82%D0%BE%D1%87%D0%BD%D1%8B%D0%B5%20%D0%BF%D0%B5%D1%81%D0%BD%D0%B8%201983%20%D1%84%D0%B8%D0%BB%D1%8C%D0%BC","искать")</f>
        <v/>
      </c>
      <c r="N4146" s="3" t="n"/>
      <c r="O4146" s="2" t="n"/>
    </row>
    <row r="4147">
      <c r="A4147" s="2" t="n">
        <v>4146</v>
      </c>
      <c r="B4147" s="2" t="inlineStr"/>
      <c r="C4147" s="2" t="n">
        <v>10520</v>
      </c>
      <c r="D4147" s="3" t="inlineStr">
        <is>
          <t>Сказка о четырёх близнецах</t>
        </is>
      </c>
      <c r="E4147" s="2" t="n">
        <v>1973</v>
      </c>
      <c r="F4147" s="2" t="inlineStr">
        <is>
          <t>фильм-спектакль</t>
        </is>
      </c>
      <c r="G4147" s="2" t="inlineStr">
        <is>
          <t>Главная редакция программ для детей и юношества ЦТ</t>
        </is>
      </c>
      <c r="H4147" s="2" t="n">
        <v>803</v>
      </c>
      <c r="I4147" s="2" t="inlineStr"/>
      <c r="J4147" s="2" t="inlineStr"/>
      <c r="K4147" s="3" t="inlineStr">
        <is>
          <t>Телеверсия спектакля Московского Центрального Детского театра по мотивам пьесы болгарского писателя Панчо Панчева.
Четыре близнеца влюблены в одну девушку. Кого она выберет? Но когда героиня спектакля, юная Бонка, в которую с детских лет влюблены четыре брата-близнеца, оказывается перед подобным выбором, она понимает, что на этот вопрос жизнь дает иной ответ. «Не может сын дяди Петра разбойником стать!»— восклицает отец четырех близнецов. И ошибается. Взрослеют близнецы и разбегаются их пути-дороги. Им кажется, что они стали настоящими людьми, хозяевами жизни. Каждый выбирает свое, кто-то предпочитает красивую, сытую жизнь на Востоке, кто-то добывает себе злато-серебро хитростью и обманом, а кто-то—грабежом. А в итоге оказывается, что счастлив только один из них—оставшийся верным своей любви.</t>
        </is>
      </c>
      <c r="L4147" s="2" t="inlineStr">
        <is>
          <t>https://www.kino-teatr.ru/teatr/movie/79279/annot/</t>
        </is>
      </c>
      <c r="M4147" s="2">
        <f>HYPERLINK("https://ru.wikipedia.org/w/index.php?search=%D0%A1%D0%BA%D0%B0%D0%B7%D0%BA%D0%B0%20%D0%BE%20%D1%87%D0%B5%D1%82%D1%8B%D1%80%D1%91%D1%85%20%D0%B1%D0%BB%D0%B8%D0%B7%D0%BD%D0%B5%D1%86%D0%B0%D1%85%201973%20%D1%84%D0%B8%D0%BB%D1%8C%D0%BC","искать")</f>
        <v/>
      </c>
      <c r="N4147" s="3" t="n"/>
      <c r="O4147" s="2" t="n"/>
    </row>
    <row r="4148">
      <c r="A4148" s="2" t="n">
        <v>4147</v>
      </c>
      <c r="B4148" s="2" t="inlineStr"/>
      <c r="C4148" s="2" t="n">
        <v>10887</v>
      </c>
      <c r="D4148" s="3" t="inlineStr">
        <is>
          <t>Кошкин дом</t>
        </is>
      </c>
      <c r="E4148" s="2" t="n">
        <v>1981</v>
      </c>
      <c r="F4148" s="2" t="inlineStr">
        <is>
          <t>фильм-спектакль</t>
        </is>
      </c>
      <c r="G4148" s="2" t="inlineStr">
        <is>
          <t>Творческое объединение "Экран"</t>
        </is>
      </c>
      <c r="H4148" s="2" t="n">
        <v>803</v>
      </c>
      <c r="I4148" s="2" t="inlineStr"/>
      <c r="J4148" s="2" t="inlineStr"/>
      <c r="K4148" s="3" t="inlineStr">
        <is>
          <t>По одноименной пьесе-сказке Самуила Маршака в постановке Государственного центрального детского театра (Российского академического молодёжного театра).
Жила-была Кошка. Она очень гордилась своим домом, хвасталась им, особенно когда к ней приходили гости: Коза, Козёл, Курица, Петух, Свинья. А рядом жили бездомные котята - родные племянники Кошки. Когда голодные они приходили к своей тёте, она гнала их прочь. Однажды ночью случился пожар и красивый Кошкин дом сгорел. Кошка и Кот Василий стали просить убежища у своих друзей, но везде получили отказ и лишь бедные Котята пожалели их. И тогда Кошка поняла, кто истинный друг. Кошка, Кот Василий и Котята стали строить новый общий дом. Он стал лучше старого. Все вместе они радовались, справляя новоселье. Как хорошо, когда у тебя есть настоящие друзья!</t>
        </is>
      </c>
      <c r="L4148" s="2" t="inlineStr">
        <is>
          <t>https://www.kino-teatr.ru/teatr/movie/79907/annot/</t>
        </is>
      </c>
      <c r="M4148" s="2">
        <f>HYPERLINK("https://ru.wikipedia.org/w/index.php?search=%D0%9A%D0%BE%D1%88%D0%BA%D0%B8%D0%BD%20%D0%B4%D0%BE%D0%BC%201981%20%D1%84%D0%B8%D0%BB%D1%8C%D0%BC","искать")</f>
        <v/>
      </c>
      <c r="N4148" s="3" t="n"/>
      <c r="O4148" s="2" t="n"/>
    </row>
    <row r="4149">
      <c r="A4149" s="2" t="n">
        <v>4148</v>
      </c>
      <c r="B4149" s="2" t="inlineStr"/>
      <c r="C4149" s="2" t="n">
        <v>10628</v>
      </c>
      <c r="D4149" s="3" t="inlineStr">
        <is>
          <t>Странная миссис Сэвидж</t>
        </is>
      </c>
      <c r="E4149" s="2" t="n">
        <v>1975</v>
      </c>
      <c r="F4149" s="2" t="inlineStr">
        <is>
          <t>фильм-спектакль</t>
        </is>
      </c>
      <c r="G4149" s="2" t="n"/>
      <c r="H4149" s="2" t="n">
        <v>806</v>
      </c>
      <c r="I4149" s="2" t="inlineStr"/>
      <c r="J4149" s="2" t="inlineStr"/>
      <c r="K4149" s="3" t="inlineStr">
        <is>
          <t>Фильм-спектакль по одноименной пьесе Дж.Патрика в постановке Государственного академического театра имени Моссовета.
Обладательница десятимиллионного состояния, пожилая дама миссис Сэвидж попадает в лечебницу для душевнобольных, которая находится в маленьком городе, в штате Массачусетс. В «Тихую обитель», так называется это учреждение, ее поместили приемные дети. Эти высокопоставленные обеспеченные люди не могут пережить того, что их мачеха безрассудно тратит деньги на благотворительные нужды, да еще собирается учредить «Фонд Счастья», чтобы помогать людям осуществлять их заветные желания. Надеясь на помощь врачей и персонала лечебницы они хотят отнять у мачехи ценные бумаги, которые она спрятала неизвестно где, но проявляют при этом гораздо меньше здравого смысла, чем пациенты «Тихой обители»..</t>
        </is>
      </c>
      <c r="L4149" s="2" t="inlineStr">
        <is>
          <t>https://www.kino-teatr.ru/teatr/movie/15397/annot/</t>
        </is>
      </c>
      <c r="M4149" s="2">
        <f>HYPERLINK("https://ru.wikipedia.org/w/index.php?search=%D0%A1%D1%82%D1%80%D0%B0%D0%BD%D0%BD%D0%B0%D1%8F%20%D0%BC%D0%B8%D1%81%D1%81%D0%B8%D1%81%20%D0%A1%D1%8D%D0%B2%D0%B8%D0%B4%D0%B6%201975%20%D1%84%D0%B8%D0%BB%D1%8C%D0%BC","искать")</f>
        <v/>
      </c>
      <c r="N4149" s="3" t="n"/>
      <c r="O4149" s="2" t="n"/>
    </row>
    <row r="4150">
      <c r="A4150" s="2" t="n">
        <v>4149</v>
      </c>
      <c r="B4150" s="2" t="inlineStr"/>
      <c r="C4150" s="2" t="n">
        <v>11300</v>
      </c>
      <c r="D4150" s="3" t="inlineStr">
        <is>
          <t>Завтра была война</t>
        </is>
      </c>
      <c r="E4150" s="2" t="n">
        <v>1990</v>
      </c>
      <c r="F4150" s="2" t="inlineStr">
        <is>
          <t>фильм-спектакль</t>
        </is>
      </c>
      <c r="G4150" s="2" t="n"/>
      <c r="H4150" s="2" t="n">
        <v>808</v>
      </c>
      <c r="I4150" s="2" t="inlineStr"/>
      <c r="J4150" s="2" t="inlineStr"/>
      <c r="K4150" s="3" t="inlineStr">
        <is>
          <t>По одноименной повести Бориса Васильева в постановке театра им. Вл. Маяковского.
"Из всех мальчиков моего класса живых осталось четверо"- с этого начинается повесть, этим начинается и спектакль. Герои спектакля не знают, что завтра будет война, что очень многим осталось жить считанные дни. Они упоенно воюют с учительницей, влюбляются, плачут и смеются, веселятся, дерутся, озорничают и дерзят, но кажутся совсем еще детьми, хотя - парадокс того времени! - души их мужают и развиваются куда быстрее, чем тело. И когда по навету или ошибке арестовывают отца их подруги, они оказываются готовыми к первым испытаниям, к начальным урокам несправедливости и горя, взаимопомощи и взаимопонимания. Трагедия, случившаяся в классе, явилась своего рода проверкой готовности к завтрашним жертвам и завтрашним подвигам.</t>
        </is>
      </c>
      <c r="L4150" s="2" t="inlineStr">
        <is>
          <t>https://www.kino-teatr.ru/teatr/movie/81595/annot/</t>
        </is>
      </c>
      <c r="M4150" s="2">
        <f>HYPERLINK("https://ru.wikipedia.org/w/index.php?search=%D0%97%D0%B0%D0%B2%D1%82%D1%80%D0%B0%20%D0%B1%D1%8B%D0%BB%D0%B0%20%D0%B2%D0%BE%D0%B9%D0%BD%D0%B0%201990%20%D1%84%D0%B8%D0%BB%D1%8C%D0%BC","искать")</f>
        <v/>
      </c>
      <c r="N4150" s="3" t="n"/>
      <c r="O4150" s="2" t="n"/>
    </row>
    <row r="4151">
      <c r="A4151" s="2" t="n">
        <v>4150</v>
      </c>
      <c r="B4151" s="2" t="inlineStr"/>
      <c r="C4151" s="2" t="n">
        <v>10892</v>
      </c>
      <c r="D4151" s="3" t="inlineStr">
        <is>
          <t>Миллион за улыбку</t>
        </is>
      </c>
      <c r="E4151" s="2" t="n">
        <v>1981</v>
      </c>
      <c r="F4151" s="2" t="inlineStr">
        <is>
          <t>фильм-спектакль</t>
        </is>
      </c>
      <c r="G4151" s="2" t="inlineStr">
        <is>
          <t>Главная редакция литературно-драматических программ ЦТ</t>
        </is>
      </c>
      <c r="H4151" s="2" t="n">
        <v>809</v>
      </c>
      <c r="I4151" s="2" t="inlineStr"/>
      <c r="J4151" s="2" t="inlineStr"/>
      <c r="K4151" s="3" t="inlineStr">
        <is>
          <t>По одноименной пьесе А. Софронова.
Спектакль Московского Академического Театра имени Моссовета (впервые поставлен в театре в 1960 году).
Архитектор Виталий Николаевич Карташев влюбляется в женщину намного моложе себя. О его увлечении узнает жена Ольга и решает воздействовать на любвеобильного мужа весьма оригинальным способом – уговаривает друга семьи, Евгения Михайловича Бабкина, изобразить с ней романтические отношения. Ситуация осложняется еще и тем, что в ту же девушку влюблен младший брат Карташева.
Все любовные коллизии проходят на фоне борьбы за минимализм в архитектуре. Так как за якобы ненужные украшательства фасада в проекте дома, разработанного Карташевым, необходимо заплатить миллион рублей, а эти излишества нефункциональны и вызывают только улыбку, пьеса называется «Миллион за улыбку».</t>
        </is>
      </c>
      <c r="L4151" s="2" t="inlineStr">
        <is>
          <t>https://www.kino-teatr.ru/teatr/movie/10679/annot/</t>
        </is>
      </c>
      <c r="M4151" s="2">
        <f>HYPERLINK("https://ru.wikipedia.org/w/index.php?search=%D0%9C%D0%B8%D0%BB%D0%BB%D0%B8%D0%BE%D0%BD%20%D0%B7%D0%B0%20%D1%83%D0%BB%D1%8B%D0%B1%D0%BA%D1%83%201981%20%D1%84%D0%B8%D0%BB%D1%8C%D0%BC","искать")</f>
        <v/>
      </c>
      <c r="N4151" s="3" t="n"/>
      <c r="O4151" s="2" t="n"/>
    </row>
    <row r="4152">
      <c r="A4152" s="2" t="n">
        <v>4151</v>
      </c>
      <c r="B4152" s="2" t="inlineStr"/>
      <c r="C4152" s="2" t="n">
        <v>10157</v>
      </c>
      <c r="D4152" s="3" t="inlineStr">
        <is>
          <t>Тяпа, Ляпа и Жаконя</t>
        </is>
      </c>
      <c r="E4152" s="2" t="n">
        <v>1965</v>
      </c>
      <c r="F4152" s="2" t="inlineStr">
        <is>
          <t>фильм-спектакль</t>
        </is>
      </c>
      <c r="G4152" s="2" t="inlineStr">
        <is>
          <t>Ленинградское телевидение</t>
        </is>
      </c>
      <c r="H4152" s="2" t="n">
        <v>813</v>
      </c>
      <c r="I4152" s="2" t="inlineStr"/>
      <c r="J4152" s="2" t="inlineStr"/>
      <c r="K4152" s="3" t="inlineStr">
        <is>
          <t>Телепередача для малышей, выходившая на телеэкраны в конце 60-х - начале 70-х годов. Главный персонаж - обезьянка Жаконя, неутомимый выдумщик и проказник. Именно он все время вдохновляет двух наивных и немножко неловких братьев-медвежат - Тяпу и Ляпу, которые ему полностью доверяют и всегда помогают, потому что уверены, что "Жаконя знает все", ведь он сам так говорит. Но обычно эти проделки Жакони заканчиваются тем, что "всезнайка" и медвежата попадают впросак. К счастью, у них есть еще один друг - мальчик Телевичок, очень начитанный и талантливый. Он всегда приходит на помощь и выручает их из неловкой ситуации, объясняя, как сделать все правильно. Спектакли с этими кукольными персонажами появились в эфире раньше передачи "Спокойной ночи, малыши!" и многие годы радовали миллионы маленьких телезрителей.</t>
        </is>
      </c>
      <c r="L4152" s="2" t="inlineStr">
        <is>
          <t>https://www.kino-teatr.ru/teatr/movie/104399/annot/</t>
        </is>
      </c>
      <c r="M4152" s="2">
        <f>HYPERLINK("https://ru.wikipedia.org/w/index.php?search=%D0%A2%D1%8F%D0%BF%D0%B0%2C%20%D0%9B%D1%8F%D0%BF%D0%B0%20%D0%B8%20%D0%96%D0%B0%D0%BA%D0%BE%D0%BD%D1%8F%201965%20%D1%84%D0%B8%D0%BB%D1%8C%D0%BC","искать")</f>
        <v/>
      </c>
      <c r="N4152" s="3" t="n"/>
      <c r="O4152" s="2" t="n"/>
    </row>
    <row r="4153">
      <c r="A4153" s="2" t="n">
        <v>4152</v>
      </c>
      <c r="B4153" s="2" t="inlineStr"/>
      <c r="C4153" s="2" t="n">
        <v>11114</v>
      </c>
      <c r="D4153" s="3" t="inlineStr">
        <is>
          <t>Лунин, или смерть Жака</t>
        </is>
      </c>
      <c r="E4153" s="2" t="n">
        <v>1986</v>
      </c>
      <c r="F4153" s="2" t="inlineStr">
        <is>
          <t>фильм-спектакль</t>
        </is>
      </c>
      <c r="G4153" s="2" t="inlineStr">
        <is>
          <t>Творческое объединение "Экран"</t>
        </is>
      </c>
      <c r="H4153" s="2" t="n">
        <v>814</v>
      </c>
      <c r="I4153" s="2" t="inlineStr"/>
      <c r="J4153" s="2" t="inlineStr"/>
      <c r="K4153" s="3" t="inlineStr">
        <is>
          <t>По одноименной пьесе Эдварда Радзинского в постановке Московского драматического театра на Малой Бронной.
Исповедь главного героя - декабриста Михаила Сергеевича Лунина.
Стены Акатуйской тюрьмы, где Лунин провел свои последние дни. Но тут же присутствует и другой мир - прежний мир Лунина. Он - в воспоминаниях, в фантазиях...
Спектакль начинается с последнего дня жизни Лунина. Именно в этот день ему предстоит подвести последнюю черту прожитому, сделать вывод. Множество проблем, множество мучительных вопросов декабристского движения. Но для Лунина это не холодная теория. Это его жизнь. И ему нужно понять главное, ответить на главный вопрос: прав ли он, правы ли те, с кем он был? И Лунин отвечает на этот вопрос - он остается Жаком русской революции, Жаком, который не сложил оружие до последнего своего дня.</t>
        </is>
      </c>
      <c r="L4153" s="2" t="inlineStr">
        <is>
          <t>https://www.kino-teatr.ru/teatr/movie/82987/annot/</t>
        </is>
      </c>
      <c r="M4153" s="2">
        <f>HYPERLINK("https://ru.wikipedia.org/w/index.php?search=%D0%9B%D1%83%D0%BD%D0%B8%D0%BD%2C%20%D0%B8%D0%BB%D0%B8%20%D1%81%D0%BC%D0%B5%D1%80%D1%82%D1%8C%20%D0%96%D0%B0%D0%BA%D0%B0%201986%20%D1%84%D0%B8%D0%BB%D1%8C%D0%BC","искать")</f>
        <v/>
      </c>
      <c r="N4153" s="3" t="n"/>
      <c r="O4153" s="2" t="n"/>
    </row>
    <row r="4154">
      <c r="A4154" s="2" t="n">
        <v>4153</v>
      </c>
      <c r="B4154" s="2" t="inlineStr"/>
      <c r="C4154" s="2" t="n">
        <v>10292</v>
      </c>
      <c r="D4154" s="3" t="inlineStr">
        <is>
          <t>Бедность не порок</t>
        </is>
      </c>
      <c r="E4154" s="2" t="n">
        <v>1969</v>
      </c>
      <c r="F4154" s="2" t="inlineStr">
        <is>
          <t>фильм-спектакль</t>
        </is>
      </c>
      <c r="G4154" s="2" t="inlineStr">
        <is>
          <t>Центральное телевидение</t>
        </is>
      </c>
      <c r="H4154" s="2" t="n">
        <v>821</v>
      </c>
      <c r="I4154" s="2" t="inlineStr"/>
      <c r="J4154" s="2" t="inlineStr"/>
      <c r="K4154" s="3" t="inlineStr">
        <is>
          <t>По одноименной пьесе А.Н. Островского с участием актеров Государственного академического Малого театра.
Действие происходит в уездном городе, во время Святок, в доме купца Гордея Торцова, который на отцовом наследстве нажил капитал. Он сильно горд, русский обычай отринул, всему иностранному поклоняется. Есть у него дочь-красавица, в нее влюблен приказчик Митя - хороший, да бедный, а отец хочет выдать за богатого - пусть старого и недоброго, зато столичного. И свадьбу уже почти сладили.
Но тут появляется брат Гордея - Любим Торцов, который хоть и прокутил свою долю наследства, да теперь пьянствует и побирается, но зато живет по правде сердца. Младший брат приходит и чудом разоблачает своего брата. Гордей Торцов опозорен и сгоряча обещает дочь за первого встречного отдать - да вот хоть за Митю. Счастливый финал!</t>
        </is>
      </c>
      <c r="L4154" s="2" t="inlineStr">
        <is>
          <t>https://www.kino-teatr.ru/teatr/movie/92981/annot/</t>
        </is>
      </c>
      <c r="M4154" s="2">
        <f>HYPERLINK("https://ru.wikipedia.org/w/index.php?search=%D0%91%D0%B5%D0%B4%D0%BD%D0%BE%D1%81%D1%82%D1%8C%20%D0%BD%D0%B5%20%D0%BF%D0%BE%D1%80%D0%BE%D0%BA%201969%20%D1%84%D0%B8%D0%BB%D1%8C%D0%BC","искать")</f>
        <v/>
      </c>
      <c r="N4154" s="3" t="n"/>
      <c r="O4154" s="2" t="n"/>
    </row>
    <row r="4155">
      <c r="A4155" s="2" t="n">
        <v>4154</v>
      </c>
      <c r="B4155" s="2" t="inlineStr"/>
      <c r="C4155" s="2" t="n">
        <v>10486</v>
      </c>
      <c r="D4155" s="3" t="inlineStr">
        <is>
          <t>Божественная комедия</t>
        </is>
      </c>
      <c r="E4155" s="2" t="n">
        <v>1973</v>
      </c>
      <c r="F4155" s="2" t="inlineStr">
        <is>
          <t>фильм-спектакль</t>
        </is>
      </c>
      <c r="G4155" s="2" t="inlineStr">
        <is>
          <t>ГАЦТК под руководством С. Образцова</t>
        </is>
      </c>
      <c r="H4155" s="2" t="n">
        <v>825</v>
      </c>
      <c r="I4155" s="2" t="inlineStr"/>
      <c r="J4155" s="2" t="inlineStr"/>
      <c r="K4155" s="3" t="inlineStr">
        <is>
          <t>Создал Бог Адама и Еву, поселил в Раю. Хорошо жилось им в Раю - и красиво, и тепло, и сытно. Одно плохо - скучно. У всех зверей, у всех птиц - дети, а у них нет, потому что безгрешны. Скучно! Съели Адам и Ева запретное яблоко. Изгнал их Бог из Рая. Трудно им стало, да зато не скучно. А если бы не вкусили Адам с Евой запретного плода, если бы они побоялись божьего гнева?! Не родились бы у них дети, а у тех детей - свои дети. Не было бы и нас с вами. И уж конечно, не появился бы и это спектакль.
"Божественная комедия" не имеет никакого отношения к бессмертному произведению Данте. Ее написал советский драматург Исидор Шток. Тема была подсказана серией веселых рисунков французского художника Жана Эффеля под названием "Сотворение мира". Эффель по-своему, остроумно и озорно, пересказал библейскую версию сотворения мира.</t>
        </is>
      </c>
      <c r="L4155" s="2" t="inlineStr">
        <is>
          <t>https://www.kino-teatr.ru/teatr/movie/14598/annot/</t>
        </is>
      </c>
      <c r="M4155" s="2">
        <f>HYPERLINK("https://ru.wikipedia.org/w/index.php?search=%D0%91%D0%BE%D0%B6%D0%B5%D1%81%D1%82%D0%B2%D0%B5%D0%BD%D0%BD%D0%B0%D1%8F%20%D0%BA%D0%BE%D0%BC%D0%B5%D0%B4%D0%B8%D1%8F%201973%20%D1%84%D0%B8%D0%BB%D1%8C%D0%BC","искать")</f>
        <v/>
      </c>
      <c r="N4155" s="3" t="n"/>
      <c r="O4155" s="2" t="n"/>
    </row>
    <row r="4156">
      <c r="A4156" s="2" t="n">
        <v>4155</v>
      </c>
      <c r="B4156" s="2" t="inlineStr"/>
      <c r="C4156" s="2" t="n">
        <v>10665</v>
      </c>
      <c r="D4156" s="3" t="inlineStr">
        <is>
          <t>Пока арба не перевернулась</t>
        </is>
      </c>
      <c r="E4156" s="2" t="n">
        <v>1976</v>
      </c>
      <c r="F4156" s="2" t="inlineStr">
        <is>
          <t>фильм-спектакль</t>
        </is>
      </c>
      <c r="G4156" s="2" t="n"/>
      <c r="H4156" s="2" t="n">
        <v>829</v>
      </c>
      <c r="I4156" s="2" t="inlineStr"/>
      <c r="J4156" s="2" t="inlineStr"/>
      <c r="K4156" s="3" t="inlineStr">
        <is>
          <t>Действие происходит в грузинской деревне. Старый крестьянин Агабо расстроен, что его сыновья покинули деревню и ушли в город. Он посылает телеграмму о своей смерти, и дети слетаются в родной дом.
Навестив отца, сыновья вскоре уезжают, но "пока арба не перевернулась", пока жив Агабо, он будет бороться за то, чтобы молодежь оставалась в колхозе и возделывала землю с такой же любовью, как и их отцы.
В главной роли Борис Чирков, его Агабо воплотил типический и неповторимо индивидуальный характер крестьянина, любящего землю, свой труд на ней, своих детей, на ней рожденных, и ценящего людей по их отношению к земле, родному очагу, друг к другу. Чирков не злоупотребляет возможностями характерности образа, даваемой грузинским колоритом пьесы. Агабо для него - это прежде всего сын и хозяин земли.
Московский театр им. Н.В.Гоголя</t>
        </is>
      </c>
      <c r="L4156" s="2" t="inlineStr">
        <is>
          <t>https://www.kino-teatr.ru/teatr/movie/82037/annot/</t>
        </is>
      </c>
      <c r="M4156" s="2">
        <f>HYPERLINK("https://ru.wikipedia.org/w/index.php?search=%D0%9F%D0%BE%D0%BA%D0%B0%20%D0%B0%D1%80%D0%B1%D0%B0%20%D0%BD%D0%B5%20%D0%BF%D0%B5%D1%80%D0%B5%D0%B2%D0%B5%D1%80%D0%BD%D1%83%D0%BB%D0%B0%D1%81%D1%8C%201976%20%D1%84%D0%B8%D0%BB%D1%8C%D0%BC","искать")</f>
        <v/>
      </c>
      <c r="N4156" s="3" t="n"/>
      <c r="O4156" s="2" t="n"/>
    </row>
    <row r="4157">
      <c r="A4157" s="2" t="n">
        <v>4156</v>
      </c>
      <c r="B4157" s="2" t="inlineStr"/>
      <c r="C4157" s="2" t="n">
        <v>9790</v>
      </c>
      <c r="D4157" s="3" t="inlineStr">
        <is>
          <t>Достигаев и другие</t>
        </is>
      </c>
      <c r="E4157" s="2" t="n">
        <v>1959</v>
      </c>
      <c r="F4157" s="2" t="inlineStr">
        <is>
          <t>кинофильм</t>
        </is>
      </c>
      <c r="G4157" s="2" t="inlineStr">
        <is>
          <t>Ленфильм</t>
        </is>
      </c>
      <c r="H4157" s="2" t="n">
        <v>837</v>
      </c>
      <c r="I4157" s="2" t="inlineStr"/>
      <c r="J4157" s="2" t="inlineStr"/>
      <c r="K4157" s="3" t="inlineStr">
        <is>
          <t>По одноименной пьесе М.Горького. Постановка Ленинградского Большого драматического театра им. Горького.
Июль-декабрь 1917 года, в стране происходит революция. Действие фильма разворачивает в купеческом клубе, в доме Достигаева, в доме Булычова. «Столпы общества» встревожены надвигающимися на них грозными событиями. Одни из них готовятся к борьбе с революцией, другие – и среди них Достигаев (Виталий Полицеймако) – стараются к ней «приспособиться». Василий Достигаев заботится о спасении своей шкуры. Жизненная позиция Достигаева на новом историческом этапе хорошо выражена в его словах: «А вот, если ножку им подставить на крутом-то пути…» Но усилия Достигаева, равно как и Нестрашного, который тайно готовит арест большевиков города, тщетны: нельзя повернуть колесо истории вспять. Жалкие попытки помещать ходу революции терпят крах.</t>
        </is>
      </c>
      <c r="L4157" s="2" t="inlineStr">
        <is>
          <t>https://www.kino-teatr.ru/kino/movie/sov/2010/annot/</t>
        </is>
      </c>
      <c r="M4157" s="2">
        <f>HYPERLINK("https://ru.wikipedia.org/w/index.php?search=%D0%94%D0%BE%D1%81%D1%82%D0%B8%D0%B3%D0%B0%D0%B5%D0%B2%20%D0%B8%20%D0%B4%D1%80%D1%83%D0%B3%D0%B8%D0%B5%201959%20%D1%84%D0%B8%D0%BB%D1%8C%D0%BC","искать")</f>
        <v/>
      </c>
      <c r="N4157" s="3" t="n"/>
      <c r="O4157" s="2" t="n"/>
    </row>
    <row r="4158">
      <c r="A4158" s="2" t="n">
        <v>4157</v>
      </c>
      <c r="B4158" s="2" t="inlineStr"/>
      <c r="C4158" s="2" t="n">
        <v>9868</v>
      </c>
      <c r="D4158" s="3" t="inlineStr">
        <is>
          <t>Экзамен на чин</t>
        </is>
      </c>
      <c r="E4158" s="2" t="n">
        <v>1969</v>
      </c>
      <c r="F4158" s="2" t="inlineStr">
        <is>
          <t>телефильм</t>
        </is>
      </c>
      <c r="G4158" s="2" t="inlineStr">
        <is>
          <t>Лентелефильм</t>
        </is>
      </c>
      <c r="H4158" s="2" t="n">
        <v>838</v>
      </c>
      <c r="I4158" s="2" t="inlineStr"/>
      <c r="J4158" s="2" t="inlineStr"/>
      <c r="K4158" s="3" t="inlineStr">
        <is>
          <t>По мотивам рассказов А. П. Чехова.
Готовился чиновник к экзамену, чтобы чин повыше получить. Сидел, зубрил всю ночь, но не выдержал и заснул. А утром пришлось ему все-таки встать и отправиться на экзамен. Встретился ему по дороге сын. Выгнали его с урока, учитель дал нелестную характеристику сыну, а заодно и его папаше. Видно, что не в первый раз папаша идет на экзамен, неприятность вышла у него с учителем географии. Пришел как-то учитель в почтовый департамент, а папаша, который там работал, возьми да и сделай ему замечание - чтобы в очередь встал вместе со всеми. А тот взял да и обиделся, и не хочет у него экзамен принимать. Но, на счастье старика, приехал на экзамен инспектор, и оказал снисхождение чиновнику. После экзамена отправился он с комиссией в трактир, отпраздновать получение нового чина, да от радости-то и напился.</t>
        </is>
      </c>
      <c r="L4158" s="2" t="inlineStr">
        <is>
          <t>https://www.kino-teatr.ru/short/movie/sov/10066/annot/</t>
        </is>
      </c>
      <c r="M4158" s="2">
        <f>HYPERLINK("https://ru.wikipedia.org/w/index.php?search=%D0%AD%D0%BA%D0%B7%D0%B0%D0%BC%D0%B5%D0%BD%20%D0%BD%D0%B0%20%D1%87%D0%B8%D0%BD%201969%20%D1%84%D0%B8%D0%BB%D1%8C%D0%BC","искать")</f>
        <v/>
      </c>
      <c r="N4158" s="3" t="n"/>
      <c r="O4158" s="2" t="n"/>
    </row>
    <row r="4159">
      <c r="A4159" s="2" t="n">
        <v>4158</v>
      </c>
      <c r="B4159" s="2" t="inlineStr"/>
      <c r="C4159" s="2" t="n">
        <v>10328</v>
      </c>
      <c r="D4159" s="3" t="inlineStr">
        <is>
          <t>Севастопольский вальс</t>
        </is>
      </c>
      <c r="E4159" s="2" t="n">
        <v>1969</v>
      </c>
      <c r="F4159" s="2" t="inlineStr">
        <is>
          <t>фильм-спектакль</t>
        </is>
      </c>
      <c r="G4159" s="2" t="n"/>
      <c r="H4159" s="2" t="n">
        <v>846</v>
      </c>
      <c r="I4159" s="2" t="inlineStr"/>
      <c r="J4159" s="2" t="inlineStr"/>
      <c r="K4159" s="3" t="inlineStr">
        <is>
          <t>Спектакль Московского театра оперетты.
Действие этой романтической истории о любви происходит в июне 1942 года, в последние дни обороны Севастополя, а затем в мирное время, когда фронтовые друзья встречаются вновь. …На подступах к Севастополю идут тяжёлые бои. Падают от ран герои - защитники города, девушки из медсанбата выносят их c поля боя, перевязывают, утешают. Среди сестёр выделяется маленькая Любаша. Она тайно любит своего командира, Дмитрия Аверина. Друзья решают после войны непременно встретиться в чудесном городе. И вот приходит день встречи. Многое за это время переменилось. Аверин расстался с легкомысленной женой; его боевые друзья теперь живут мирно и весело; Генка Бессмертный, забияка, мальчишка, стал солидным военным. Увидев Любу и её сияющие глаза, Аверин впервые понял и оценил её чувства, прошедшие испытание временем.</t>
        </is>
      </c>
      <c r="L4159" s="2" t="inlineStr">
        <is>
          <t>https://www.kino-teatr.ru/teatr/movie/83459/annot/</t>
        </is>
      </c>
      <c r="M4159" s="2">
        <f>HYPERLINK("https://ru.wikipedia.org/w/index.php?search=%D0%A1%D0%B5%D0%B2%D0%B0%D1%81%D1%82%D0%BE%D0%BF%D0%BE%D0%BB%D1%8C%D1%81%D0%BA%D0%B8%D0%B9%20%D0%B2%D0%B0%D0%BB%D1%8C%D1%81%201969%20%D1%84%D0%B8%D0%BB%D1%8C%D0%BC","искать")</f>
        <v/>
      </c>
      <c r="N4159" s="3" t="n"/>
      <c r="O4159" s="2" t="n"/>
    </row>
    <row r="4160">
      <c r="A4160" s="2" t="n">
        <v>4159</v>
      </c>
      <c r="B4160" s="2" t="inlineStr"/>
      <c r="C4160" s="2" t="n">
        <v>10637</v>
      </c>
      <c r="D4160" s="3" t="inlineStr">
        <is>
          <t>В одном микрорайоне</t>
        </is>
      </c>
      <c r="E4160" s="2" t="n">
        <v>1976</v>
      </c>
      <c r="F4160" s="2" t="inlineStr">
        <is>
          <t>фильм-спектакль</t>
        </is>
      </c>
      <c r="G4160" s="2" t="inlineStr">
        <is>
          <t>Центральное телевидение</t>
        </is>
      </c>
      <c r="H4160" s="2" t="n">
        <v>866</v>
      </c>
      <c r="I4160" s="2" t="inlineStr"/>
      <c r="J4160" s="2" t="inlineStr"/>
      <c r="K4160" s="3" t="inlineStr">
        <is>
          <t>Телесериал.
В новом московском микрорайоне зарождается новая советская жизнь. Новые люди, новые семьи, новые соседи. Лифт пока еще не работает, или уже не работает от постоянных перегрузок из-за транспортировки мебели. Соседи друг друга только узнают, знакомятся, постепенно жизни разных семей незаметно начинают пересекаться.
Обычная жизнь советских людей. Редкий и интересный спектакль, в котором, в отличие от социальных кинофильмов того времени, лучше и точнее показан простой быт граждан. Хотя вот, к примеру, честный слесарь не взявший трешку это несомненная фантастика, но в телепостановках всегда было меньше киношной бытовой ретуши. Малобюджетность, с одной стороны, но и меньший идеологический контроль выпускающих комиссий, с другой. Отличный телеспектакль для тех, кому интересна жизнь московской новостройки второй половины 70-х годов прошлого столетия.</t>
        </is>
      </c>
      <c r="L4160" s="2" t="inlineStr">
        <is>
          <t>https://www.kino-teatr.ru/teatr/movie/752/annot/</t>
        </is>
      </c>
      <c r="M4160" s="2">
        <f>HYPERLINK("https://ru.wikipedia.org/w/index.php?search=%D0%92%20%D0%BE%D0%B4%D0%BD%D0%BE%D0%BC%20%D0%BC%D0%B8%D0%BA%D1%80%D0%BE%D1%80%D0%B0%D0%B9%D0%BE%D0%BD%D0%B5%201976%20%D1%84%D0%B8%D0%BB%D1%8C%D0%BC","искать")</f>
        <v/>
      </c>
      <c r="N4160" s="3" t="n"/>
      <c r="O4160" s="2" t="n"/>
    </row>
    <row r="4161">
      <c r="A4161" s="2" t="n">
        <v>4160</v>
      </c>
      <c r="B4161" s="2" t="inlineStr"/>
      <c r="C4161" s="2" t="n">
        <v>11230</v>
      </c>
      <c r="D4161" s="3" t="inlineStr">
        <is>
          <t>Три девушки в голубом</t>
        </is>
      </c>
      <c r="E4161" s="2" t="n">
        <v>1988</v>
      </c>
      <c r="F4161" s="2" t="inlineStr">
        <is>
          <t>фильм-спектакль</t>
        </is>
      </c>
      <c r="G4161" s="2" t="inlineStr">
        <is>
          <t>СОЮЗТЕАТР / СИНТЕЗ / Московский театр им. Ленинского комсомола</t>
        </is>
      </c>
      <c r="H4161" s="2" t="n">
        <v>874</v>
      </c>
      <c r="I4161" s="2" t="inlineStr"/>
      <c r="J4161" s="2" t="inlineStr"/>
      <c r="K4161" s="3" t="inlineStr">
        <is>
          <t>По одноименной пьесе Людмилы Петрушевской в постановке Московского театра им. Ленинского комсомола.
Три женщины «за тридцать» живут летом с маленькими сыновьями на даче. Светлана, Татьяна и Ира — троюродные сестры, детей они воспитывают в одиночку. Женщины ссорятся, выясняя, кому принадлежит половина дачи, чей сын обидчик, а чей — обиженный… Светлана и Татьяна живут на даче бесплатно, зато на их половине течет потолок. Ира снимает комнату у Федоровны, хозяйки второй половины дачи.Зато ей запрещено пользоваться принадлежащим сестрам туалетом.
Ира знакомится с соседом Николаем Ивановичем. Тот ухаживает за ней, восхищается ею, называя королевой красоты. В знак серьезности своих чувств он организует строительство туалета для Иры.
Сценическая жизнь героев Петрушевской, как всегда, полна нелепостей и абсурда, но зритель не будет сомневаться в реальности происходящего.</t>
        </is>
      </c>
      <c r="L4161" s="2" t="inlineStr">
        <is>
          <t>https://www.kino-teatr.ru/teatr/movie/7254/annot/</t>
        </is>
      </c>
      <c r="M4161" s="2">
        <f>HYPERLINK("https://ru.wikipedia.org/w/index.php?search=%D0%A2%D1%80%D0%B8%20%D0%B4%D0%B5%D0%B2%D1%83%D1%88%D0%BA%D0%B8%20%D0%B2%20%D0%B3%D0%BE%D0%BB%D1%83%D0%B1%D0%BE%D0%BC%201988%20%D1%84%D0%B8%D0%BB%D1%8C%D0%BC","искать")</f>
        <v/>
      </c>
      <c r="N4161" s="3" t="n"/>
      <c r="O4161" s="2" t="n"/>
    </row>
    <row r="4162">
      <c r="A4162" s="2" t="n">
        <v>4161</v>
      </c>
      <c r="B4162" s="2" t="inlineStr"/>
      <c r="C4162" s="2" t="n">
        <v>10846</v>
      </c>
      <c r="D4162" s="3" t="inlineStr">
        <is>
          <t>История кавалера де Грие и Манон Леско</t>
        </is>
      </c>
      <c r="E4162" s="2" t="n">
        <v>1980</v>
      </c>
      <c r="F4162" s="2" t="inlineStr">
        <is>
          <t>фильм-спектакль</t>
        </is>
      </c>
      <c r="G4162" s="2" t="inlineStr">
        <is>
          <t>Главная редакция литературно-драматический программ ЦТ</t>
        </is>
      </c>
      <c r="H4162" s="2" t="n">
        <v>878</v>
      </c>
      <c r="I4162" s="2" t="inlineStr"/>
      <c r="J4162" s="2" t="inlineStr"/>
      <c r="K4162" s="3" t="inlineStr">
        <is>
          <t>По мотивам одноименного романа А.Ф.Прево.
Прево д'Экзиль Антуан Франсуа (1697-1763) - французский писатель, которого обычно называют Аббат Прево, всю жизнь разрывался между крайностями: то он хотел посвятить жизнь Богу, то опрометью кидался в житейское море. Постригся в монахи, ушел в монастырь, отрекся от мира и ... махнул через монастырскую стену и был таков. История кавалера де Грие и Манон Леско - знаменитый любовно-приключенческий роман 18 века. Дворянин де Грие влюбляется в загадочную и притягательную девушку незнатного происхождения Манон Леско. Девушка как будто и любит молодого человека, но при этом совершает недостойные поступки, соблазняя богатых дворян и вовлекая в беспутную жизнь самого де Грие. В Манон Леско "порок, оправданный любовью, ослепляет как добродетель". У писателя Прево богатое воображение, красивый слог, есть вкус и умение избегать пошлого.</t>
        </is>
      </c>
      <c r="L4162" s="2" t="inlineStr">
        <is>
          <t>https://www.kino-teatr.ru/teatr/movie/2771/annot/</t>
        </is>
      </c>
      <c r="M4162" s="2">
        <f>HYPERLINK("https://ru.wikipedia.org/w/index.php?search=%D0%98%D1%81%D1%82%D0%BE%D1%80%D0%B8%D1%8F%20%D0%BA%D0%B0%D0%B2%D0%B0%D0%BB%D0%B5%D1%80%D0%B0%20%D0%B4%D0%B5%20%D0%93%D1%80%D0%B8%D0%B5%20%D0%B8%20%D0%9C%D0%B0%D0%BD%D0%BE%D0%BD%20%D0%9B%D0%B5%D1%81%D0%BA%D0%BE%201980%20%D1%84%D0%B8%D0%BB%D1%8C%D0%BC","искать")</f>
        <v/>
      </c>
      <c r="N4162" s="3" t="n"/>
      <c r="O4162" s="2" t="n"/>
    </row>
    <row r="4163">
      <c r="A4163" s="2" t="n">
        <v>4162</v>
      </c>
      <c r="B4163" s="2" t="inlineStr"/>
      <c r="C4163" s="2" t="n">
        <v>10345</v>
      </c>
      <c r="D4163" s="3" t="inlineStr">
        <is>
          <t>Эгмонт</t>
        </is>
      </c>
      <c r="E4163" s="2" t="n">
        <v>1969</v>
      </c>
      <c r="F4163" s="2" t="inlineStr">
        <is>
          <t>фильм-спектакль</t>
        </is>
      </c>
      <c r="G4163" s="2" t="inlineStr">
        <is>
          <t>Главная редакция литературно-драматических программ ЦТ</t>
        </is>
      </c>
      <c r="H4163" s="2" t="n">
        <v>882</v>
      </c>
      <c r="I4163" s="2" t="inlineStr"/>
      <c r="J4163" s="2" t="inlineStr"/>
      <c r="K4163" s="3" t="inlineStr">
        <is>
          <t>В 1809 году Бетховен получает от дирекции Венского придворного театра заказ на написание музыки к трагедии Гете "Эгмонт" и работает над ней с конца 1809 до весны 1810 года, по его собственным словам, "исключительно из любви к поэту". Бетховен высоко ценил творчество Гете, с которым неоднократно встречался. Музыка к "Эгмонту" состоит из увертюры, созданной последней, и девяти номеров. Впервые она прозвучала 15 июня 1810 года, когда трагедия Гете была исполнена в четвертый раз в Венском придворном театре. У Гете Эгмонт молод, холост и влюблен. Его возлюбленная, простая девушка Клерхен, мечтает сражаться вместе с ним. Она же зовет к восстанию, чтобы освободить героя, и, не в силах пережить смерть любимого, кончает с собой. Призывом к борьбе за свободу, верой в победу народа, несмотря на все страдания и жертвы, наполнен заключительный монолог Эгмонта в темнице перед казнью.</t>
        </is>
      </c>
      <c r="L4163" s="2" t="inlineStr">
        <is>
          <t>https://www.kino-teatr.ru/teatr/movie/108468/annot/</t>
        </is>
      </c>
      <c r="M4163" s="2">
        <f>HYPERLINK("https://ru.wikipedia.org/w/index.php?search=%D0%AD%D0%B3%D0%BC%D0%BE%D0%BD%D1%82%201969%20%D1%84%D0%B8%D0%BB%D1%8C%D0%BC","искать")</f>
        <v/>
      </c>
      <c r="N4163" s="3" t="n"/>
      <c r="O4163" s="2" t="n"/>
    </row>
    <row r="4164">
      <c r="A4164" s="2" t="n">
        <v>4163</v>
      </c>
      <c r="B4164" s="2" t="inlineStr"/>
      <c r="C4164" s="2" t="n">
        <v>11172</v>
      </c>
      <c r="D4164" s="3" t="inlineStr">
        <is>
          <t>Мужчина в зеленых очках</t>
        </is>
      </c>
      <c r="E4164" s="2" t="n">
        <v>1987</v>
      </c>
      <c r="F4164" s="2" t="inlineStr">
        <is>
          <t>фильм-спектакль</t>
        </is>
      </c>
      <c r="G4164" s="2" t="n"/>
      <c r="H4164" s="2" t="n">
        <v>888</v>
      </c>
      <c r="I4164" s="2" t="inlineStr"/>
      <c r="J4164" s="2" t="inlineStr"/>
      <c r="K4164" s="3" t="inlineStr">
        <is>
          <t>В спектакле - почтальон (Гаджи Исмайлов), Казим (Яшар Нуриев), смотрящий фильмы Альфреда Хичкока, Захра (Афаг Баширгызы), смотрящая на судьбу с помощью компьютера, Гариб (Мабуд Магеррамов), производитель игрушек, режиссер Джахангир (Джахангир Новрузов), начальник полиции Сейфулла (Саявуш Аслан), дракон в пьесе, доставляет сверток с головой дракона и призывает каждого из них прийти по адресу, указанному в письме с головой дракона. Пришедшие по адресу, названному головой дракона, понимают, что «почтальон», который на самом деле является их родственником, собрал гостей, которые давно не виделись, и поскольку год был доставлен на драконе, На свертки клали голову дракона. «Почтальон» Гафар, прикрепляя головы драконов к иллюстрации на стене, говорит: «Тело без головы бесполезно» и приглашает гостей к праздничному столу. Основная идея пьесы – повысить внимание к семейным отношениям.</t>
        </is>
      </c>
      <c r="L4164" s="2" t="inlineStr">
        <is>
          <t>https://www.kino-teatr.ru/teatr/movie/144496/annot/</t>
        </is>
      </c>
      <c r="M4164" s="2">
        <f>HYPERLINK("https://ru.wikipedia.org/w/index.php?search=%D0%9C%D1%83%D0%B6%D1%87%D0%B8%D0%BD%D0%B0%20%D0%B2%20%D0%B7%D0%B5%D0%BB%D0%B5%D0%BD%D1%8B%D1%85%20%D0%BE%D1%87%D0%BA%D0%B0%D1%85%201987%20%D1%84%D0%B8%D0%BB%D1%8C%D0%BC","искать")</f>
        <v/>
      </c>
      <c r="N4164" s="3" t="n"/>
      <c r="O4164" s="2" t="n"/>
    </row>
    <row r="4165">
      <c r="A4165" s="2" t="n">
        <v>4164</v>
      </c>
      <c r="B4165" s="2" t="inlineStr"/>
      <c r="C4165" s="2" t="n">
        <v>11055</v>
      </c>
      <c r="D4165" s="3" t="inlineStr">
        <is>
          <t>День на двоих</t>
        </is>
      </c>
      <c r="E4165" s="2" t="n">
        <v>1985</v>
      </c>
      <c r="F4165" s="2" t="inlineStr">
        <is>
          <t>фильм-спектакль</t>
        </is>
      </c>
      <c r="G4165" s="2" t="inlineStr">
        <is>
          <t>Ленинградское телевидение</t>
        </is>
      </c>
      <c r="H4165" s="2" t="n">
        <v>890</v>
      </c>
      <c r="I4165" s="2" t="inlineStr"/>
      <c r="J4165" s="2" t="inlineStr"/>
      <c r="K4165" s="3" t="inlineStr">
        <is>
          <t>Из цикла "Следы остаются" (Дела и люди ленинградской милиции).
Спектакль, созданный много лет назад на Ленинградском телевидении, привлечет внимание любителей детективного жанра. Основанный на документальном материале уголовного дела, рассмотренного городским судом, он, несомненно, понравится тем, кто интересуется историей раскрытия очередного преступления работниками угрозыска и нравственными проблемами.
Итак, совершено преступление. Исчезает молодая кассир одного из предприятий с крупной суммой денег. Группа сотрудников Управления уголовного розыска включается в работу.
А через несколько дней полковнику Дробышеву докладывают об убийстве молодого человека на пустыре, у стоянки катеров. Расследование поручается группе капитана Самарина.
Кто преступник? Каковы мотивы его действий? Имеют ли два эти преступления связь? Эти и многие сопутствующие вопросы встали перед следователями.</t>
        </is>
      </c>
      <c r="L4165" s="2" t="inlineStr">
        <is>
          <t>https://www.kino-teatr.ru/teatr/movie/17428/annot/</t>
        </is>
      </c>
      <c r="M4165" s="2">
        <f>HYPERLINK("https://ru.wikipedia.org/w/index.php?search=%D0%94%D0%B5%D0%BD%D1%8C%20%D0%BD%D0%B0%20%D0%B4%D0%B2%D0%BE%D0%B8%D1%85%201985%20%D1%84%D0%B8%D0%BB%D1%8C%D0%BC","искать")</f>
        <v/>
      </c>
      <c r="N4165" s="3" t="n"/>
      <c r="O4165" s="2" t="n"/>
    </row>
    <row r="4166">
      <c r="A4166" s="2" t="n">
        <v>4165</v>
      </c>
      <c r="B4166" s="2" t="inlineStr"/>
      <c r="C4166" s="2" t="n">
        <v>11101</v>
      </c>
      <c r="D4166" s="3" t="inlineStr">
        <is>
          <t>Гарольд и Мод</t>
        </is>
      </c>
      <c r="E4166" s="2" t="n">
        <v>1986</v>
      </c>
      <c r="F4166" s="2" t="inlineStr">
        <is>
          <t>фильм-спектакль</t>
        </is>
      </c>
      <c r="G4166" s="2" t="n"/>
      <c r="H4166" s="2" t="n">
        <v>924</v>
      </c>
      <c r="I4166" s="2" t="inlineStr"/>
      <c r="J4166" s="2" t="inlineStr"/>
      <c r="K4166" s="3" t="inlineStr">
        <is>
          <t>Гарольд — сын миссис Чайзен, богатой женщины, которая не обращает на него внимания. Страдая от депрессии и отсутствия друзей, он инсценирует тщательно продуманные, но смехотворные самоубийства, которые на рассеянную маму никакого впечатления не производят. Очарованный смертью и всей ее внешней атрибутикой, Гарольд на старом катафалке сам разъезжает по кладбищам вокруг городка. На двух похоронах подряд он встречает Мод, старушку 79 лет, выжившую после концлагеря и очарованную жизнью в той же степени, что Гарольд очарован смертью. Свободная духом, она является прямой противоположностью торжественному и важному Гарольду. Тем не менее они становятся лучшими друзьями, и она вселяет в него желание жить, расправить крылья, наслаждаться кратким пребыванием на Земле. Проходит время, они вместе переживают несколько забавных и сумасбродных приключений, и дружба перерастает в любовь — к большому беспокойству мамы Гарольда.</t>
        </is>
      </c>
      <c r="L4166" s="2" t="inlineStr">
        <is>
          <t>https://www.kino-teatr.ru/teatr/movie/98791/annot/</t>
        </is>
      </c>
      <c r="M4166" s="2">
        <f>HYPERLINK("https://ru.wikipedia.org/w/index.php?search=%D0%93%D0%B0%D1%80%D0%BE%D0%BB%D1%8C%D0%B4%20%D0%B8%20%D0%9C%D0%BE%D0%B4%201986%20%D1%84%D0%B8%D0%BB%D1%8C%D0%BC","искать")</f>
        <v/>
      </c>
      <c r="N4166" s="3" t="n"/>
      <c r="O4166" s="2" t="n"/>
    </row>
    <row r="4167">
      <c r="A4167" s="2" t="n">
        <v>4166</v>
      </c>
      <c r="B4167" s="2" t="inlineStr"/>
      <c r="C4167" s="2" t="n">
        <v>10945</v>
      </c>
      <c r="D4167" s="3" t="inlineStr">
        <is>
          <t>Кремлевские куранты</t>
        </is>
      </c>
      <c r="E4167" s="2" t="n">
        <v>1982</v>
      </c>
      <c r="F4167" s="2" t="inlineStr">
        <is>
          <t>фильм-спектакль</t>
        </is>
      </c>
      <c r="G4167" s="2" t="n"/>
      <c r="H4167" s="2" t="n">
        <v>930</v>
      </c>
      <c r="I4167" s="2" t="inlineStr"/>
      <c r="J4167" s="2" t="inlineStr"/>
      <c r="K4167" s="3" t="inlineStr">
        <is>
          <t>Спектакль эстонского театра "Ванемуйне" (Тарту).
По одноименной пьесе Николая Погодина.
Действие происходит в Советской России в 1920 году. Крупный в прошлом инженер-электротехник Забелин демонстративно торгует спичками в центре Москвы, у Иверских ворот. Более того, он не считает нужным скрывать свою неприязнь к новой власти. Все родственники и знакомые, да и сам Забелин, уверены, что его неминуемо «вот-вот заберут в ЧК».
За дочерью Забелина ухаживает комиссар Рыбаков. Во время визита Рыбакова в дом Забелина они ссорятся, после чего за Забелиным присылают машину, и он уверен, что его приехали арестовать. Но, оказывается, Забелина приглашают в Кремль, где с ним — правда, в присутствии председателя ВЧК Дзержинского — беседует Владимир Ильич Ленин и рассказывает о масштабном плане правительства по электрификации страны. Ленин предлагает Забелину включиться в работу над стратегически важным для Советской России проектом.</t>
        </is>
      </c>
      <c r="L4167" s="2" t="inlineStr">
        <is>
          <t>https://www.kino-teatr.ru/teatr/movie/169763/annot/</t>
        </is>
      </c>
      <c r="M4167" s="2">
        <f>HYPERLINK("https://ru.wikipedia.org/w/index.php?search=%D0%9A%D1%80%D0%B5%D0%BC%D0%BB%D0%B5%D0%B2%D1%81%D0%BA%D0%B8%D0%B5%20%D0%BA%D1%83%D1%80%D0%B0%D0%BD%D1%82%D1%8B%201982%20%D1%84%D0%B8%D0%BB%D1%8C%D0%BC","искать")</f>
        <v/>
      </c>
      <c r="N4167" s="3" t="n"/>
      <c r="O4167" s="2" t="n"/>
    </row>
    <row r="4168">
      <c r="A4168" s="2" t="n">
        <v>4167</v>
      </c>
      <c r="B4168" s="2" t="inlineStr"/>
      <c r="C4168" s="2" t="n">
        <v>10806</v>
      </c>
      <c r="D4168" s="3" t="inlineStr">
        <is>
          <t>Когда же пойдёт снег?</t>
        </is>
      </c>
      <c r="E4168" s="2" t="n">
        <v>1979</v>
      </c>
      <c r="F4168" s="2" t="inlineStr">
        <is>
          <t>фильм-спектакль</t>
        </is>
      </c>
      <c r="G4168" s="2" t="inlineStr">
        <is>
          <t>Главная редакция программ для детей ЦТ</t>
        </is>
      </c>
      <c r="H4168" s="2" t="n">
        <v>967</v>
      </c>
      <c r="I4168" s="2" t="inlineStr"/>
      <c r="J4168" s="2" t="inlineStr"/>
      <c r="K4168" s="3" t="inlineStr">
        <is>
          <t>Телеверсия спектакля в постановке Московского ТЮЗа.
По одноименной повести Дины Рубиной.
Отец тяжелобольной 15-летней девочки Нины, рано оставшейся без матери, решает жениться вновь. Нина тяжело переживает это событие. Также она влюбляется в 22-летнего Бориса, знакомство с которым вызывает тревогу у старшего брата Нины Максима. С обострением болезни почек девочка попадает в больницу, ей необходима сложная операция. Но даже в больнице Нина не может смириться с «предательством» отца. От брата она узнает, что еще при жизни ее мама была влюблена в другого мужчину. Ее навещает Максим и рассказывает трагическую историю жизни своей бабушки. Все эти события совершают переворот в Нинином сознании – она понимает, что была несправедлива к родным. Настает день операции… На протяжении всего действия Нина ждет, когда же наконец выпадет снег, она считает, что это будет ознаменованием для нее счастливых перемен. Это ожидание снега как чуда и дало название произведению.</t>
        </is>
      </c>
      <c r="L4168" s="2" t="inlineStr">
        <is>
          <t>https://www.kino-teatr.ru/teatr/movie/10680/annot/</t>
        </is>
      </c>
      <c r="M4168" s="2">
        <f>HYPERLINK("https://ru.wikipedia.org/w/index.php?search=%D0%9A%D0%BE%D0%B3%D0%B4%D0%B0%20%D0%B6%D0%B5%20%D0%BF%D0%BE%D0%B9%D0%B4%D1%91%D1%82%20%D1%81%D0%BD%D0%B5%D0%B3%3F%201979%20%D1%84%D0%B8%D0%BB%D1%8C%D0%BC","искать")</f>
        <v/>
      </c>
      <c r="N4168" s="3" t="n"/>
      <c r="O4168" s="2" t="n"/>
    </row>
    <row r="4169">
      <c r="A4169" s="2" t="n">
        <v>4168</v>
      </c>
      <c r="B4169" s="2" t="inlineStr"/>
      <c r="C4169" s="2" t="n">
        <v>11287</v>
      </c>
      <c r="D4169" s="3" t="inlineStr">
        <is>
          <t>Три сестры</t>
        </is>
      </c>
      <c r="E4169" s="2" t="n">
        <v>1989</v>
      </c>
      <c r="F4169" s="2" t="inlineStr">
        <is>
          <t>фильм-спектакль</t>
        </is>
      </c>
      <c r="G4169" s="2" t="n"/>
      <c r="H4169" s="2" t="n">
        <v>973</v>
      </c>
      <c r="I4169" s="2" t="inlineStr"/>
      <c r="J4169" s="2" t="inlineStr"/>
      <c r="K4169" s="3" t="inlineStr">
        <is>
          <t>Театр на Таганке.
Центральное действующее лицо в спектакле — Маша, роль которой исполняет Алла Демидова. Пожалуй, одна Маша делает ещё попытки вырваться из этой окаменелой жизни, лишь она еще старается найти какой-то выход — будь то переезд в Москву или какие-то отношения с Вершининым — но выход. Она и сломлена последней.
В спектакле Любимова сделана своеобразная перекличка различных постановок «Трёх сестер». Мы слышим голос Качалова, который исполнял роль Тузенбаха во МХАТе, голос Юрского (Тузенбах) и Поповой (Ирина) из постановки в БДТ. В тех спектаклях была надежда на будущее. Таганковский спектакль говорит: "Нет! Нельзя надеяться на будущее. Все вопросы надо решать только сейчас! И если, ничего не получилось сейчас, будущее не поможет!". Именно потому последний монолог Ольга произносит пусто, без всякого энтузиазма: «Музыка играет так весело, так радостно, и, кажется, еще немного, и мы узнаем, зачем мы живем, зачем страдаем… Если бы знать, если бы знать!»</t>
        </is>
      </c>
      <c r="L4169" s="2" t="inlineStr">
        <is>
          <t>https://www.kino-teatr.ru/teatr/movie/118244/annot/</t>
        </is>
      </c>
      <c r="M4169" s="2">
        <f>HYPERLINK("https://ru.wikipedia.org/w/index.php?search=%D0%A2%D1%80%D0%B8%20%D1%81%D0%B5%D1%81%D1%82%D1%80%D1%8B%201989%20%D1%84%D0%B8%D0%BB%D1%8C%D0%BC","искать")</f>
        <v/>
      </c>
      <c r="N4169" s="3" t="n"/>
      <c r="O4169" s="2" t="n"/>
    </row>
    <row r="4170">
      <c r="A4170" s="2" t="n">
        <v>4169</v>
      </c>
      <c r="B4170" s="2" t="inlineStr"/>
      <c r="C4170" s="2" t="n">
        <v>11011</v>
      </c>
      <c r="D4170" s="3" t="inlineStr">
        <is>
          <t>Сашка</t>
        </is>
      </c>
      <c r="E4170" s="2" t="n">
        <v>1983</v>
      </c>
      <c r="F4170" s="2" t="inlineStr">
        <is>
          <t>фильм-спектакль</t>
        </is>
      </c>
      <c r="G4170" s="2" t="inlineStr">
        <is>
          <t>Главная редакция литературно-драматических программ ЦТ</t>
        </is>
      </c>
      <c r="H4170" s="2" t="n">
        <v>976</v>
      </c>
      <c r="I4170" s="2" t="inlineStr"/>
      <c r="J4170" s="2" t="inlineStr"/>
      <c r="K4170" s="3" t="inlineStr">
        <is>
          <t>По одноименной повести В.Кондратьева в постановке Государственного академического театра имени Моссовета.
Всё повествование — это первые пять месяцев войны, события, которые ежедневно происходят со вчерашним подростком на фронте. Немец, которого Сашка берёт в плен, медсестра Зина, в которую он влюблён, комбат, приказавший ему расстрелять немца, спутники раненого Сашки по пути в тыловой госпиталь, деревенская красавица Паша — все люди, которых он встречает на фронтовых дорогах, — во многом меняют мировоззрение молодого человека и формируют его личность. В череде всех этих встреч и расставаний Сашка по-настоящему узнаёт сам себя, свой собственный характер. «Сашка» — это история человека, оказавшегося в самое трудное время в самом трудном месте и на самой трудной должности — солдатской. Мне кажется, что, не прочитай я «Сашки», мне бы чего-то не хватало — не в литературе, а просто-напросто в жизни", — писал в предисловии к первому изданию повести Константин Симонов.</t>
        </is>
      </c>
      <c r="L4170" s="2" t="inlineStr">
        <is>
          <t>https://www.kino-teatr.ru/teatr/movie/79176/annot/</t>
        </is>
      </c>
      <c r="M4170" s="2">
        <f>HYPERLINK("https://ru.wikipedia.org/w/index.php?search=%D0%A1%D0%B0%D1%88%D0%BA%D0%B0%201983%20%D1%84%D0%B8%D0%BB%D1%8C%D0%BC","искать")</f>
        <v/>
      </c>
      <c r="N4170" s="3" t="n"/>
      <c r="O4170" s="2" t="n"/>
    </row>
    <row r="4171">
      <c r="A4171" s="2" t="n">
        <v>4170</v>
      </c>
      <c r="B4171" s="2" t="inlineStr"/>
      <c r="C4171" s="2" t="n">
        <v>11151</v>
      </c>
      <c r="D4171" s="3" t="inlineStr">
        <is>
          <t>Жениться - не журиться</t>
        </is>
      </c>
      <c r="E4171" s="2" t="n">
        <v>1987</v>
      </c>
      <c r="F4171" s="2" t="inlineStr">
        <is>
          <t>фильм-спектакль</t>
        </is>
      </c>
      <c r="G4171" s="2" t="inlineStr">
        <is>
          <t>Главная редакция литературно-драматических программ ЦТ</t>
        </is>
      </c>
      <c r="H4171" s="2" t="n">
        <v>1013</v>
      </c>
      <c r="I4171" s="2" t="inlineStr"/>
      <c r="J4171" s="2" t="inlineStr"/>
      <c r="K4171" s="3" t="inlineStr">
        <is>
          <t>По водевилям М.Чарота "Михалка" и "Микитов лапоть", объединённым общей темой "брак по расчету". В постановке Белорусского государственного академического театра имени Янки Купалы.
Первая серия - по водевилю "Михалка". Герой водевиля Михалка влюбился в молоденькую дворовую девушку. Но его родители настаивали, чтобы он женился на богатой "девице", которая была нехороша собой и явно старше названного ею возраста. Немало стараний пришлось приложить влюбленным, чтобы установить подлинный возраст "невесты" и добиться отмены намеченной свадьбы.
Вторая серия. Две семьи, живущие по-соседству друг с другом, хотят сосватать своих детей, но родители жениха и невесты все время ссорятся между собой, и свадьба откладывается. Приятель жениха Микита, которому очень понравилась чужая невеста, пытается проникнуть к ней в сад, но по дороге теряет свой лапоть. Нашедший лапоть отец невесты решает, что Микита пробирался к его жене. Происшествие на время примиряет соседей и помогает жениху и невесте соединить свои судьбы.</t>
        </is>
      </c>
      <c r="L4171" s="2" t="inlineStr">
        <is>
          <t>https://www.kino-teatr.ru/teatr/movie/81294/annot/</t>
        </is>
      </c>
      <c r="M4171" s="2">
        <f>HYPERLINK("https://ru.wikipedia.org/w/index.php?search=%D0%96%D0%B5%D0%BD%D0%B8%D1%82%D1%8C%D1%81%D1%8F%20-%20%D0%BD%D0%B5%20%D0%B6%D1%83%D1%80%D0%B8%D1%82%D1%8C%D1%81%D1%8F%201987%20%D1%84%D0%B8%D0%BB%D1%8C%D0%BC","искать")</f>
        <v/>
      </c>
      <c r="N4171" s="3" t="n"/>
      <c r="O4171" s="2" t="n"/>
    </row>
    <row r="4172">
      <c r="A4172" s="2" t="n">
        <v>4171</v>
      </c>
      <c r="B4172" s="2" t="inlineStr"/>
      <c r="C4172" s="2" t="n">
        <v>11222</v>
      </c>
      <c r="D4172" s="3" t="inlineStr">
        <is>
          <t>Про Федота-стрельца, удалого молодца</t>
        </is>
      </c>
      <c r="E4172" s="2" t="n">
        <v>1988</v>
      </c>
      <c r="F4172" s="2" t="inlineStr">
        <is>
          <t>фильм-спектакль</t>
        </is>
      </c>
      <c r="G4172" s="2" t="inlineStr">
        <is>
          <t>Гостелерадио СССР</t>
        </is>
      </c>
      <c r="H4172" s="2" t="n">
        <v>1014</v>
      </c>
      <c r="I4172" s="2" t="inlineStr"/>
      <c r="J4172" s="2" t="inlineStr"/>
      <c r="K4172" s="3" t="inlineStr">
        <is>
          <t>«Сказка про Федота-стрельца, удалого молодца» — это наиболее известное поэтическое произведение Леонида Филатова, написанное в 1985 году. По нему поставлено множество спектаклей в различных театрах России и СНГ, а также сняты фильмы и мультфильм. Однако по зрительским отзывам, именно этот телеспектакль, в котором снялся сам Леонид Филатов в жанре театра одного актёра, считается самой лучшей экранизацией.
Сюжет произведения традиционен для многих русских народных сказок: царь, желая извести стрельца и жениться на его супруге, придумывает для героя испытания. Последнее испытание — неисполнимая задача принести «то, чего не может быть». Решение удачливым героем этой загадки приводит царя к потере престола.
Традиционные герои произведения — Царь, Комендант (Генерал у Филатова), Федот-стрелец, его Жена (Маруся), Баба-Яга, Молодцы-помощники (Тит Кузьмич и Фрол Фомич), Шмат-разум (Голос или То-Чаво-Не-Может-Быть). В дополнение к героям сказки-источника Леонид Филатов вводит в повествование Царевну и Няньку.</t>
        </is>
      </c>
      <c r="L4172" s="2" t="inlineStr">
        <is>
          <t>https://www.kino-teatr.ru/teatr/movie/83563/annot/</t>
        </is>
      </c>
      <c r="M4172" s="2">
        <f>HYPERLINK("https://ru.wikipedia.org/w/index.php?search=%D0%9F%D1%80%D0%BE%20%D0%A4%D0%B5%D0%B4%D0%BE%D1%82%D0%B0-%D1%81%D1%82%D1%80%D0%B5%D0%BB%D1%8C%D1%86%D0%B0%2C%20%D1%83%D0%B4%D0%B0%D0%BB%D0%BE%D0%B3%D0%BE%20%D0%BC%D0%BE%D0%BB%D0%BE%D0%B4%D1%86%D0%B0%201988%20%D1%84%D0%B8%D0%BB%D1%8C%D0%BC","искать")</f>
        <v/>
      </c>
      <c r="N4172" s="3" t="n"/>
      <c r="O4172" s="2" t="n"/>
    </row>
    <row r="4173">
      <c r="A4173" s="2" t="n">
        <v>4172</v>
      </c>
      <c r="B4173" s="2" t="inlineStr"/>
      <c r="C4173" s="2" t="n">
        <v>11159</v>
      </c>
      <c r="D4173" s="3" t="inlineStr">
        <is>
          <t>Каменный цветок</t>
        </is>
      </c>
      <c r="E4173" s="2" t="n">
        <v>1987</v>
      </c>
      <c r="F4173" s="2" t="inlineStr">
        <is>
          <t>фильм-спектакль</t>
        </is>
      </c>
      <c r="G4173" s="2" t="inlineStr">
        <is>
          <t>Творческое объединение "Экран"</t>
        </is>
      </c>
      <c r="H4173" s="2" t="n">
        <v>1015</v>
      </c>
      <c r="I4173" s="2" t="inlineStr"/>
      <c r="J4173" s="2" t="inlineStr"/>
      <c r="K4173" s="3" t="inlineStr">
        <is>
          <t>По мотивам сказов Павла Бажова "Каменный цветок" и "Горный мастер" в постановке Государственного академического Малого театра.
Ещё мальчиком, обучаясь у старого мастера Прокопьича, Данила овладел тайнами обработки камня, научился создавать из малахита замечательные изделия. Шкатулка и чаша, сделанные им по заказу барина, вызывают всеобщее восхищение. Радуется работе мастера и невеста Данилы, скромная девушка Катенька. Только сам Данила не удовлетворён своей работой. Он стремится к совершенству в искусстве резьбы по камню.
По зову Хозяйки Медной горы, прекрасной владычицы уральских подземных богатств, Данила спускается в её царство. Но ни её холодная красота, ни ослепительный блеск драгоценных камней, ни художественное совершенство волшебного каменного цветка не могут заставить Данилу забыть о земных людях. Его невеста Катенька отправляется на поиски любимого. Не покорив сердца Данилы, подземная царица отпускает пленника. Она позволяет Даниле унести наверх познанную им в подземном царстве тайну камня.</t>
        </is>
      </c>
      <c r="L4173" s="2" t="inlineStr">
        <is>
          <t>https://www.kino-teatr.ru/teatr/movie/81199/annot/</t>
        </is>
      </c>
      <c r="M4173" s="2">
        <f>HYPERLINK("https://ru.wikipedia.org/w/index.php?search=%D0%9A%D0%B0%D0%BC%D0%B5%D0%BD%D0%BD%D1%8B%D0%B9%20%D1%86%D0%B2%D0%B5%D1%82%D0%BE%D0%BA%201987%20%D1%84%D0%B8%D0%BB%D1%8C%D0%BC","искать")</f>
        <v/>
      </c>
      <c r="N4173" s="3" t="n"/>
      <c r="O4173" s="2" t="n"/>
    </row>
    <row r="4174">
      <c r="A4174" s="2" t="n">
        <v>4173</v>
      </c>
      <c r="B4174" s="2" t="inlineStr"/>
      <c r="C4174" s="2" t="n">
        <v>10094</v>
      </c>
      <c r="D4174" s="3" t="inlineStr">
        <is>
          <t>Золотая долина</t>
        </is>
      </c>
      <c r="E4174" s="2" t="n">
        <v>1962</v>
      </c>
      <c r="F4174" s="2" t="inlineStr">
        <is>
          <t>фильм-спектакль</t>
        </is>
      </c>
      <c r="G4174" s="2" t="n"/>
      <c r="H4174" s="2" t="n">
        <v>1017</v>
      </c>
      <c r="I4174" s="2" t="inlineStr"/>
      <c r="J4174" s="2" t="inlineStr"/>
      <c r="K4174" s="3" t="inlineStr">
        <is>
          <t>Спектакль Московского театра оперетты.
Советская лирико-романтическая оперетта о дружбе народов в Советской стране.
Золотая долина – цветочная плантация в Грузии. Недостаток воды грозит посадкам гибелью, т.к. обвалы преградили дороги горным ручьям вниз. Директор плантации Сандро обращается за помощью к русским геологам, надеясь, что они сумеют не только объяснить причины частых горных обвалов, но и вернуть долине её плодородие. Вместе с работниками Золотой долины, среди которых старуха повариха Кэто, ботаник Нина (дочь директора плантации), геологи во главе с Николаем Бочаровым совершают поход в горы и находят горное озеро. Красноармейцы-сапёры взрывают обвалившиеся породы, и Золотая долина оживает. Одновременно побеждаются национальные предрассудки, сапёр-пенсионер Онисим Бобриков встречает своего внука – лейтенанта Красной Армии. Кроме того, на пороге своего счастья оказывается пара главных лирических героев (Нина и Николай), а также харaктерная пара (Кэто и Онисим) и каскадная пара (Ольга и Павлик).</t>
        </is>
      </c>
      <c r="L4174" s="2" t="inlineStr">
        <is>
          <t>https://www.kino-teatr.ru/teatr/movie/86572/annot/</t>
        </is>
      </c>
      <c r="M4174" s="2">
        <f>HYPERLINK("https://ru.wikipedia.org/w/index.php?search=%D0%97%D0%BE%D0%BB%D0%BE%D1%82%D0%B0%D1%8F%20%D0%B4%D0%BE%D0%BB%D0%B8%D0%BD%D0%B0%201962%20%D1%84%D0%B8%D0%BB%D1%8C%D0%BC","искать")</f>
        <v/>
      </c>
      <c r="N4174" s="3" t="n"/>
      <c r="O4174" s="2" t="n"/>
    </row>
    <row r="4175">
      <c r="A4175" s="2" t="n">
        <v>4174</v>
      </c>
      <c r="B4175" s="2" t="inlineStr"/>
      <c r="C4175" s="2" t="n">
        <v>10284</v>
      </c>
      <c r="D4175" s="3" t="inlineStr">
        <is>
          <t>Анна Снегина</t>
        </is>
      </c>
      <c r="E4175" s="2" t="n">
        <v>1969</v>
      </c>
      <c r="F4175" s="2" t="inlineStr">
        <is>
          <t>фильм-спектакль</t>
        </is>
      </c>
      <c r="G4175" s="2" t="inlineStr">
        <is>
          <t>Центральное телевидение</t>
        </is>
      </c>
      <c r="H4175" s="2" t="n">
        <v>1051</v>
      </c>
      <c r="I4175" s="2" t="inlineStr"/>
      <c r="J4175" s="2" t="inlineStr"/>
      <c r="K4175" s="3" t="inlineStr">
        <is>
          <t>Телеопера по поэме С.Есенина.
Особенностью поэмы "Анна Снегина" является слияние эпического и лирического жанров в единое нераздельное целое. В поэме нет сквозного действия, нет последовательного рассказа о событиях. Они даны отдельными эпизодами, автора интересуют его собственные впечатления и переживания от столкновения с этими событиями. Лирический герой поэмы выступает и как рассказчик, и как герой произведения, и как участник событий предреволюционного и революционного времени. Поэма начинается и заканчивается лирическим аккордом -- воспоминания автора о ранней юности, о "девушке в белой накидке". Развитие сюжета начинается в первой части поэмы: герой возвращается в родные места после трехлетнего отсутствия. Свершилась февральская революция, но война продолжается, земли крестьяне не получили. Назревают новые грозные события. Но герой хочет остаться в стороне от них, отдохнуть в общении с природой, вспомнить юность. Но события сами врываются в его жизнь. Он только что пришел с войны, бросил винтовку и "решил лишь в стихах воевать".</t>
        </is>
      </c>
      <c r="L4175" s="2" t="inlineStr">
        <is>
          <t>https://www.kino-teatr.ru/teatr/movie/80536/annot/</t>
        </is>
      </c>
      <c r="M4175" s="2">
        <f>HYPERLINK("https://ru.wikipedia.org/w/index.php?search=%D0%90%D0%BD%D0%BD%D0%B0%20%D0%A1%D0%BD%D0%B5%D0%B3%D0%B8%D0%BD%D0%B0%201969%20%D1%84%D0%B8%D0%BB%D1%8C%D0%BC","искать")</f>
        <v/>
      </c>
      <c r="N4175" s="3" t="n"/>
      <c r="O4175" s="2" t="n"/>
    </row>
    <row r="4176">
      <c r="A4176" s="2" t="n">
        <v>4175</v>
      </c>
      <c r="B4176" s="2" t="inlineStr"/>
      <c r="C4176" s="2" t="n">
        <v>10155</v>
      </c>
      <c r="D4176" s="3" t="inlineStr">
        <is>
          <t>Старые друзья</t>
        </is>
      </c>
      <c r="E4176" s="2" t="n">
        <v>1965</v>
      </c>
      <c r="F4176" s="2" t="inlineStr">
        <is>
          <t>фильм-спектакль</t>
        </is>
      </c>
      <c r="G4176" s="2" t="inlineStr">
        <is>
          <t>Ленинградское телевидение</t>
        </is>
      </c>
      <c r="H4176" s="2" t="n">
        <v>1053</v>
      </c>
      <c r="I4176" s="2" t="inlineStr"/>
      <c r="J4176" s="2" t="inlineStr"/>
      <c r="K4176" s="3" t="inlineStr">
        <is>
          <t>Пьеса "Старые друзья" (1945) стала дебютом Леонида Малюгина как драматурга. В ней прослеживаются судьбы молодых людей, окончивших одну из ленинградских школ в июне 1941 года. У них, по словам автора, "не было в жизни выпускного вечера - выпустили их не вечером, а утром - и прямо на войну". Война устроила им суровую проверку на зрелость, на постоянство и верность в любви, в своих жизненных идеалах и целях. Изменения в их характерах на протяжении войны предопределили сближение одних и неизбежное расхождение других.
Первая же самостоятельная пьеса Малюгина принесла ему редкую удачу: она была удостоена Сталинской премии по литературе и с большим успехом воплощена на сцене Московского драматического театра им. М.Н.Ермоловой (1946, реж. А.М.Лобанов). Спектакль стал событием послевоенной театральной жизни, после чего пьеса обошла сцены многих театров страны. Необычность ситуации заключалась в том, что первая пьеса автора сразу же оказалась зрелой, а автором ее был театральный критик, который и потом, став драматургом, не перестал быть критиком.</t>
        </is>
      </c>
      <c r="L4176" s="2" t="inlineStr">
        <is>
          <t>https://www.kino-teatr.ru/teatr/movie/122683/annot/</t>
        </is>
      </c>
      <c r="M4176" s="2">
        <f>HYPERLINK("https://ru.wikipedia.org/w/index.php?search=%D0%A1%D1%82%D0%B0%D1%80%D1%8B%D0%B5%20%D0%B4%D1%80%D1%83%D0%B7%D1%8C%D1%8F%201965%20%D1%84%D0%B8%D0%BB%D1%8C%D0%BC","искать")</f>
        <v/>
      </c>
      <c r="N4176" s="3" t="n"/>
      <c r="O4176" s="2" t="n"/>
    </row>
    <row r="4177">
      <c r="A4177" s="2" t="n">
        <v>4176</v>
      </c>
      <c r="B4177" s="2" t="inlineStr"/>
      <c r="C4177" s="2" t="n">
        <v>9985</v>
      </c>
      <c r="D4177" s="3" t="inlineStr">
        <is>
          <t>Любимые песни</t>
        </is>
      </c>
      <c r="E4177" s="2" t="n">
        <v>1982</v>
      </c>
      <c r="F4177" s="2" t="inlineStr">
        <is>
          <t>телефильм</t>
        </is>
      </c>
      <c r="G4177" s="2" t="inlineStr">
        <is>
          <t>Главная редакция музыкальных программ ЦТ</t>
        </is>
      </c>
      <c r="H4177" s="2" t="n">
        <v>1066</v>
      </c>
      <c r="I4177" s="2" t="inlineStr"/>
      <c r="J4177" s="2" t="inlineStr"/>
      <c r="K4177" s="3" t="inlineStr">
        <is>
          <t>В фильме звучат песни в исполнении Людмилы Гурченко в сопровождении инструментального ансамбля «Мелодия» под управлением Григория Гараняна.
1. "Ты сама догадайся" Музыка: Бирюков Ю. Стихи: Фатьянов А. ,
2. "Одинокая гармонь" Музыка: Мокроусов Б. Стихи: Исаковский М.
3. "Старый клен" Музыка: Пахмутова А. Стихи: Матусовский М.,
4. "За дальнею околицей" Музыка: Будашкин Н. Стихи: Акулов Т. ,
5. "Нет, мой милый" Музыка: Фрадкин М. Стихи: Долматовский Е.,
6. "Московские окна" Музыка: Хренников Т. Стихи: Матусовский М.,
7. "Ночной разговор" (музыка Марк Фрадкин, слова В.Лазарев)
8. "В городском" Музыка: Блантер М. Стихи: Фатьянов А.,
9. "На карнавале" Музыка: Хренников Т. Стихи: Коваль Н.,
10. "Если любишь найди" (К. Листов — Л. Ошанин).
11. "Сядь со мною рядом" (С. Кац — А. Коваленков, Д. Толкачёв)
12. "Белая ночь",
13. "Песня о любви" Музыка: Фрадкин М. Стихи: Доризо Н.
14. "Когда проходит молодость" Музыка: Сорокин В. Стихи: Фатьянов А,
15. "Не грусти" Музыка:Мурадели В. Стихи: Халецкий Я.,
16. "Дорогие мои, москвичи" Музыка:Дунаевский И. Стихи: Масс В.</t>
        </is>
      </c>
      <c r="L4177" s="2" t="inlineStr">
        <is>
          <t>https://www.kino-teatr.ru/short/movie/sov/104398/annot/</t>
        </is>
      </c>
      <c r="M4177" s="2">
        <f>HYPERLINK("https://ru.wikipedia.org/w/index.php?search=%D0%9B%D1%8E%D0%B1%D0%B8%D0%BC%D1%8B%D0%B5%20%D0%BF%D0%B5%D1%81%D0%BD%D0%B8%201982%20%D1%84%D0%B8%D0%BB%D1%8C%D0%BC","искать")</f>
        <v/>
      </c>
      <c r="N4177" s="3" t="n"/>
      <c r="O4177" s="2" t="n"/>
    </row>
    <row r="4178">
      <c r="A4178" s="2" t="n">
        <v>4177</v>
      </c>
      <c r="B4178" s="2" t="inlineStr"/>
      <c r="C4178" s="2" t="n">
        <v>11040</v>
      </c>
      <c r="D4178" s="3" t="inlineStr">
        <is>
          <t>Ретро</t>
        </is>
      </c>
      <c r="E4178" s="2" t="n">
        <v>1984</v>
      </c>
      <c r="F4178" s="2" t="inlineStr">
        <is>
          <t>фильм-спектакль</t>
        </is>
      </c>
      <c r="G4178" s="2" t="inlineStr">
        <is>
          <t>Литовское телевидение</t>
        </is>
      </c>
      <c r="H4178" s="2" t="n">
        <v>1079</v>
      </c>
      <c r="I4178" s="2" t="inlineStr"/>
      <c r="J4178" s="2" t="inlineStr"/>
      <c r="K4178" s="3" t="inlineStr">
        <is>
          <t>Телеспектакль по пьесе Александра Галина в постановке Русского драматического театра Литвы.
Старика Чмутина после смерти жены взяла к себе дочь Людмила. Но неуютно, холодно и тоскливо старику в удобной московской квартире. И вот дочь и зять решают его женить. Леонид находит для знакомства возможных "претенденток". Причем, чтобы не особенно церемониться и не тянуть время, он приглашает всех троих в один вечер, отпуская каждой на визит по часу. А женщины путают все его планы и приходят чуть ли не одновременно: Нина Ивановна, проработавшая много лет медсестрой, Роза Александровна, бывшая балерина, и Диана Владимировна.
Для четырёх пожилых людей это неожиданная встреча, так нелепо затеянная и устроенная Леонидом, дала возможность многое вспомнить и светло погрустить, ощутить теплоту искреннего внимания и нежную заботу, наконец, самому поддержать кого-то в трудную минуту.
Спектакль возвращает нас к старым, но отнюдь не устаревшим человеческим отношениям, говорит о доброте, искренности, взаимопонимании, сочувствии, приглашает нас пристальнее вглядеться в нашу же жизнь.</t>
        </is>
      </c>
      <c r="L4178" s="2" t="inlineStr">
        <is>
          <t>https://www.kino-teatr.ru/teatr/movie/106092/annot/</t>
        </is>
      </c>
      <c r="M4178" s="2">
        <f>HYPERLINK("https://ru.wikipedia.org/w/index.php?search=%D0%A0%D0%B5%D1%82%D1%80%D0%BE%201984%20%D1%84%D0%B8%D0%BB%D1%8C%D0%BC","искать")</f>
        <v/>
      </c>
      <c r="N4178" s="3" t="n"/>
      <c r="O4178" s="2" t="n"/>
    </row>
    <row r="4179">
      <c r="A4179" s="2" t="n">
        <v>4178</v>
      </c>
      <c r="B4179" s="2" t="inlineStr"/>
      <c r="C4179" s="2" t="n">
        <v>10467</v>
      </c>
      <c r="D4179" s="3" t="inlineStr">
        <is>
          <t>РЇ - Р РѕР±РёРЅ Р“СѓРґ</t>
        </is>
      </c>
      <c r="E4179" s="2" t="n">
        <v>1972</v>
      </c>
      <c r="F4179" s="2" t="inlineStr">
        <is>
          <t>фильм-спектакль</t>
        </is>
      </c>
      <c r="G4179" s="2" t="n"/>
      <c r="H4179" s="2" t="n">
        <v>1083</v>
      </c>
      <c r="I4179" s="2" t="inlineStr"/>
      <c r="J4179" s="2" t="inlineStr"/>
      <c r="K4179" s="3" t="inlineStr">
        <is>
          <t>РџРѕ РјРѕС‚РёРІР°Рј РѕРґРЅРѕРёРјРµРЅРЅРѕРіРѕ РїСЂРѕРёР·РІРµРґРµРЅРёСЏ Р®СЂРёСЏ РҐР°Р·Р°РЅРѕРІР°.
РўРµР»РµСЃРїРµРєС‚Р°РєР»СЊ Рѕ СЂР°Р·РЅС‹С… РёРЅС‚РµСЂРµСЃРЅС‹С… СЃРѕР±С‹С‚РёСЏС… Рё СЃР»СѓС‡Р°СЏС… РёР· Р¶РёР·РЅРё С€РєРѕР»СЊРЅРёРєРѕРІ - С…СЂР°Р±СЂРµС†Р°С… Рё РїСЂР°РІРґРѕР»СЋР±С†Р°С…, РїСЂСЏРјРѕР»РёРЅРµР№РЅС‹С… Рё СЃРєСЂС‹С‚РЅС‹С…. РЎ РЅРёРјРё РІСЃРµ РІСЂРµРјСЏ РїСЂРѕРёСЃС…РѕРґРёС‚ С‡С‚Рѕ-С‚Рѕ РёРЅС‚РµСЂРµСЃРЅРѕРµ - РІ С€РєРѕР»Рµ, РґРѕРјР°, РІРѕ РґРІРѕСЂРµ. Р­С‚Рѕ СЂР°СЃСЃРєР°Р· Рѕ С€РєРѕР»СЊРЅРёРєРµ, РєРѕС‚РѕСЂРѕРјСѓ РїРѕРґРґРµСЂР¶РєР° РґСЂСѓР·РµР№ РїРѕРјРѕРіР»Р° РїСЂРµРѕРґРѕР»РµС‚СЊ Р±РѕР»РµР·РЅСЊ.
РђРІС‚РѕСЂ РїРѕРґРЅРёРјР°РµС‚ РІР°Р¶РЅС‹Рµ РЅСЂР°РІСЃС‚РІРµРЅРЅС‹Рµ РїСЂРѕР±Р»РµРјС‹ - РґРѕР»РіР°, РґРѕРІРµСЂРёСЏ, РѕС‚РЅРѕС€РµРЅРёСЏ РґСЂСѓРі Рє РґСЂСѓРіСѓ. Р Р°СЃСЃРєР°Р·С‹РІР°СЏ Рѕ СЃРјРµС€РЅРѕРј Рё СЃРµСЂСЊС‘Р·РЅРѕРј, Рѕ РІРµСЃС‘Р»РѕРј Рё РіСЂСѓСЃС‚РЅРѕРј, Р®СЂРёР№ РҐР°Р·Р°РЅРѕРІ РЅРёРєРѕРіРґР° РЅРµ Р·Р°Р±С‹РІР°РµС‚ РЅР°РїРѕРјРЅРёС‚СЊ, С‡С‚Рѕ "С‡РµСЃС‚СЊ - СЌС‚Рѕ РїСЂР°РІРґРёРІРѕСЃС‚СЊ, С‡РµСЃС‚СЊ - СЌС‚Рѕ СЃРјРµР»РѕСЃС‚СЊ. РЎР»РѕРІРѕРј, С‡РµСЃС‚СЊ - СЌС‚Рѕ Р§РµСЃС‚СЊ".</t>
        </is>
      </c>
      <c r="L4179" s="2" t="inlineStr">
        <is>
          <t>https://www.kino-teatr.ru/teatr/movie/105656/annot/</t>
        </is>
      </c>
      <c r="M4179" s="2">
        <f>HYPERLINK("https://ru.wikipedia.org/w/index.php?search=%D0%A0%D0%87%20-%20%D0%A0%20%D0%A0%D1%95%D0%A0%C2%B1%D0%A0%D1%91%D0%A0%D0%85%20%D0%A0%E2%80%9C%D0%A1%D1%93%D0%A0%D2%91%201972%20%D1%84%D0%B8%D0%BB%D1%8C%D0%BC","искать")</f>
        <v/>
      </c>
      <c r="N4179" s="3" t="n"/>
      <c r="O4179" s="2" t="n"/>
    </row>
    <row r="4180">
      <c r="A4180" s="2" t="n">
        <v>4179</v>
      </c>
      <c r="B4180" s="2" t="inlineStr"/>
      <c r="C4180" s="2" t="n">
        <v>10995</v>
      </c>
      <c r="D4180" s="3" t="inlineStr">
        <is>
          <t>Месье Ленуар, который...</t>
        </is>
      </c>
      <c r="E4180" s="2" t="n">
        <v>1983</v>
      </c>
      <c r="F4180" s="2" t="inlineStr">
        <is>
          <t>фильм-спектакль</t>
        </is>
      </c>
      <c r="G4180" s="2" t="inlineStr">
        <is>
          <t>Главная редакция лит-драм программ ЦТ</t>
        </is>
      </c>
      <c r="H4180" s="2" t="n">
        <v>1102</v>
      </c>
      <c r="I4180" s="2" t="inlineStr"/>
      <c r="J4180" s="2" t="inlineStr"/>
      <c r="K4180" s="3" t="inlineStr">
        <is>
          <t>Телеспектакль по пьесе Армана Салакру "Архипелаг Ленуар".
Глава фирмы и семейства месье Поль-Альбер Ленуар совершил преступление. Родственники собираются на семейный совет, чтобы защитить, прежде всего, свою честь и деньги. Они даже готовы убить старика или, на крайний случай, вынудить его совершить самоубийство. Но никто из них не замечает тихого слугу Жозефа, который уже все решил за них…
«Звездный» актерский состав и прекрасная режиссура доставят истинное удовольствие поклонникам театрального искусства.
Интересный факт: первоначально у телеспектакля было рабочее название «Архипелаг Ленуар». Примерно в тоже время Вениамин Смехов участвовал в пьесе «Ярты Гулак» («Верблюжье Ушко»), поставленной на основе туркменских сказок. Через некоторое время спешно сменили и название телеспектакля, и название пьесы. Телеспектакль получил название «Господин Ленуар, который…» (позже «Месье Ленуар, который…»), а пьесу назвали «Сказки каракумского ветра». Сам Вениамин Смехов связывает эту историю с тем, что объединенное название двух его работ было созвучным названию книги Солженицына «Архипелаг ГУЛАГ»</t>
        </is>
      </c>
      <c r="L4180" s="2" t="inlineStr">
        <is>
          <t>https://www.kino-teatr.ru/teatr/movie/16399/annot/</t>
        </is>
      </c>
      <c r="M4180" s="2">
        <f>HYPERLINK("https://ru.wikipedia.org/w/index.php?search=%D0%9C%D0%B5%D1%81%D1%8C%D0%B5%20%D0%9B%D0%B5%D0%BD%D1%83%D0%B0%D1%80%2C%20%D0%BA%D0%BE%D1%82%D0%BE%D1%80%D1%8B%D0%B9...%201983%20%D1%84%D0%B8%D0%BB%D1%8C%D0%BC","искать")</f>
        <v/>
      </c>
      <c r="N4180" s="3" t="n"/>
      <c r="O4180" s="2" t="n"/>
    </row>
    <row r="4181">
      <c r="A4181" s="2" t="n">
        <v>4180</v>
      </c>
      <c r="B4181" s="2" t="inlineStr"/>
      <c r="C4181" s="2" t="n">
        <v>10097</v>
      </c>
      <c r="D4181" s="3" t="inlineStr">
        <is>
          <t>Композитор Ференц Легар</t>
        </is>
      </c>
      <c r="E4181" s="2" t="n">
        <v>1962</v>
      </c>
      <c r="F4181" s="2" t="inlineStr">
        <is>
          <t>фильм-спектакль</t>
        </is>
      </c>
      <c r="G4181" s="2" t="n"/>
      <c r="H4181" s="2" t="n">
        <v>1103</v>
      </c>
      <c r="I4181" s="2" t="inlineStr"/>
      <c r="J4181" s="2" t="inlineStr"/>
      <c r="K4181" s="3" t="inlineStr">
        <is>
          <t>О жизни и творчестве венгерского композитора Ференца Легара рассказывает артист Московского театра оперетты Григорий Маркович Ярон. В отрывках из спектаклей участвуют артисты Московского театра оперетты, Московского театра им. К.С.Станиславского и В.И.Немировича-Данченко, Большого театра.
Сцены и арии из оперетт композитора:
- "Весёлая вдова" исполняют: Мирдза Озолиня, Николай Рубан
- "Граф Люксембург" исполняют: Татьяна Шмыга, Алексей Феона, Ирина Муштакова, Григорий Ярон, Нелли Крылова, Николай Каширский, Василий Алчевский
- "Цыганская любовь" исполняют: Алла Еланская, Владимир Ивановский, Дина Потаповская, Георгий Дударев и артисты балета;
- "Ева" исполняют: Нонна Куралесина и артисты балета;
- "Там, где жаворонок поет" исполняет: Владимир Канделаки;
- "Страна улыбок" ("Желтая кофта") исполняет: Станислав Бруцин;
- "Танец стрекоз" исполняют: Татьяна Шмыга и артисты балета;
- "Паганини" исполняет: Николай Рубан;
- "Джудитта" исполняет: Зоя Белая.
А также фрагменты из зарубежного кинофильма, поставленного по оперетте "Веселая вдова" исполнители: Морис Шевалье, Жанетт Макдональд и балет</t>
        </is>
      </c>
      <c r="L4181" s="2" t="inlineStr">
        <is>
          <t>https://www.kino-teatr.ru/teatr/movie/86570/annot/</t>
        </is>
      </c>
      <c r="M4181" s="2">
        <f>HYPERLINK("https://ru.wikipedia.org/w/index.php?search=%D0%9A%D0%BE%D0%BC%D0%BF%D0%BE%D0%B7%D0%B8%D1%82%D0%BE%D1%80%20%D0%A4%D0%B5%D1%80%D0%B5%D0%BD%D1%86%20%D0%9B%D0%B5%D0%B3%D0%B0%D1%80%201962%20%D1%84%D0%B8%D0%BB%D1%8C%D0%BC","искать")</f>
        <v/>
      </c>
      <c r="N4181" s="3" t="n"/>
      <c r="O4181" s="2" t="n"/>
    </row>
    <row r="4182">
      <c r="A4182" s="2" t="n">
        <v>4181</v>
      </c>
      <c r="B4182" s="2" t="inlineStr"/>
      <c r="C4182" s="2" t="n">
        <v>10096</v>
      </c>
      <c r="D4182" s="3" t="inlineStr">
        <is>
          <t>Композитор Исаак Осипович Дунаевский</t>
        </is>
      </c>
      <c r="E4182" s="2" t="n">
        <v>1962</v>
      </c>
      <c r="F4182" s="2" t="inlineStr">
        <is>
          <t>фильм-спектакль</t>
        </is>
      </c>
      <c r="G4182" s="2" t="inlineStr">
        <is>
          <t>Центральное телевидение</t>
        </is>
      </c>
      <c r="H4182" s="2" t="n">
        <v>1121</v>
      </c>
      <c r="I4182" s="2" t="inlineStr"/>
      <c r="J4182" s="2" t="inlineStr"/>
      <c r="K4182" s="3" t="inlineStr">
        <is>
          <t>О жизни и творчестве композитора Исаака Дунаевского рассказывает артист Московского театра оперетты Григорий Маркович Ярон.
В отрывках из спектаклей участвуют артисты Московского театра оперетты, Московского театра им. К.С.Станиславского и В.И.Немировича-Данченко, Большого театра.
Сцены и арии из оперет композитора:
"Женихи":
Юрий Савельев, Василий Зарубеев, Александр Ткаченко, Григорий Ярон.
"Золотая долина":
Евгений Кибкало, Нелли Крылова, Николай Каширский, Ольга Власова, Серафим Аникеев, Татьяна Санина.
"Дороги к счастью":
Матвей Матвеев.
"Вольный ветер":
Зоя Белая, Юрий Богданов, Татьяна Шмыга, Нелли Крылова,
Борис Поваляев, Георгий Панков.
"Белая акация": Татьяна Шмыга, Анатолий Пиневич и Борис Витюхов.
Фантазия из оперетты "Соломенная шляпка":
эстрадно-симфонический оркестр телевидения и радио
(дирижер - Юрий Силантьев).
а также фрагменты из кинофильмов "Цирк", "Веселые ребята", "Дети капитана Гранта", "Богатая невеста", "Волга-Волга", "Белая акция", "Крылатая защита", "Испытание верности"
участвуют: Любовь Орлова, Леонид Утесов, Владимир Володин, Николай Черкасов, Марина Ладынина, Идалия Иванова.</t>
        </is>
      </c>
      <c r="L4182" s="2" t="inlineStr">
        <is>
          <t>https://www.kino-teatr.ru/teatr/movie/86568/annot/</t>
        </is>
      </c>
      <c r="M4182" s="2">
        <f>HYPERLINK("https://ru.wikipedia.org/w/index.php?search=%D0%9A%D0%BE%D0%BC%D0%BF%D0%BE%D0%B7%D0%B8%D1%82%D0%BE%D1%80%20%D0%98%D1%81%D0%B0%D0%B0%D0%BA%20%D0%9E%D1%81%D0%B8%D0%BF%D0%BE%D0%B2%D0%B8%D1%87%20%D0%94%D1%83%D0%BD%D0%B0%D0%B5%D0%B2%D1%81%D0%BA%D0%B8%D0%B9%201962%20%D1%84%D0%B8%D0%BB%D1%8C%D0%BC","искать")</f>
        <v/>
      </c>
      <c r="N4182" s="3" t="n"/>
      <c r="O4182" s="2" t="n"/>
    </row>
    <row r="4183">
      <c r="A4183" s="2" t="n">
        <v>4182</v>
      </c>
      <c r="B4183" s="2" t="inlineStr"/>
      <c r="C4183" s="2" t="n">
        <v>10890</v>
      </c>
      <c r="D4183" s="3" t="inlineStr">
        <is>
          <t>Любовь Яровая</t>
        </is>
      </c>
      <c r="E4183" s="2" t="n">
        <v>1981</v>
      </c>
      <c r="F4183" s="2" t="inlineStr">
        <is>
          <t>фильм-спектакль</t>
        </is>
      </c>
      <c r="G4183" s="2" t="n"/>
      <c r="H4183" s="2" t="n">
        <v>1123</v>
      </c>
      <c r="I4183" s="2" t="inlineStr"/>
      <c r="J4183" s="2" t="inlineStr"/>
      <c r="K4183" s="3" t="inlineStr">
        <is>
          <t>Спектакль Малого Театра.
По одноименной пьесе К.Тренева.
Революция разрушает не только основы общественного устройства, но и семью, и человеческие души. Муж и жена Яровые оказываются по разные стороны баррикад.
В пьесе нашли отражение исторические дни гражданской войны. Большевистское подполье действовало в белогвардейском стане. В революционный лагерь нередко проникали враждебно настроенные люди. В это тревожное время напряженных боев муж и жена Яровые потеряли друг друга и оказались но разным сторонам революционной баррикады. В памяти Любови Яровой ее муж остался человеком высокой чести и революционных убеждений. Это укрепляет в ней желание служить революции, продолжая дело любимого человека. Она принимает идеологию рабочего класса и выступает на стороне большевиков. Случайно во время захвата города белыми Любовь Яровая встречает мужа. Но после короткой радости встречи с ним она осознает, что Яровой связал свою судьбу с белогвардейцами, стал врагом революции. В душе женщины-революционерки возникает трагический конфликт между чувством любви к мужу и чувством долга перед товарищами по революционной борьбе.</t>
        </is>
      </c>
      <c r="L4183" s="2" t="inlineStr">
        <is>
          <t>https://www.kino-teatr.ru/teatr/movie/94678/annot/</t>
        </is>
      </c>
      <c r="M4183" s="2">
        <f>HYPERLINK("https://ru.wikipedia.org/w/index.php?search=%D0%9B%D1%8E%D0%B1%D0%BE%D0%B2%D1%8C%20%D0%AF%D1%80%D0%BE%D0%B2%D0%B0%D1%8F%201981%20%D1%84%D0%B8%D0%BB%D1%8C%D0%BC","искать")</f>
        <v/>
      </c>
      <c r="N4183" s="3" t="n"/>
      <c r="O4183" s="2" t="n"/>
    </row>
    <row r="4184">
      <c r="A4184" s="2" t="n">
        <v>4183</v>
      </c>
      <c r="B4184" s="2" t="inlineStr"/>
      <c r="C4184" s="2" t="n">
        <v>10977</v>
      </c>
      <c r="D4184" s="3" t="inlineStr">
        <is>
          <t>Ах, эти звёзды...</t>
        </is>
      </c>
      <c r="E4184" s="2" t="n">
        <v>1983</v>
      </c>
      <c r="F4184" s="2" t="inlineStr">
        <is>
          <t>фильм-спектакль</t>
        </is>
      </c>
      <c r="G4184" s="2" t="n"/>
      <c r="H4184" s="2" t="n">
        <v>1135</v>
      </c>
      <c r="I4184" s="2" t="inlineStr"/>
      <c r="J4184" s="2" t="inlineStr"/>
      <c r="K4184" s="3" t="inlineStr">
        <is>
          <t>Весной 1983 года театральный Ленинград сходил с ума. Обветшавшее здание Театрального института, что на Моховой, осаждали толпы страждущих. Трещали двери, рвались подметки, со всех аудиторий тащили стулья, сидели на полу, стояли в проходах. Выпускной курс А. Кацмана - Л. Додина показывал дипломный спектакль "Ах, эти звезды". Собственно, это был не спектакль, скорее то, что теперь называется затрепанным словом "шоу". Музыкальное представление с участием звезд мировой эстрады: Эллы Фицджералд, Лайзы Минелли, Элвиса Пресли, Жака Бреля и т.п. Их играли, пародировали, представляли студенты, которые на глазах экстатически восторженной, изумленной аудитории сами становились звездами. Во всех номерах они пели живьем, ни разу не унизившись до чужой фонограммы. Блистали многие. Этот курс был незаурядным и успешным просто по определению. И спектакль этот казался чудом, столь легки и не ко времени свободны были эти юные артисты, столь веселы, непосредственны и талантливы. Он быстро выпорхнул за пределы ЛГИТМиКа, прокатился по стране, собирая стадионы. Актеры сделались известны, и их мгновенно разобрали лучшие ленинградские театры.</t>
        </is>
      </c>
      <c r="L4184" s="2" t="inlineStr">
        <is>
          <t>https://www.kino-teatr.ru/teatr/movie/104383/annot/</t>
        </is>
      </c>
      <c r="M4184" s="2">
        <f>HYPERLINK("https://ru.wikipedia.org/w/index.php?search=%D0%90%D1%85%2C%20%D1%8D%D1%82%D0%B8%20%D0%B7%D0%B2%D1%91%D0%B7%D0%B4%D1%8B...%201983%20%D1%84%D0%B8%D0%BB%D1%8C%D0%BC","искать")</f>
        <v/>
      </c>
      <c r="N4184" s="3" t="n"/>
      <c r="O4184" s="2" t="n"/>
    </row>
    <row r="4185">
      <c r="A4185" s="2" t="n">
        <v>4184</v>
      </c>
      <c r="B4185" s="2" t="inlineStr"/>
      <c r="C4185" s="2" t="n">
        <v>10721</v>
      </c>
      <c r="D4185" s="3" t="inlineStr">
        <is>
          <t>Человек-невидимка</t>
        </is>
      </c>
      <c r="E4185" s="2" t="n">
        <v>1977</v>
      </c>
      <c r="F4185" s="2" t="inlineStr">
        <is>
          <t>фильм-спектакль</t>
        </is>
      </c>
      <c r="G4185" s="2" t="inlineStr">
        <is>
          <t>Ленинградское телевидение</t>
        </is>
      </c>
      <c r="H4185" s="2" t="n">
        <v>1149</v>
      </c>
      <c r="I4185" s="2" t="inlineStr"/>
      <c r="J4185" s="2" t="inlineStr"/>
      <c r="K4185" s="3" t="inlineStr">
        <is>
          <t>По мотивам одноименного романа Герберта Уэллса.
Эта невероятная история произошла в Англии 9 февраля 1896 года. В Айпинге, в трактире "Кучер и кони", неведомо откуда появился странный незнакомец, закутанный с головы до пят. Несмотря на бушевавшую в тот день вьюгу, он пришел с железнодорожной станции Брэмблхерст пешком, зябко кутаясь в широкое пальто. Шея его была замотана толстым шарфом, а лицо скрыто полями широкой фетровой шляпы; в руке, обтянутой толстой перчаткой, он держал небольшой черный саквояж. Хозяйка трактира миссис Холл любезно проводила незнакомца в его комнату, но удивлению ее не было предела, когда она увидела посетителя без шляпы! Лоб и уши этого человека от самого края синих очков были тщательно забинтованы, густые черные волосы пучками торчали, в беспорядке выбиваясь из-под перекрещенных бинтов. Нижнюю часть лица он прикрывал, салфеткой, так что ни его рта, ни подбородка не было видно. Конечно же миссис Холл была поражена его странным видом, но все-таки она была счастлива заполучить в это время года постояльца, да еще такого, который не торгуется. Ведь она даже и представить себе не могла последствий этого визита!</t>
        </is>
      </c>
      <c r="L4185" s="2" t="inlineStr">
        <is>
          <t>https://www.kino-teatr.ru/teatr/movie/111652/annot/</t>
        </is>
      </c>
      <c r="M4185" s="2">
        <f>HYPERLINK("https://ru.wikipedia.org/w/index.php?search=%D0%A7%D0%B5%D0%BB%D0%BE%D0%B2%D0%B5%D0%BA-%D0%BD%D0%B5%D0%B2%D0%B8%D0%B4%D0%B8%D0%BC%D0%BA%D0%B0%201977%20%D1%84%D0%B8%D0%BB%D1%8C%D0%BC","искать")</f>
        <v/>
      </c>
      <c r="N4185" s="3" t="n"/>
      <c r="O4185" s="2" t="n"/>
    </row>
    <row r="4186">
      <c r="A4186" s="2" t="n">
        <v>4185</v>
      </c>
      <c r="B4186" s="2" t="inlineStr"/>
      <c r="C4186" s="2" t="n">
        <v>10907</v>
      </c>
      <c r="D4186" s="3" t="inlineStr">
        <is>
          <t>Р РµРїРµС‚РёС‚РѕСЂ</t>
        </is>
      </c>
      <c r="E4186" s="2" t="n">
        <v>1981</v>
      </c>
      <c r="F4186" s="2" t="inlineStr">
        <is>
          <t>фильм-спектакль</t>
        </is>
      </c>
      <c r="G4186" s="2" t="n"/>
      <c r="H4186" s="2" t="n">
        <v>1154</v>
      </c>
      <c r="I4186" s="2" t="inlineStr"/>
      <c r="J4186" s="2" t="inlineStr"/>
      <c r="K4186" s="3" t="inlineStr">
        <is>
          <t>РџРѕ РѕРґРЅРѕРёРјРµРЅРЅРѕР№ РїСЊРµСЃРµ Р“.РџРѕР»РѕРЅСЃРєРѕРіРѕ РІ РїРѕСЃС‚Р°РЅРѕРІРєРµ РњРѕСЃРєРѕРІСЃРєРѕРіРѕ РҐСѓРґРѕР¶РµСЃС‚РІРµРЅРЅРѕРіРѕ Р°РєР°РґРµРјРёС‡РµСЃРєРѕРіРѕ С‚РµР°С‚СЂР°.
Р’С‹РїСѓСЃРєРЅРёРє РњР“РЈ Р•РІРіРµРЅРёР№ РћРіР°СЂС‹С€РµРІ РїСЂРёРµР·Р¶Р°РµС‚ СЃРѕ СЃРІРѕРµР№ Р±Р°Р±СѓС€РєРѕР№ РЅР° Р РёР¶СЃРєРѕРµ РІР·РјРѕСЂСЊРµ. Р—РґРµСЃСЊ РѕРЅ Р·РЅР°РєРѕРјРёС‚СЃСЏ СЃ РљР°С‚РµР№ Р‘Р°С‚РёСЃС‚РѕРІРѕР№, Р±РµР·Р·Р°Р±РѕС‚РЅРѕР№ Рё Р»РµРіРєРѕРјС‹СЃР»РµРЅРЅРѕР№ РґРµРІСѓС€РєРѕР№, РєРѕС‚РѕСЂРѕР№ РЅРµ СѓРґР°Р»РѕСЃСЊ РїРѕСЃС‚СѓРїРёС‚СЊ РІ РёРЅСЃС‚РёС‚СѓС‚. РЈРІР»РµРєС€РёСЃСЊ РљР°С‚РµР№, Р•РІРіРµРЅРёР№ РїРѕРјРѕРіР°РµС‚ РµР№ РІ РїРѕРґРіРѕС‚РѕРІРєРµ Рє РІСЃС‚СѓРїРёС‚РµР»СЊРЅС‹Рј СЌРєР·Р°РјРµРЅР°Рј. Р’РЅР°С‡Р°Р»Рµ РљР°С‚СЏ РІРѕР·Р»Р°РіР°РµС‚ РЅР°РґРµР¶РґС‹ РЅР° РїРѕРјРѕС‰СЊ РµРіРѕ Р±Р°Р±СѓС€РєРё - Р·РЅР°РјРµРЅРёС‚РѕР№ Р°РєС‚СЂРёСЃС‹, РјРµС‡С‚Р°СЏ РїРѕСЃС‚СѓРїРёС‚СЊ РІ С‚РµР°С‚СЂР°Р»СЊРЅС‹Р№ РёРЅСЃС‚РёС‚СѓС‚.РќРѕ РїРѕСЃС‚РµРїРµРЅРЅРѕ РѕР±С‰РµРЅРёРµ СЃ РёСЃРєСЂРµРЅРЅРёРј Рё С†РµР»РµСѓСЃС‚СЂРµРјР»РµРЅРЅС‹Рј Р–РµРЅРµР№ Р·Р°СЃС‚Р°РІР»СЏРµС‚ РµРµ СЃРµСЂСЊРµР·РЅРѕ РѕС‚РЅРµСЃС‚РёСЃСЊ Рє Р¶РёР·РЅРё. РџСЂРёС…РѕРґРёС‚ Рє РЅРµР№ Рё РЅР°СЃС‚РѕСЏС‰Р°СЏ Р»СЋР±РѕРІСЊ.</t>
        </is>
      </c>
      <c r="L4186" s="2" t="inlineStr">
        <is>
          <t>https://www.kino-teatr.ru/teatr/movie/81446/annot/</t>
        </is>
      </c>
      <c r="M4186" s="2">
        <f>HYPERLINK("https://ru.wikipedia.org/w/index.php?search=%D0%A0%20%D0%A0%C2%B5%D0%A0%D1%97%D0%A0%C2%B5%D0%A1%E2%80%9A%D0%A0%D1%91%D0%A1%E2%80%9A%D0%A0%D1%95%D0%A1%D0%82%201981%20%D1%84%D0%B8%D0%BB%D1%8C%D0%BC","искать")</f>
        <v/>
      </c>
      <c r="N4186" s="3" t="n"/>
      <c r="O4186" s="2" t="n"/>
    </row>
    <row r="4187">
      <c r="A4187" s="2" t="n">
        <v>4186</v>
      </c>
      <c r="B4187" s="2" t="inlineStr"/>
      <c r="C4187" s="2" t="n">
        <v>10514</v>
      </c>
      <c r="D4187" s="3" t="inlineStr">
        <is>
          <t>Разные люди</t>
        </is>
      </c>
      <c r="E4187" s="2" t="n">
        <v>1973</v>
      </c>
      <c r="F4187" s="2" t="inlineStr">
        <is>
          <t>фильм-спектакль</t>
        </is>
      </c>
      <c r="G4187" s="2" t="inlineStr">
        <is>
          <t>Главная редакция литературно-драматических программ ЦТ</t>
        </is>
      </c>
      <c r="H4187" s="2" t="n">
        <v>1170</v>
      </c>
      <c r="I4187" s="2" t="inlineStr"/>
      <c r="J4187" s="2" t="inlineStr"/>
      <c r="K4187" s="3" t="inlineStr">
        <is>
          <t>Телевизионная повесть о судьбах самых разных людей, которые встретились в 10 "А" классе вечерней школы. У каждого из учеников - свои сложности и радости, проблемы и удачи. Случайно встретившиеся люди становятся по-настоящему необходимыми друг другу.
Герой первой главы телеповести - молодой рабочий Владимир Родионов.
Главное действующее лицо второй главы, шофер такси Николай Седых, пережив серьезный конфликт с женой, понимает, что их связывает большое и глубокое чувство.
Третья глава "Ирина Лескова" - рассказ о молодой учительнице, влюбленной в свою профессию.
Глава четвертая - "Федор Иваненко". Рассказ о трудном подростке, которому педагоги и товарищи помогают найти свое призвание.
Пятая глава повествует об электромонтере Леониде Волкове, человеке требовательном к себе и другим, о его любви к Нине Родионовой, сестре товарища по вечерней школе.
В центре сюжета шестой главы повести - конфликт Зины Багляевой, работающей на стройке, с ее непосредственным начальником - прорабом.
В заключительной главе под названием "10 А" происходит встреча со всеми героями сериала. Они внутренне повзрослели и готовы к решению новых задач, которые поставит перед ними жизнь.</t>
        </is>
      </c>
      <c r="L4187" s="2" t="inlineStr">
        <is>
          <t>https://www.kino-teatr.ru/teatr/movie/14936/annot/</t>
        </is>
      </c>
      <c r="M4187" s="2">
        <f>HYPERLINK("https://ru.wikipedia.org/w/index.php?search=%D0%A0%D0%B0%D0%B7%D0%BD%D1%8B%D0%B5%20%D0%BB%D1%8E%D0%B4%D0%B8%201973%20%D1%84%D0%B8%D0%BB%D1%8C%D0%BC","искать")</f>
        <v/>
      </c>
      <c r="N4187" s="3" t="n"/>
      <c r="O4187" s="2" t="n"/>
    </row>
    <row r="4188">
      <c r="A4188" s="2" t="n">
        <v>4187</v>
      </c>
      <c r="B4188" s="2" t="inlineStr"/>
      <c r="C4188" s="2" t="n">
        <v>10902</v>
      </c>
      <c r="D4188" s="3" t="inlineStr">
        <is>
          <t>Похищение чародея</t>
        </is>
      </c>
      <c r="E4188" s="2" t="n">
        <v>1981</v>
      </c>
      <c r="F4188" s="2" t="inlineStr">
        <is>
          <t>фильм-спектакль</t>
        </is>
      </c>
      <c r="G4188" s="2" t="inlineStr">
        <is>
          <t>Ленинградское телевидение</t>
        </is>
      </c>
      <c r="H4188" s="2" t="n">
        <v>1174</v>
      </c>
      <c r="I4188" s="2" t="inlineStr"/>
      <c r="J4188" s="2" t="inlineStr"/>
      <c r="K4188" s="3" t="inlineStr">
        <is>
          <t>Фильм-спектакль по одноименной повести Кира Булычева.
Молодая аспирантка Анна Иванкевич приезжает в родную деревню, где не была около 20 лет. Здесь, в деревенской тишине теткиного дома, она собирается писать диссертацию. Вдруг в доме неожиданно появляются двое странных незнакомцев, которых поначалу Анна принимает за воров. Они утверждают, что хозяйка этого дома вчера сдала им его на две недели, а для большей убедительности передают письмо, в котором Анина мама подтверждает это и ещё просит ее пожить пока у их соседа - деда Геннадия. Все это выглядит очень странно...
А дальше вообще начинается фантастика - вскоре выясняется, что они - гости из будущего, и выбрали этот дом в качестве промежуточной станции. Незнакомцы заявляют, что сами они из далекого XXVIII века и им необходимо отправиться в XIII век. Им дано поручение похитить боярина Романа, проживающего в то время в этих краях, и который с их точки зрения гений, а по мнению его соотечественников - алхимик и колдун. Невольно Анна оказывается вовлеченной в круговерть удивительных перевоплащений и фантастических приключений. Средневековье открылось для неё в самый трудный, смертельный период в истории Руси.</t>
        </is>
      </c>
      <c r="L4188" s="2" t="inlineStr">
        <is>
          <t>https://www.kino-teatr.ru/teatr/movie/5521/annot/</t>
        </is>
      </c>
      <c r="M4188" s="2">
        <f>HYPERLINK("https://ru.wikipedia.org/w/index.php?search=%D0%9F%D0%BE%D1%85%D0%B8%D1%89%D0%B5%D0%BD%D0%B8%D0%B5%20%D1%87%D0%B0%D1%80%D0%BE%D0%B4%D0%B5%D1%8F%201981%20%D1%84%D0%B8%D0%BB%D1%8C%D0%BC","искать")</f>
        <v/>
      </c>
      <c r="N4188" s="3" t="n"/>
      <c r="O4188" s="2" t="n"/>
    </row>
    <row r="4189">
      <c r="A4189" s="2" t="n">
        <v>4188</v>
      </c>
      <c r="B4189" s="2" t="inlineStr"/>
      <c r="C4189" s="2" t="n">
        <v>10882</v>
      </c>
      <c r="D4189" s="3" t="inlineStr">
        <is>
          <t>Зыковы</t>
        </is>
      </c>
      <c r="E4189" s="2" t="n">
        <v>1981</v>
      </c>
      <c r="F4189" s="2" t="inlineStr">
        <is>
          <t>фильм-спектакль</t>
        </is>
      </c>
      <c r="G4189" s="2" t="inlineStr">
        <is>
          <t>Главная редакция литературно-драматических программ ЦТ</t>
        </is>
      </c>
      <c r="H4189" s="2" t="n">
        <v>1176</v>
      </c>
      <c r="I4189" s="2" t="inlineStr"/>
      <c r="J4189" s="2" t="inlineStr"/>
      <c r="K4189" s="3" t="inlineStr">
        <is>
          <t>По одноименной пьесе Максима Горького в постановке Куйбышевского академического театра драмы имени М. Горького.
Живет семья. Крепкая, русская. Ее глава - лесопромышленник Антипа Зыков: немолодой, умный, сильный, богатый, самоуверенный, но с неистребимой трещинкой души. Его рано овдовевшая сестра Софья, которую брат в юности выдал за обеспеченного старика, так что своих детей у нее не родилось. Они вдвоем воспитывают сына Антипы Михаила - молодого, вечно пьяного, вроде никчемного, но чувствительного. Он сразу реагирует на появление в доме юной Павлы, только что вышедшей из монастырской школы и неустанно разглагольствующей о необходимости всеобщей любви и добра. Михаил не верит ей с самого начала, хотя она ему в невесты предназначена, а проницательный Зыков-старший влюбляется и стремительно женится. Не тут-то было, Павла быстро передумывает и переключается на Зыкова-младшего, с ним и изменяет Антипе. Всё меркнет пред страстями главного героя и его невольных обидчиков, его крутит от вседозволенности до смиренного выбора дальнейшего образа жизни вне мести и преследований виновных жены и сына: в странники ли теперь податься или вернуться к прежней жизни холостой?</t>
        </is>
      </c>
      <c r="L4189" s="2" t="inlineStr">
        <is>
          <t>https://www.kino-teatr.ru/teatr/movie/108050/annot/</t>
        </is>
      </c>
      <c r="M4189" s="2">
        <f>HYPERLINK("https://ru.wikipedia.org/w/index.php?search=%D0%97%D1%8B%D0%BA%D0%BE%D0%B2%D1%8B%201981%20%D1%84%D0%B8%D0%BB%D1%8C%D0%BC","искать")</f>
        <v/>
      </c>
      <c r="N4189" s="3" t="n"/>
      <c r="O4189" s="2" t="n"/>
    </row>
    <row r="4190">
      <c r="A4190" s="2" t="n">
        <v>4189</v>
      </c>
      <c r="B4190" s="2" t="inlineStr"/>
      <c r="C4190" s="2" t="n">
        <v>11191</v>
      </c>
      <c r="D4190" s="3" t="inlineStr">
        <is>
          <t>Глазами клоуна</t>
        </is>
      </c>
      <c r="E4190" s="2" t="n">
        <v>1988</v>
      </c>
      <c r="F4190" s="2" t="inlineStr">
        <is>
          <t>фильм-спектакль</t>
        </is>
      </c>
      <c r="G4190" s="2" t="n"/>
      <c r="H4190" s="2" t="n">
        <v>1178</v>
      </c>
      <c r="I4190" s="2" t="inlineStr"/>
      <c r="J4190" s="2" t="inlineStr"/>
      <c r="K4190" s="3" t="inlineStr">
        <is>
          <t>Спектакль Государственного Академического театра им. Моссовета.
По роману Генриха Бёлля.
Главным героем романа является Ганс Шнир, клоун. Гансу двадцать семь лет, он из очень богатой семьи. В начале романа он приезжает в немецкий город Бонн, город, в котором родился. Однако Ганс не может признать этот город родным. Дело в том, что будучи артистом, он находился в постоянных разъездах и не задерживался подолгу в одном городе. Женщина, которую он любил и которая сопровождала его в поездках, Мария, покинула Ганса, чтобы выйти замуж за Цюпфнера. Это ввело Ганса в сильную депрессию, он начал много пить и его карьера артиста устремилась вниз.
Ганс Шнир смотрел на мир «глазами клоуна», немецкий писатель Генрих Белль уловил этот взгляд и написал свой роман, русский актёр Геннадий Бортников сыграл клоуна в театре им. Моссовета. Он играл странно, непривычно, необычные интонация, пластика. Он явно выбивался из общепринятой стилистики актёрского существования на сцене. Но в итоге каким-то неведомым образом приковывал внимание зрителей до такой степени, что к концу спектакля они были буквально оглушены его сценической исповедью…
Запись сделана на последнем, 400-м спектакле.</t>
        </is>
      </c>
      <c r="L4190" s="2" t="inlineStr">
        <is>
          <t>https://www.kino-teatr.ru/teatr/movie/117863/annot/</t>
        </is>
      </c>
      <c r="M4190" s="2">
        <f>HYPERLINK("https://ru.wikipedia.org/w/index.php?search=%D0%93%D0%BB%D0%B0%D0%B7%D0%B0%D0%BC%D0%B8%20%D0%BA%D0%BB%D0%BE%D1%83%D0%BD%D0%B0%201988%20%D1%84%D0%B8%D0%BB%D1%8C%D0%BC","искать")</f>
        <v/>
      </c>
      <c r="N4190" s="3" t="n"/>
      <c r="O4190" s="2" t="n"/>
    </row>
    <row r="4191">
      <c r="A4191" s="2" t="n">
        <v>4190</v>
      </c>
      <c r="B4191" s="2" t="inlineStr"/>
      <c r="C4191" s="2" t="n">
        <v>10480</v>
      </c>
      <c r="D4191" s="3" t="inlineStr">
        <is>
          <t>Юбилей</t>
        </is>
      </c>
      <c r="E4191" s="2" t="n">
        <v>1972</v>
      </c>
      <c r="F4191" s="2" t="inlineStr">
        <is>
          <t>фильм-спектакль</t>
        </is>
      </c>
      <c r="G4191" s="2" t="inlineStr">
        <is>
          <t>Лентелефильм, Подборки фильмов, экранизации Чехова</t>
        </is>
      </c>
      <c r="H4191" s="2" t="n">
        <v>1201</v>
      </c>
      <c r="I4191" s="2" t="inlineStr"/>
      <c r="J4191" s="2" t="inlineStr"/>
      <c r="K4191" s="3" t="inlineStr">
        <is>
          <t>Шутка А.П.Чехова.
В банке готовятся к юбилею. Старый писарь Кузьма Николаевич ворчит. Он болен, а ему приходится работать, да еще во время юбилея, когда все суетятся и мешают. Правда, юбиляр обещал ему награду. А вот и юбиляр - директор банка Шипучин. Писарь подает ему переписанный доклад. Счастливый и довольный Шипучин доверительно делится с Кузьмой Николаевичем - адрес, который ему поднесут, он писал сам, а подарок, который ему подарят, тоже был куплен им самим. Внезапно он вспоминает, что должна приехать жена, которая тут же и появляется. Она без умолку рассказывает мужу о своем путешествии, и никак не реагирует на просьбу мужа уйти. А тут еще приходит жена губернского секретаря госпожа Мерчуткина. Она жалуется на увольнение мужа. Теперь женщины тарахтят одновременно. Наконец, ему удается выпроводить жену, но Мерчуткина не намерена отступать. Она явно попала не туда, но добивается своего. Желая отвязаться от нее, Шипучин всучает ей 15 рублей компенсации ее мужу. Мерчуткина тут же начинает просить для него места. Снова появляется его жена и продолжает свой бесконечный монолог. В голове у Шипучина происходит полный бедлам. И в этот момент является депутация поздравляющих с адресом.</t>
        </is>
      </c>
      <c r="L4191" s="2" t="inlineStr">
        <is>
          <t>https://www.kino-teatr.ru/teatr/movie/13708/annot/</t>
        </is>
      </c>
      <c r="M4191" s="2">
        <f>HYPERLINK("https://ru.wikipedia.org/w/index.php?search=%D0%AE%D0%B1%D0%B8%D0%BB%D0%B5%D0%B9%201972%20%D1%84%D0%B8%D0%BB%D1%8C%D0%BC","искать")</f>
        <v/>
      </c>
      <c r="N4191" s="3" t="n"/>
      <c r="O4191" s="2" t="n"/>
    </row>
    <row r="4192">
      <c r="A4192" s="2" t="n">
        <v>4191</v>
      </c>
      <c r="B4192" s="2" t="inlineStr"/>
      <c r="C4192" s="2" t="n">
        <v>10666</v>
      </c>
      <c r="D4192" s="3" t="inlineStr">
        <is>
          <t>Пощёчина</t>
        </is>
      </c>
      <c r="E4192" s="2" t="n">
        <v>1976</v>
      </c>
      <c r="F4192" s="2" t="inlineStr">
        <is>
          <t>фильм-спектакль</t>
        </is>
      </c>
      <c r="G4192" s="2" t="inlineStr">
        <is>
          <t>Центральное телевидение</t>
        </is>
      </c>
      <c r="H4192" s="2" t="n">
        <v>1204</v>
      </c>
      <c r="I4192" s="2" t="inlineStr"/>
      <c r="J4192" s="2" t="inlineStr"/>
      <c r="K4192" s="3" t="inlineStr">
        <is>
          <t>Телеспектакль Московского театра Сатиры по одноименной сатирической пьесе Сергея Михалкова (премьера состоялась в июне 1974 года).
Клиника. По больничному коридору быстро идет пожилой человек в распахнутом белом халате и врачебной белой шапочке. Это профессор Щеглов. Он решительно входит в один из кабинетов, где за столом сидит и что-то пишет врач средних лет. Это доктор Скуратов. Скуратов поднимается навстречу вошедшему, и тот неожиданно, подойдя к нему, молча дает ему пощечину...
Старый заслуженный врач дает пощечину молодому своему ученику, берущему взятки за медицинскую помощь. Казалось бы, негуманно - пощечина! Недостойно это воспитанного, интеллигентного человека. Но именно так, при помощи пощечины можно обратить внимание на зло, обратить внимание так, чтобы все вздрогнули, как от пистолетного выстрела.....
Одна из последних сатирических комедий Михалкова "Пощечина" - самая, если можно так сказать, спокойная его пьеса, выдержанная в сугубо реалистических тонах. В ней нет ни преувеличения, ни гротеска, ни символики, ни аллегории: все просто, буднично; сатира здесь живет в формах самой жизни. Но тем не менее сатирический запал этой комедии нисколько не меньше других пьес Михалкова.</t>
        </is>
      </c>
      <c r="L4192" s="2" t="inlineStr">
        <is>
          <t>https://www.kino-teatr.ru/teatr/movie/82717/annot/</t>
        </is>
      </c>
      <c r="M4192" s="2">
        <f>HYPERLINK("https://ru.wikipedia.org/w/index.php?search=%D0%9F%D0%BE%D1%89%D1%91%D1%87%D0%B8%D0%BD%D0%B0%201976%20%D1%84%D0%B8%D0%BB%D1%8C%D0%BC","искать")</f>
        <v/>
      </c>
      <c r="N4192" s="3" t="n"/>
      <c r="O4192" s="2" t="n"/>
    </row>
    <row r="4193">
      <c r="A4193" s="2" t="n">
        <v>4192</v>
      </c>
      <c r="B4193" s="2" t="inlineStr"/>
      <c r="C4193" s="2" t="n">
        <v>10612</v>
      </c>
      <c r="D4193" s="3" t="inlineStr">
        <is>
          <t>Ковалёва из провинции</t>
        </is>
      </c>
      <c r="E4193" s="2" t="n">
        <v>1975</v>
      </c>
      <c r="F4193" s="2" t="inlineStr">
        <is>
          <t>фильм-спектакль</t>
        </is>
      </c>
      <c r="G4193" s="2" t="inlineStr">
        <is>
          <t>Главная редакция литературно-драматических программ ЦТ</t>
        </is>
      </c>
      <c r="H4193" s="2" t="n">
        <v>1208</v>
      </c>
      <c r="I4193" s="2" t="inlineStr"/>
      <c r="J4193" s="2" t="inlineStr"/>
      <c r="K4193" s="3" t="inlineStr">
        <is>
          <t>По пьесе Игнатия Дворецкого.
Телевизионная версия спектакля Ленинградского академического театра им. Ленсовета (постановщик И.Владимиров).
В центре пьесы - образ женщины-судьи. Спектакль построен в форме судебного разбирательства.
"Ковалёва" Алисы Фрейндлих - сама женственность, сама гармония, как может показаться с первого взгляда. Но внутренне вся она - из острых углов, в непрестанной борьбе с собой.
Плотник Никулин выиграл по лотерейному билету автомобиль «Волга», но не имея в этой «Волге» нужды, продал билет шоферу междугородного автобуса из Сухуми Чачхалии (он оказался в городе, где происходит действие, потому что привез продавать мандарины). История эта и становится предметом судебного разбирательства, ведет его судья Ковалева.
Этот сюжет с продажей лотерейного билета дополнен личной жизнью Ковалёвой: ушла от мужа, полюбив человека семейного, а тот семью не оставил; она этого ни в коем случае и не требовала. Детей у Ковалёвой нет, а у любимого ею Мещерякова, хирурга из другого города, напротив, дети есть; наконец, отец нелюбимого и оставленного мужа, старый и больной, ужасно привязан к Ковалевой, а не к собственным потомкам, от которых уходит, чтобы жить под одной крышей с Ковалёвой.</t>
        </is>
      </c>
      <c r="L4193" s="2" t="inlineStr">
        <is>
          <t>https://www.kino-teatr.ru/teatr/movie/3033/annot/</t>
        </is>
      </c>
      <c r="M4193" s="2">
        <f>HYPERLINK("https://ru.wikipedia.org/w/index.php?search=%D0%9A%D0%BE%D0%B2%D0%B0%D0%BB%D1%91%D0%B2%D0%B0%20%D0%B8%D0%B7%20%D0%BF%D1%80%D0%BE%D0%B2%D0%B8%D0%BD%D1%86%D0%B8%D0%B8%201975%20%D1%84%D0%B8%D0%BB%D1%8C%D0%BC","искать")</f>
        <v/>
      </c>
      <c r="N4193" s="3" t="n"/>
      <c r="O4193" s="2" t="n"/>
    </row>
    <row r="4194">
      <c r="A4194" s="2" t="n">
        <v>4193</v>
      </c>
      <c r="B4194" s="2" t="inlineStr"/>
      <c r="C4194" s="2" t="n">
        <v>10111</v>
      </c>
      <c r="D4194" s="3" t="inlineStr">
        <is>
          <t>Октябрь</t>
        </is>
      </c>
      <c r="E4194" s="2" t="n">
        <v>1963</v>
      </c>
      <c r="F4194" s="2" t="inlineStr">
        <is>
          <t>фильм-спектакль</t>
        </is>
      </c>
      <c r="G4194" s="2" t="inlineStr">
        <is>
          <t>Центральное телевидение</t>
        </is>
      </c>
      <c r="H4194" s="2" t="n">
        <v>1213</v>
      </c>
      <c r="I4194" s="2" t="inlineStr"/>
      <c r="J4194" s="2" t="inlineStr"/>
      <c r="K4194" s="3" t="inlineStr">
        <is>
          <t>Действие оперы происходит в период с 3 апреля по 25 октября 1917 года.
Опере предшествует эпически-величавый пролог.
Нарастают революционные события.
Старый питерский рабочий – мастер Путиловского завода, участник революции 1905 года, Иван Тимофеевич вспоминает былые революционные сражения и призывает идти на штурм твердыни царизма, так “мы новую правду народу несем”.
В опере раскрывается судьба отдельных героев.
Сестра милосердия Марина. Она встречается с товарищем с товарищем детства, ныне офицером батальона смерти, Массальским, а затем с рабочим Путиловского завода Андреем. Марина начинает осознавать, что Массальский идет с врагами народа. Ей всё ближе становится дело свободы и революции, за которую борется Андрей и его товарищи.
Шестая картина “В Разливе” – вершина драматургии оперы.
На берегу озера Разлив скрывается Владимир Ильич Ленин. Его покой охраняет рыбак. Здесь в предутренний час Ленин и его друзья приняли историческое решение – срок восстания настал. Ветер доносит с озера песню “Камушку”. Её поют рыбаки, расставившие сети неподалеку от шалаша Ильича.
Единение с народом, человеческая глубина, воля и решительность вождя революции – эти черты Ленина раскрываются в этой картине-опере.</t>
        </is>
      </c>
      <c r="L4194" s="2" t="inlineStr">
        <is>
          <t>https://www.kino-teatr.ru/teatr/movie/104001/annot/</t>
        </is>
      </c>
      <c r="M4194" s="2">
        <f>HYPERLINK("https://ru.wikipedia.org/w/index.php?search=%D0%9E%D0%BA%D1%82%D1%8F%D0%B1%D1%80%D1%8C%201963%20%D1%84%D0%B8%D0%BB%D1%8C%D0%BC","искать")</f>
        <v/>
      </c>
      <c r="N4194" s="3" t="n"/>
      <c r="O4194" s="2" t="n"/>
    </row>
    <row r="4195">
      <c r="A4195" s="2" t="n">
        <v>4194</v>
      </c>
      <c r="B4195" s="2" t="inlineStr"/>
      <c r="C4195" s="2" t="n">
        <v>10264</v>
      </c>
      <c r="D4195" s="3" t="inlineStr">
        <is>
          <t>Перед бурей</t>
        </is>
      </c>
      <c r="E4195" s="2" t="n">
        <v>1968</v>
      </c>
      <c r="F4195" s="2" t="inlineStr">
        <is>
          <t>фильм-спектакль</t>
        </is>
      </c>
      <c r="G4195" s="2" t="inlineStr">
        <is>
          <t>Лентелефильм</t>
        </is>
      </c>
      <c r="H4195" s="2" t="n">
        <v>1277</v>
      </c>
      <c r="I4195" s="2" t="inlineStr"/>
      <c r="J4195" s="2" t="inlineStr"/>
      <c r="K4195" s="3" t="inlineStr">
        <is>
          <t>Фильм-спектакль по пьесе А.М.Горького “Последние”.
Действие фильма происходит между двумя революциями – 1905 и 1917 г. В семье братьев Коломийцевых, разорившихся дворян, нет согласия. Старший брат Яков смертельно болен. Младший – Иван, жандармский полковник, - вконец запутался, и не знает, как выйти из создавшегося в семье положения. Совсем недавно в него стреляли, но в полиции он ошибочно указал не на того человека. Мать подозреваемого взывает о справедливости, но Иван отказывает из боязни потерять место. Он не знает, как ему быть с больной женой, которая, как он случайно узнает, всю жизнь любит его старшего брата. Не знает, как ему справиться с неприкаянными детьми. Старший сын Александр – лентяй и картежник. Старшая дочь Надежда – личность пустая и жадная. Другая дочь, горбунья Люба, больна, и вообще – дочь его собственной жены и брата Якова. Младшая - Вера, юна, и, с его точки зрения, ничего не смыслит в жизни, но не желает подчиниться его воле и выйти замуж по расчету. Младший - Петр живет своей, неподвластной и непонятной ему жизнью. Он не постигает того, что происходит в стране. Приближающаяся революция грозит превратить привычную для него жизнь в хаос. Внезапная смерть брата ставит заключительную точку: Петр делает свой выбор – уходит к большевикам.</t>
        </is>
      </c>
      <c r="L4195" s="2" t="inlineStr">
        <is>
          <t>https://www.kino-teatr.ru/teatr/movie/9939/annot/</t>
        </is>
      </c>
      <c r="M4195" s="2">
        <f>HYPERLINK("https://ru.wikipedia.org/w/index.php?search=%D0%9F%D0%B5%D1%80%D0%B5%D0%B4%20%D0%B1%D1%83%D1%80%D0%B5%D0%B9%201968%20%D1%84%D0%B8%D0%BB%D1%8C%D0%BC","искать")</f>
        <v/>
      </c>
      <c r="N4195" s="3" t="n"/>
      <c r="O4195" s="2" t="n"/>
    </row>
    <row r="4196">
      <c r="A4196" s="2" t="n">
        <v>4195</v>
      </c>
      <c r="B4196" s="2" t="inlineStr"/>
      <c r="C4196" s="2" t="n">
        <v>10741</v>
      </c>
      <c r="D4196" s="3" t="inlineStr">
        <is>
          <t>Диалоги</t>
        </is>
      </c>
      <c r="E4196" s="2" t="n">
        <v>1978</v>
      </c>
      <c r="F4196" s="2" t="inlineStr">
        <is>
          <t>фильм-спектакль</t>
        </is>
      </c>
      <c r="G4196" s="2" t="inlineStr">
        <is>
          <t>Центральное телевидение</t>
        </is>
      </c>
      <c r="H4196" s="2" t="n">
        <v>1284</v>
      </c>
      <c r="I4196" s="2" t="inlineStr"/>
      <c r="J4196" s="2" t="inlineStr"/>
      <c r="K4196" s="3" t="inlineStr">
        <is>
          <t>По одноименной пьесе Диаса Валеева в постановке Московского драматического театра имени М.Н. Ермоловой.
В основе пьесы - конфликт, вызванный введением в действие крупного производственного комплекса, который стал убыточным из-за несовершенства его проекта. Спектакль построен на беседах и диалогах. Разговор идет о прошлом, настоящем и будущем. Ведут диалог крупные инженеры, администраторы, дельцы делового мира. Дело этих людей - работать головой. Их задача – соображать, знать, решать вопросы на уровне мирового стандарта и ближайшего будущего. Они командуют сотнями рабочих, специалистов разных степеней, отвечают за мировой уровень продукции, а также и за детские ясли. На сцене, перед зрителем, один из них - Александр Громких, уже второй за два года генеральный директор комплекса заводов. Ему приходится расхлебывать кашу, заваренную его же коллегами. Ему ясно, что заводы как целое заложены ниже возможностей страны, без расчета на будущее. Но люди повыше его по служебной лестнице советуют, настаивают, угрожают - хотят, чтобы было все по прежнему: тихо, мирно и, в конце концов - плохо. Александр Громких внешне спокоен, кажется, даже доволен, но чувствуется, что спокойствие это маска, он в тревоге, и он ищет, ищет единственный правильный выход из создавшегося положения.</t>
        </is>
      </c>
      <c r="L4196" s="2" t="inlineStr">
        <is>
          <t>https://www.kino-teatr.ru/teatr/movie/93006/annot/</t>
        </is>
      </c>
      <c r="M4196" s="2">
        <f>HYPERLINK("https://ru.wikipedia.org/w/index.php?search=%D0%94%D0%B8%D0%B0%D0%BB%D0%BE%D0%B3%D0%B8%201978%20%D1%84%D0%B8%D0%BB%D1%8C%D0%BC","искать")</f>
        <v/>
      </c>
      <c r="N4196" s="3" t="n"/>
      <c r="O4196" s="2" t="n"/>
    </row>
    <row r="4197">
      <c r="A4197" s="2" t="n">
        <v>4196</v>
      </c>
      <c r="B4197" s="2" t="inlineStr"/>
      <c r="C4197" s="2" t="n">
        <v>9789</v>
      </c>
      <c r="D4197" s="3" t="inlineStr">
        <is>
          <t>ЧП. Чрезвычайное происшествие</t>
        </is>
      </c>
      <c r="E4197" s="2" t="n">
        <v>1958</v>
      </c>
      <c r="F4197" s="2" t="inlineStr">
        <is>
          <t>телефильм</t>
        </is>
      </c>
      <c r="G4197" s="2" t="inlineStr">
        <is>
          <t>К/ст им.Горького, к/ст им.Довженко</t>
        </is>
      </c>
      <c r="H4197" s="2" t="n">
        <v>1290</v>
      </c>
      <c r="I4197" s="2" t="inlineStr"/>
      <c r="J4197" s="2" t="inlineStr"/>
      <c r="K4197" s="3" t="inlineStr">
        <is>
          <t>В июне 1954 года в нейтральных водах близ острова Тайвань чанкайшистами был пиратски захвачен советский танкер "Туапсе". Отважные моряки мужественно проходят через все пытки азиатских тюрьм, ужасы допросов "третьей степени" и изощрённые провокации. Лишь через 13 месяцев советскому правительству удалось добиться возвращения большинства измученных неволей, но не сломленных моряков. Эти факты и стали основой фильма.
...Танкер "Полтава", следовавший с керосином в Китай, захвачен чанкайшистами. При этом моторист Райский (Вячеслав Тихонов) случайно ранил одного из солдат. Танкер с экипажем был доставлен на Тайвань, где всех стали уговаривать добровольно перейти на сторону "подлинной свободы и демократии", обращаясь исключительно хорошо: поселили на роскошной вилле, поили, кормили. Когда уговоры не подействовали, в ход пустили совсем другие меры: концлагерь, лишения. Далее были героические приключения. Одни вернулись на Родину через несколько месяцев, другие только через годы, а некоторые не вернулись вовсе.
Сюжет фильма держит зрителя в напряжении от первого до последнего кадра. Редкую для себя характерную роль сыграл Вячеслав Тихонов - озорного и веселого парня из Одессы. Рассказ ведется от лица замполита экипажа в исполнении Михаила Кузнецова.
Лидер проката (1959, 1 место).</t>
        </is>
      </c>
      <c r="L4197" s="2" t="inlineStr">
        <is>
          <t>https://www.kino-teatr.ru/kino/movie/sov/7907/annot/</t>
        </is>
      </c>
      <c r="M4197" s="2">
        <f>HYPERLINK("https://ru.wikipedia.org/w/index.php?search=%D0%A7%D0%9F.%20%D0%A7%D1%80%D0%B5%D0%B7%D0%B2%D1%8B%D1%87%D0%B0%D0%B9%D0%BD%D0%BE%D0%B5%20%D0%BF%D1%80%D0%BE%D0%B8%D1%81%D1%88%D0%B5%D1%81%D1%82%D0%B2%D0%B8%D0%B5%201958%20%D1%84%D0%B8%D0%BB%D1%8C%D0%BC","искать")</f>
        <v/>
      </c>
      <c r="N4197" s="3" t="n"/>
      <c r="O4197" s="2" t="n"/>
    </row>
    <row r="4198">
      <c r="A4198" s="2" t="n">
        <v>4197</v>
      </c>
      <c r="B4198" s="2" t="inlineStr"/>
      <c r="C4198" s="2" t="n">
        <v>10062</v>
      </c>
      <c r="D4198" s="3" t="inlineStr">
        <is>
          <t>Пигмалион</t>
        </is>
      </c>
      <c r="E4198" s="2" t="n">
        <v>1955</v>
      </c>
      <c r="F4198" s="2" t="inlineStr">
        <is>
          <t>фильм-спектакль</t>
        </is>
      </c>
      <c r="G4198" s="2" t="inlineStr">
        <is>
          <t>Мосфильм</t>
        </is>
      </c>
      <c r="H4198" s="2" t="n">
        <v>1303</v>
      </c>
      <c r="I4198" s="2" t="inlineStr"/>
      <c r="J4198" s="2" t="inlineStr"/>
      <c r="K4198" s="3" t="inlineStr">
        <is>
          <t>Телефильм. Экранизация спектакля Малого театра по пьесе Бернарда Шоу "Пигмалион".
Профессор фонетики мистер Хиггинс (Михаил Царев) решил доказать, что сможет благодаря своим знаниям и педагогическому искусству превратить Элизу (Констанция Роек) - простую уличную цветочницу с ужасающей речью и манерами, в светскую даму и представить ее гостям как герцогиню.
Мать профессора играет великолепная, умная актриса - одна из трех великих старух Малого театра` - Евдокия Дмитриевна Турчанинова. Абсолютная англичанка, аристократка, которую мог написать только Шоу и никто другой. Действие третьего акта пьесы происходит в доме миссис Хиггинс. Наконец, Хиггинс решил устроить ученице первый экзамен: привез Элизу к своей матери в ее приемный день. У Турчаниновой в этой сцене не так много слов, но она умеет говорить и без слов одними глазами, и зритель совершенно безошибочно знает, о чем она в данный момент думает. Эта партитура мысли была разработана актрисой безукоризненно. Мисси Хиггинс выше всех остальных гостей: она первая и единственная в холодном и искусственном мире встала на защиту человека. Не случайно в минуту отчаяния Элиза придет к ней, к ироничной старой леди с добрыми и мудрыми глазами. Эта тончайшая актриса сумела передать парадоксальную манеру письма великого насмешника Бернарда Шоу.</t>
        </is>
      </c>
      <c r="L4198" s="2" t="inlineStr">
        <is>
          <t>https://www.kino-teatr.ru/teatr/movie/8787/annot/</t>
        </is>
      </c>
      <c r="M4198" s="2">
        <f>HYPERLINK("https://ru.wikipedia.org/w/index.php?search=%D0%9F%D0%B8%D0%B3%D0%BC%D0%B0%D0%BB%D0%B8%D0%BE%D0%BD%201955%20%D1%84%D0%B8%D0%BB%D1%8C%D0%BC","искать")</f>
        <v/>
      </c>
      <c r="N4198" s="3" t="n"/>
      <c r="O4198" s="2" t="n"/>
    </row>
    <row r="4199">
      <c r="A4199" s="2" t="n">
        <v>4198</v>
      </c>
      <c r="B4199" s="2" t="inlineStr"/>
      <c r="C4199" s="2" t="n">
        <v>10847</v>
      </c>
      <c r="D4199" s="3" t="inlineStr">
        <is>
          <t>Кардемон, город тружеников и разбойников</t>
        </is>
      </c>
      <c r="E4199" s="2" t="n">
        <v>1980</v>
      </c>
      <c r="F4199" s="2" t="inlineStr">
        <is>
          <t>фильм-спектакль</t>
        </is>
      </c>
      <c r="G4199" s="2" t="inlineStr">
        <is>
          <t>Эстонское телевидение (ETV)</t>
        </is>
      </c>
      <c r="H4199" s="2" t="n">
        <v>1333</v>
      </c>
      <c r="I4199" s="2" t="inlineStr"/>
      <c r="J4199" s="2" t="inlineStr"/>
      <c r="K4199" s="3" t="inlineStr">
        <is>
          <t>По сказке норвежского писателя Торбьерна Эгнера (1912-1990).
В одном очень своеобразном городке под названием Кардамон живут старый Тобиас, тетя Софи, Камомилла, Томми и добрый кордник Бастиан. В городе работают пекарь, колбасник, парикмахер и многие другие замечательные люди. Однако в старом доме за городом живут три добросердечных грабителя: Каспер, Джеспер и Джонатан.
Главный управляющий города Кардамона (он же — главный полицейский) Бастиан слишком мягкий, слишком жалостливый и слишком любит массовые гулянья. Поэтому у трех братьев-разбойников Каспера, Еспера и Юнатана, у которых есть лев, совершающих набеги на Кардамон, сытая и привольная жизнь. Отпор им никто дать не может.
В городе есть двухэтажный трамвай, который ездит по одному короткому маршруту, и кондуктор, который бесплатно угощает всех пассажиров пряниками. А ещё есть много праздников, многие из которых являются исключительно инициативой мэра. Кардамонцы крайне жизнерадостны по натуре, любят петь песенки, и даже собачки у них поют в своём собственном хоре.
Однажды разбойников посадили в тюрьму, но не подвергли мучениям, а отмыли, накормили и постригли. И тут выяснилось, что и у разбойников есть прошлое, и оно совершенно не связано с грабежами. В финале Каспер, Еспер и Юнатан стали самыми мирными людьми города: пожарным, пекарем и директором цирка.</t>
        </is>
      </c>
      <c r="L4199" s="2" t="inlineStr">
        <is>
          <t>https://www.kino-teatr.ru/teatr/movie/87733/annot/</t>
        </is>
      </c>
      <c r="M4199" s="2">
        <f>HYPERLINK("https://ru.wikipedia.org/w/index.php?search=%D0%9A%D0%B0%D1%80%D0%B4%D0%B5%D0%BC%D0%BE%D0%BD%2C%20%D0%B3%D0%BE%D1%80%D0%BE%D0%B4%20%D1%82%D1%80%D1%83%D0%B6%D0%B5%D0%BD%D0%B8%D0%BA%D0%BE%D0%B2%20%D0%B8%20%D1%80%D0%B0%D0%B7%D0%B1%D0%BE%D0%B9%D0%BD%D0%B8%D0%BA%D0%BE%D0%B2%201980%20%D1%84%D0%B8%D0%BB%D1%8C%D0%BC","искать")</f>
        <v/>
      </c>
      <c r="N4199" s="3" t="n"/>
      <c r="O4199" s="2" t="n"/>
    </row>
    <row r="4200">
      <c r="A4200" s="2" t="n">
        <v>4199</v>
      </c>
      <c r="B4200" s="2" t="inlineStr"/>
      <c r="C4200" s="2" t="n">
        <v>10950</v>
      </c>
      <c r="D4200" s="3" t="inlineStr">
        <is>
          <t>На краю бездны</t>
        </is>
      </c>
      <c r="E4200" s="2" t="n">
        <v>1982</v>
      </c>
      <c r="F4200" s="2" t="inlineStr">
        <is>
          <t>фильм-спектакль</t>
        </is>
      </c>
      <c r="G4200" s="2" t="inlineStr">
        <is>
          <t>Творческое объединение "Экран"</t>
        </is>
      </c>
      <c r="H4200" s="2" t="n">
        <v>1333</v>
      </c>
      <c r="I4200" s="2" t="inlineStr"/>
      <c r="J4200" s="2" t="inlineStr"/>
      <c r="K4200" s="3" t="inlineStr">
        <is>
          <t>По мотивам пьесы Фридриха Дюрренматта "Играем Стринберга" в постановке Московского театра имени М.Н. Ермоловой.
Мрачная башня на острове, окружённом бурным северным морем – уже само место действия вводит в атмосферу возвышенно-таинственную. В этой-то башне, в непосредственном соприкосновении со стихиями, и происходят бурные столкновения немолодой супружеской пары – капитана Эдгара и его жены Алисы. Любовь-ненависть этих людей привычна, они существуют в ней, как рыба в воде. Изо дня в день привычные подначки, оскорбления. Они не властны над своими поступками и чувствами и как будто сами постоянно удивляются себе. Жена ликует, видя мужа умирающим, хотя в глубине души она любит его. Вскоре появляется третий персонаж, дальний родственник и бывший поклонник Алисы – Курт. Он приезжает на остров разбогатевшим в Америке миллионером. Однако деньги заработаны отнюдь не честным путем. Чек на 50 тысяч, который интригами вымогает у него Эдгар, это лишь малая часть его состояния. И только что изменившая мужу Алиса с тем же остервенением хватается за эти деньги, когда понимает, что Курт не останется с ней.
Деньги! Деньги! Всё решают деньги. В этом аморальном мире душевной чуткости не хватает даже на заботу о самом близком человеке. «В большом мире, где я живу, всё обстоит ничуть не хуже; только масштабы другие» – говорит Курт.</t>
        </is>
      </c>
      <c r="L4200" s="2" t="inlineStr">
        <is>
          <t>https://www.kino-teatr.ru/teatr/movie/94512/annot/</t>
        </is>
      </c>
      <c r="M4200" s="2">
        <f>HYPERLINK("https://ru.wikipedia.org/w/index.php?search=%D0%9D%D0%B0%20%D0%BA%D1%80%D0%B0%D1%8E%20%D0%B1%D0%B5%D0%B7%D0%B4%D0%BD%D1%8B%201982%20%D1%84%D0%B8%D0%BB%D1%8C%D0%BC","искать")</f>
        <v/>
      </c>
      <c r="N4200" s="3" t="n"/>
      <c r="O4200" s="2" t="n"/>
    </row>
    <row r="4201">
      <c r="A4201" s="2" t="n">
        <v>4200</v>
      </c>
      <c r="B4201" s="2" t="inlineStr"/>
      <c r="C4201" s="2" t="n">
        <v>11031</v>
      </c>
      <c r="D4201" s="3" t="inlineStr">
        <is>
          <t>Одесские рассказы Исаака Бабеля</t>
        </is>
      </c>
      <c r="E4201" s="2" t="n">
        <v>1984</v>
      </c>
      <c r="F4201" s="2" t="inlineStr">
        <is>
          <t>фильм-спектакль</t>
        </is>
      </c>
      <c r="G4201" s="2" t="n"/>
      <c r="H4201" s="2" t="n">
        <v>1347</v>
      </c>
      <c r="I4201" s="2" t="inlineStr"/>
      <c r="J4201" s="2" t="inlineStr"/>
      <c r="K4201" s="3" t="inlineStr">
        <is>
          <t>По произведениям Исаака Бабеля
В основе спектакля - история "возвышения" известного одесского бандита Бени Крика.
В русской культуре очень много началось с нуля в семнадцатом году. Как раз в семнадцатом году Бабель написал в своей статье, что в русской литературе не хватает солнца, что нужно южное одесское солнце. Вот южное одесское солнце он туда и притащил. Бабель вырвался из традиций реалистического бытописания и, действительно, залил все каким-то невероятно ярким цветом и мощными красками, как Матисс. Французское имя здесь возникает не случайно - свои первые рассказы Бабель написал по-французски: он очень хорошо знал этот язык. И, конечно, он восходит к Мопассану, к которому он возводил себя сам, а еще больше – к Рабле. Действуя новыми приемами, он смог совершить ему почти невероятное. Мы знаем, как привлекательно может быть злодейство, но чтобы злодейство было ярко и празднично - это есть только у Бабеля.
И отсюда два поразительных урока – из его "Конармии", из этих анархистов и бандитов, и из "Одесских рассказов", уже из настоящих бандитов во главе которых стоит выдающийся Беня Крик. Два урока: эстетика, может быть, важнее этики. Или уж, по крайней мере, эстетика – это и есть этика: что красиво, то и хорошо. И второе: вечный спор между формой и содержанием, конечно, Бабель решает в пользу формы. Форма и есть содержание.</t>
        </is>
      </c>
      <c r="L4201" s="2" t="inlineStr">
        <is>
          <t>https://www.kino-teatr.ru/teatr/movie/15457/annot/</t>
        </is>
      </c>
      <c r="M4201" s="2">
        <f>HYPERLINK("https://ru.wikipedia.org/w/index.php?search=%D0%9E%D0%B4%D0%B5%D1%81%D1%81%D0%BA%D0%B8%D0%B5%20%D1%80%D0%B0%D1%81%D1%81%D0%BA%D0%B0%D0%B7%D1%8B%20%D0%98%D1%81%D0%B0%D0%B0%D0%BA%D0%B0%20%D0%91%D0%B0%D0%B1%D0%B5%D0%BB%D1%8F%201984%20%D1%84%D0%B8%D0%BB%D1%8C%D0%BC","искать")</f>
        <v/>
      </c>
      <c r="N4201" s="3" t="n"/>
      <c r="O4201" s="2" t="n"/>
    </row>
    <row r="4202">
      <c r="A4202" s="2" t="n">
        <v>4201</v>
      </c>
      <c r="B4202" s="2" t="inlineStr"/>
      <c r="C4202" s="2" t="n">
        <v>11193</v>
      </c>
      <c r="D4202" s="3" t="inlineStr">
        <is>
          <t>День рождения</t>
        </is>
      </c>
      <c r="E4202" s="2" t="n">
        <v>1988</v>
      </c>
      <c r="F4202" s="2" t="inlineStr">
        <is>
          <t>фильм-спектакль</t>
        </is>
      </c>
      <c r="G4202" s="2" t="inlineStr">
        <is>
          <t>ВПТО "Видеофильм"</t>
        </is>
      </c>
      <c r="H4202" s="2" t="n">
        <v>1389</v>
      </c>
      <c r="I4202" s="2" t="inlineStr"/>
      <c r="J4202" s="2" t="inlineStr"/>
      <c r="K4202" s="3" t="inlineStr">
        <is>
          <t>По пьесе Л.Разумовской "Дорогая Елена Сергеевна"
Елена Сергеевна удивилась, когда на пороге ее квартиры появились четверо учеников с букетом цветов. Они пришли поздравить свою учительницу с днем рождения. Но цель у ребят другая. Под предлогом поздравления с днем рождения они просят ее выполнить одну "пустяковую" просьбу, от выполнения которой зависит их будущее. Праздничный вечер постепенно превращается в жестокий фарс, где любимые ученики начинают играть роли настоящих подонков и хамов, "оправдывая свою подлость несовершенством мира".
В фильме снимались актёры московского театра-студии на Спартаковской площади ("Модернъ"). Театр был образован в 1988 году на основе выпускного курса Щепкинского театрального училища (это был последний курс, которым руководил Народный артист СССР М.И.Царев), под названием Театра-студии на Спартаковской площади. Уже первый спектакль "Дорогая Елена Сергеевна" Людмилы Разумовской прославил молодую труппу, в дальнейшем совершившую с этой постановкой триумфальное турне по всей Югославии (фестиваль "Перестройка в СССР", 1989), а затем в течение нескольких месяцев гастролировавшую в США (Лос-Анджелес - Чикаго, 1990). Он был одним из первых профессиональных театров-студий, которые смогли не только доказать свою жизнеспособность, но и заявить о своем собственном творческом кредо. Спектакль "Дорогая Елена Сергеевна" стал хитом нескольких сезонов.</t>
        </is>
      </c>
      <c r="L4202" s="2" t="inlineStr">
        <is>
          <t>https://www.kino-teatr.ru/teatr/movie/101643/annot/</t>
        </is>
      </c>
      <c r="M4202" s="2">
        <f>HYPERLINK("https://ru.wikipedia.org/w/index.php?search=%D0%94%D0%B5%D0%BD%D1%8C%20%D1%80%D0%BE%D0%B6%D0%B4%D0%B5%D0%BD%D0%B8%D1%8F%201988%20%D1%84%D0%B8%D0%BB%D1%8C%D0%BC","искать")</f>
        <v/>
      </c>
      <c r="N4202" s="3" t="n"/>
      <c r="O4202" s="2" t="n"/>
    </row>
    <row r="4203">
      <c r="A4203" s="2" t="n">
        <v>4202</v>
      </c>
      <c r="B4203" s="2" t="inlineStr"/>
      <c r="C4203" s="2" t="n">
        <v>11039</v>
      </c>
      <c r="D4203" s="3" t="inlineStr">
        <is>
          <t>Ретро</t>
        </is>
      </c>
      <c r="E4203" s="2" t="n">
        <v>1984</v>
      </c>
      <c r="F4203" s="2" t="inlineStr">
        <is>
          <t>фильм-спектакль</t>
        </is>
      </c>
      <c r="G4203" s="2" t="n"/>
      <c r="H4203" s="2" t="n">
        <v>1409</v>
      </c>
      <c r="I4203" s="2" t="inlineStr"/>
      <c r="J4203" s="2" t="inlineStr"/>
      <c r="K4203" s="3" t="inlineStr">
        <is>
          <t>Малый театр.
Пьеса А. Галина "Ретро", написанная в середине 70-х годов, до сих пор не сходит со сцены: у нее прочный кассовый успех.
Дочь вместе с мужем пытается устроить судьбу старика-отца. Старик этот приехал в Москву из деревни, он страдает от одиночества и от чужой ему городской жизни; он охотно общается разве что с залетающими уличными птицами, хотя живет в хорошей квартире с дочерью и зятем. А они в свою очередь, чтобы отвлечь отца от грустных стариковских мыслей и исключительно из благих побуждений, решают женить его и подбирают "невест". Все три невесты приходят на смотрины и возникает много смешных ситуаций, поскольку невесты по ошибке явились все разом. Это три пенсионерки – эксцентричная экс-балерина, строгая экс-медсестра из психушки и сердобольная мать семейства. Но между одинокими стариками пробуждается интерес друг к другу, возникают теплые отношения и надежда, что в жизни что-нибудь изменится.
Мудрая пьеса напоминает нам о том, что все мы когда-нибудь станем стариками, а какой она будет, наша старость, зависит от того с кем рядом мы ее встретим. Какие духовные ценности в детей вложим, то от них в старости и получим…
Принято считать, что такие житейские театральные истории об одиноких стариках и их современных детях не могут устареть.
"Ретро" - лирическая комедия – это когда вам все время смешно, а потом непременно должно стать грустно, потому что речь идет о неизбежном.</t>
        </is>
      </c>
      <c r="L4203" s="2" t="inlineStr">
        <is>
          <t>https://www.kino-teatr.ru/teatr/movie/94961/annot/</t>
        </is>
      </c>
      <c r="M4203" s="2">
        <f>HYPERLINK("https://ru.wikipedia.org/w/index.php?search=%D0%A0%D0%B5%D1%82%D1%80%D0%BE%201984%20%D1%84%D0%B8%D0%BB%D1%8C%D0%BC","искать")</f>
        <v/>
      </c>
      <c r="N4203" s="3" t="n"/>
      <c r="O4203" s="2" t="n"/>
    </row>
    <row r="4204">
      <c r="A4204" s="2" t="n">
        <v>4203</v>
      </c>
      <c r="B4204" s="2" t="inlineStr"/>
      <c r="C4204" s="2" t="n">
        <v>10762</v>
      </c>
      <c r="D4204" s="3" t="inlineStr">
        <is>
          <t>Не всё коту масленица</t>
        </is>
      </c>
      <c r="E4204" s="2" t="n">
        <v>1978</v>
      </c>
      <c r="F4204" s="2" t="inlineStr">
        <is>
          <t>фильм-спектакль</t>
        </is>
      </c>
      <c r="G4204" s="2" t="inlineStr">
        <is>
          <t>ТО "Экран"</t>
        </is>
      </c>
      <c r="H4204" s="2" t="n">
        <v>1458</v>
      </c>
      <c r="I4204" s="2" t="inlineStr"/>
      <c r="J4204" s="2" t="inlineStr"/>
      <c r="K4204" s="3" t="inlineStr">
        <is>
          <t>Эта комедия Островского похожа на басню — здесь и сказка, и ложь, и намек, и мораль, которая выражена в самом названии пьесы.
Комедия "Не все коту масленица", - а премьера ее случилась в октябре 1871 г. на сцене Малого театра, ныне прославленного Дома Островского, - замечательна в ряду других пьес классика тем, что в ней впервые милые автору герои не поклонились самодуру, а проявили свободу воли, самостоятельность поступков в ответ на оскорбления и унижения.
В центре комедии - два соседствующих семейства: купеческой вдовы Кругловой с дочкой-бесприданницей и богача Ахова, миллионщика лет 60. В незамысловатых, на первый взгляд, сценах из московской жизни - все в движении, все охвачены своей страстью, пусть иногда смешной и нелепой. Тупая одурь богатства, уверенность в собственной вседозволенности у Ахова, лихорадка бедности и крепнущей любви у племянника его Ипполита, мечта о счастье у бедной невесты Агнии. Для Ахова весь мир в нем самом, в его капитале, силе, капризах. Ипполит стеснен робостью и бедностью, многие годы он безропотно ведет дела своего дядюшки - толстосума в надежде когда-нибудь получить жалованье. Обаятельный, импульсивный, несколько дурашливый, смешной в своих страхах перед денежной силой Ахова, он старается сохранить в душе честность, совестливость, хотя жизнь нещадно ломает его и ставит на колени. И вот теперь, когда их с Агнией будущее счастье зависит от обещанного жалованья, он решается на отчаянный дерзкий поступок</t>
        </is>
      </c>
      <c r="L4204" s="2" t="inlineStr">
        <is>
          <t>https://www.kino-teatr.ru/teatr/movie/82067/annot/</t>
        </is>
      </c>
      <c r="M4204" s="2">
        <f>HYPERLINK("https://ru.wikipedia.org/w/index.php?search=%D0%9D%D0%B5%20%D0%B2%D1%81%D1%91%20%D0%BA%D0%BE%D1%82%D1%83%20%D0%BC%D0%B0%D1%81%D0%BB%D0%B5%D0%BD%D0%B8%D1%86%D0%B0%201978%20%D1%84%D0%B8%D0%BB%D1%8C%D0%BC","искать")</f>
        <v/>
      </c>
      <c r="N4204" s="3" t="n"/>
      <c r="O4204" s="2" t="n"/>
    </row>
    <row r="4205">
      <c r="A4205" s="2" t="n">
        <v>4204</v>
      </c>
      <c r="B4205" s="2" t="inlineStr"/>
      <c r="C4205" s="2" t="n">
        <v>10981</v>
      </c>
      <c r="D4205" s="3" t="inlineStr">
        <is>
          <t>Ванина Ванини</t>
        </is>
      </c>
      <c r="E4205" s="2" t="n">
        <v>1983</v>
      </c>
      <c r="F4205" s="2" t="inlineStr">
        <is>
          <t>фильм-спектакль</t>
        </is>
      </c>
      <c r="G4205" s="2" t="inlineStr">
        <is>
          <t>Главная редакция литературно-драматических программ ЦТ</t>
        </is>
      </c>
      <c r="H4205" s="2" t="n">
        <v>1468</v>
      </c>
      <c r="I4205" s="2" t="inlineStr"/>
      <c r="J4205" s="2" t="inlineStr"/>
      <c r="K4205" s="3" t="inlineStr">
        <is>
          <t>По мотивам новеллы Стендаля "Ванина Ванини".
Ванина Ванини — римская аристократка, «черноволосая девушка с огненным взором», презирающая робких и ничтожных душой молодых людей ее круга, но самозабвенно полюбившая юного карбонария, чья отвага и готовность погибнуть за освобождение Италии от австрийцев отвечают ее страстности и гордости. Оказавшись перед необходимостью принести жертву долгу, Ванина и Пьетро, подобно персонажам литературы классицизма, должны выбирать между верностью родине и верностью чувству, и это выбор судьбы. Ванина выбирает любовь; чтобы сохранить Пьетро, она выдает полиции остальных участников возглавляемой им венты. Совершенное из любви преступление не подлежит оправданию; оно неискупаемо, какие бы титанические усилия ни прилагала Ванина с целью вызволить из тюрьмы возлюбленного, который добровольно сдался, чтобы снять с себя подозрения в предательстве. Удел Ванины — ненависть ожидающего казни Пьетро и брак с человеком из высшего света, хотя она к нему в лучшем случае равнодушна. Смятение души, заглушающее голос рассудка и заставляющее позабыть о кодексе чести, которым исключается сама возможность доноса, преодолено Ваниной, столкнувшейся с реальностью расправы над своим избранником: слабость сменяется отчаянной смелостью, любовь побуждает не останавливаться ни перед чем в стремлениях спасти ему жизнь. Тем не менее финал истории Ванины катастрофичен, поскольку героика сопрягается прежде всего с понятием общественного долга.</t>
        </is>
      </c>
      <c r="L4205" s="2" t="inlineStr">
        <is>
          <t>https://www.kino-teatr.ru/teatr/movie/9909/annot/</t>
        </is>
      </c>
      <c r="M4205" s="2">
        <f>HYPERLINK("https://ru.wikipedia.org/w/index.php?search=%D0%92%D0%B0%D0%BD%D0%B8%D0%BD%D0%B0%20%D0%92%D0%B0%D0%BD%D0%B8%D0%BD%D0%B8%201983%20%D1%84%D0%B8%D0%BB%D1%8C%D0%BC","искать")</f>
        <v/>
      </c>
      <c r="N4205" s="3" t="n"/>
      <c r="O4205" s="2" t="n"/>
    </row>
    <row r="4206">
      <c r="A4206" s="2" t="n">
        <v>4205</v>
      </c>
      <c r="B4206" s="2" t="inlineStr"/>
      <c r="C4206" s="2" t="n">
        <v>10536</v>
      </c>
      <c r="D4206" s="3" t="inlineStr">
        <is>
          <t>Человек со стороны</t>
        </is>
      </c>
      <c r="E4206" s="2" t="n">
        <v>1973</v>
      </c>
      <c r="F4206" s="2" t="inlineStr">
        <is>
          <t>фильм-спектакль</t>
        </is>
      </c>
      <c r="G4206" s="2" t="inlineStr">
        <is>
          <t>Гл. ред. лит-драм программ</t>
        </is>
      </c>
      <c r="H4206" s="2" t="n">
        <v>1474</v>
      </c>
      <c r="I4206" s="2" t="inlineStr"/>
      <c r="J4206" s="2" t="inlineStr"/>
      <c r="K4206" s="3" t="inlineStr">
        <is>
          <t>Фильм-спектакль Театра на Малой Бронной.
Предприятие покидает сотрудник. Его переманивает "конкурирующая фирма", начальник хорошего управленца отпускать совсем не хочет, не отдает документы, вместо прощания через секретаря сухо сообщает "Передайте ему, что у него есть три месяца. Месяц я в отпуске, два месяца в Бельгии. Я не хочу с ним прощаться". Тем не менее он уезжает, при этом грубо нарушая партийную дисциплину. Его ждет новое предприятие.
На новом месте он будет крупным начальником, "человеком со стороны". На него возлагают большие надежды, однако не спешат сразу открывать все особенности и скрытые проблемы производства. "6 гигантских корпусов, каждый по версте длинной, вот какой завод в заводе доверяют тридцатилетнему человеку". В подчинение ему дают 5 заместителей, 200 человек инженерно-технического персонала. "Легкой жизни не ждите", предупреждают его на первой встрече с руководством нового предприятия. Правда и он сразу показывает себя человеком с жесткими позициями, обещаете 280 оклад и 3-х комнатную квартиру к Октябрьским? Пишите в документ.
С самого начала он берет очень жестко, строго и даже резко. Вскоре пригласивший его уже интересуется "А не зарываетесь ли Вы?". С предприятия уходят люди, обстановка накаляется, но "человек со стороны" непреклонно продолжает переламывать существующие порядки. Что же это за человек, что скрывается за образом современного руководителя громадного предприятия? Сломает ли он систему или система сломает его?</t>
        </is>
      </c>
      <c r="L4206" s="2" t="inlineStr">
        <is>
          <t>https://www.kino-teatr.ru/teatr/movie/11373/annot/</t>
        </is>
      </c>
      <c r="M4206" s="2">
        <f>HYPERLINK("https://ru.wikipedia.org/w/index.php?search=%D0%A7%D0%B5%D0%BB%D0%BE%D0%B2%D0%B5%D0%BA%20%D1%81%D0%BE%20%D1%81%D1%82%D0%BE%D1%80%D0%BE%D0%BD%D1%8B%201973%20%D1%84%D0%B8%D0%BB%D1%8C%D0%BC","искать")</f>
        <v/>
      </c>
      <c r="N4206" s="3" t="n"/>
      <c r="O4206" s="2" t="n"/>
    </row>
    <row r="4207">
      <c r="A4207" s="2" t="n">
        <v>4206</v>
      </c>
      <c r="B4207" s="2" t="inlineStr"/>
      <c r="C4207" s="2" t="n">
        <v>11049</v>
      </c>
      <c r="D4207" s="3" t="inlineStr">
        <is>
          <t>Без вины виноватые</t>
        </is>
      </c>
      <c r="E4207" s="2" t="n">
        <v>1985</v>
      </c>
      <c r="F4207" s="2" t="inlineStr">
        <is>
          <t>фильм-спектакль</t>
        </is>
      </c>
      <c r="G4207" s="2" t="inlineStr">
        <is>
          <t>ТО "Экран"</t>
        </is>
      </c>
      <c r="H4207" s="2" t="n">
        <v>1489</v>
      </c>
      <c r="I4207" s="2" t="inlineStr"/>
      <c r="J4207" s="2" t="inlineStr"/>
      <c r="K4207" s="3" t="inlineStr">
        <is>
          <t>Пьеса А.Н.Островского в постановке Малого театра (Москва).
Главная героиня прошла нелегкий жизненный путь. Любовь Отрадина, обманутая и преданная бессердечным эгоистом Муровым, становится знаменитой провинциальной актрисой Еленой Ивановной Кручининой.
Она милостиво соглашается гастролировать в городе, с которым у нее связаны тяжелые воспоминания, и там находит сына, оставленного ею в силу обстоятельств много лет назад. Он актер в местном провинциальном театре, он стал озлобленным от тяжелого детства, юношества и молодости.
Чрезвычайно интересен жанр этой пьесы, названной самим автором комедией. Комедиями во времена Островского назывались вообще пьесы, где не происходило в финале смертей. И поэтому слово "комедия" не означает здесь, естественно, жанра: о какой комедии в страшной истории ребенка, объявленного в условиях царской России незаконнорожденным, могла идти речь.
"От счастья не умирают" - такой фразой завершается пьеса "Без вины виноватые". Но есть ли счастье в пределах этой пьесы? Оно призрачно. Нашедшие друг друга мать и сын окружены пошлой, сытой, презирающей труд толпой.
В пьесе "Без вины виноватые" Островский обращается к проблеме актерской среды, к волновавшей его теме - художник и общество. Нисколько не идеализируя современный ему провинциальный театр, показывая зависимость "талантов" от "поклонников", драматург с глубоким уважением и искренним сочувствием рисует образы истинных художников сцены, видевших в своем служении искусству - служение обществу.</t>
        </is>
      </c>
      <c r="L4207" s="2" t="inlineStr">
        <is>
          <t>https://www.kino-teatr.ru/teatr/movie/78853/annot/</t>
        </is>
      </c>
      <c r="M4207" s="2">
        <f>HYPERLINK("https://ru.wikipedia.org/w/index.php?search=%D0%91%D0%B5%D0%B7%20%D0%B2%D0%B8%D0%BD%D1%8B%20%D0%B2%D0%B8%D0%BD%D0%BE%D0%B2%D0%B0%D1%82%D1%8B%D0%B5%201985%20%D1%84%D0%B8%D0%BB%D1%8C%D0%BC","искать")</f>
        <v/>
      </c>
      <c r="N4207" s="3" t="n"/>
      <c r="O4207" s="2" t="n"/>
    </row>
    <row r="4208">
      <c r="A4208" s="2" t="n">
        <v>4207</v>
      </c>
      <c r="B4208" s="2" t="inlineStr"/>
      <c r="C4208" s="2" t="n">
        <v>10571</v>
      </c>
      <c r="D4208" s="3" t="inlineStr">
        <is>
          <t>Миллионерша</t>
        </is>
      </c>
      <c r="E4208" s="2" t="n">
        <v>1974</v>
      </c>
      <c r="F4208" s="2" t="inlineStr">
        <is>
          <t>фильм-спектакль</t>
        </is>
      </c>
      <c r="G4208" s="2" t="inlineStr">
        <is>
          <t>творческое объединение «Экран»</t>
        </is>
      </c>
      <c r="H4208" s="2" t="n">
        <v>1493</v>
      </c>
      <c r="I4208" s="2" t="inlineStr"/>
      <c r="J4208" s="2" t="inlineStr"/>
      <c r="K4208" s="3" t="inlineStr">
        <is>
          <t>Спектакль театра им.Вахтангова по одноименной пьесе Б.Шоу.
Одна из лучших постановок пьесы Б.Шоу с изумительными актерскими работами Борисовой, Осенева, Этуша, Яковлева - легкими, динамичными, с неповторимой пластикой и интонацией. Спектакль сыгранный с невероятным азартом и изящной иронией.
Действие разворачивается в английском обществе первой половины ХХ века. Главная героиня — Эпифания - красивая и богатая наследница — относится к людям по принципу «без денег никто и ничего из себя не представляет». Она стала наследницей 30 миллионов фунтов и по настоянию своего отца она должна выйти замуж за человека, который за полгода сможет сделать из 150 фунтов 50 тысяч. Местный адвокат готов цинично зарабатывать на прихотях своей клиентки. Так, при написании завещания он с улыбкой предлагает миллионерше яд.
Любовник также пытается паразитировать на состоянии богатой леди. Ее жених прошел это испытание, но надежд в браке не оправдал, хотя был высоким красивым мужчиной и спортсменом. Муж не вынес жуткого характера беспринципной жены и находит утешение в «шалаше» нежной и романтичной возлюбленной. Той, которая способна получать наслаждение от пения птиц и завтрака на траве, а не только от мыслей о деньгах. Однажды Эпифания встречает человека, которому в свое время тоже поставили условие: невеста должна полгода прожить на деньги, которые заработает сама. Интрига завязывается на том, что миллионерша влюбляется в мужчину, чьи карманы пусты, а сердце открыто для помощи и сострадания.</t>
        </is>
      </c>
      <c r="L4208" s="2" t="inlineStr">
        <is>
          <t>https://www.kino-teatr.ru/teatr/movie/8692/annot/</t>
        </is>
      </c>
      <c r="M4208" s="2">
        <f>HYPERLINK("https://ru.wikipedia.org/w/index.php?search=%D0%9C%D0%B8%D0%BB%D0%BB%D0%B8%D0%BE%D0%BD%D0%B5%D1%80%D1%88%D0%B0%201974%20%D1%84%D0%B8%D0%BB%D1%8C%D0%BC","искать")</f>
        <v/>
      </c>
      <c r="N4208" s="3" t="n"/>
      <c r="O4208" s="2" t="n"/>
    </row>
    <row r="4209">
      <c r="A4209" s="2" t="n">
        <v>4208</v>
      </c>
      <c r="B4209" s="2" t="inlineStr"/>
      <c r="C4209" s="2" t="n">
        <v>11236</v>
      </c>
      <c r="D4209" s="3" t="inlineStr">
        <is>
          <t>Эмма</t>
        </is>
      </c>
      <c r="E4209" s="2" t="n">
        <v>1988</v>
      </c>
      <c r="F4209" s="2" t="inlineStr">
        <is>
          <t>фильм-спектакль</t>
        </is>
      </c>
      <c r="G4209" s="2" t="inlineStr">
        <is>
          <t>Ленинградское ТВ</t>
        </is>
      </c>
      <c r="H4209" s="2" t="n">
        <v>1498</v>
      </c>
      <c r="I4209" s="2" t="inlineStr"/>
      <c r="J4209" s="2" t="inlineStr"/>
      <c r="K4209" s="3" t="inlineStr">
        <is>
          <t>По мотивам романа Гюстава Флобера "Мадам Бовари". Расцвет творчества Флобера приходится на мрачное время после разгрома революции 1848 года и установления режима Второй империи. Он писал: "...где найти человека... Преклонение перед прекрасным утрачено. Неужели же у всех грудь переполнена всемирной грязью?"
За роман "Мадам Бовари" Флобера судили, обвиняя его в безнравственности. "Какая сила, - отмечал Флобер, - таится в социальном лицемерии! По нынешнему времени всякое изображение становится сатирой, а история является обвинением!".
Современник Флобера - поэт Шарль Бодлер писал:
"И племя пауков
бесшумных и поганых,
В мозгу моем свои густые сети вьет".
Эти трагические и язвительные слова поэта взяты эпиграфом к телеспектаклю, поскольку роман "Госпожа Бовари" создан Г. Флобером как раз в то же время. Г. Флобер в романе показал "безобразную эпоху", частицей которой и является судьба его самой любимой героини - Эммы Бовари...
В образе Эммы предстает драматическая судьба женщины, судьба, понятная во все времена, драма женской души, трагедия между мечтой и реальностью.
Воспитанная в монастыре, начитавшаяся романтических историй о прекрасном принце, Эмма попадает в мещанское болото провинциального города Ионвиля, встречается с лицемерием, пошлостью, пустотой и предательством.
Наталья Данилова, исполнительница роли Эммы, по-своему, необычно сыграла свою героиню: это не слабая и мягкая, а всепонимающая, даже где-то сильная женщина, и тем, вероятно, масштабнее должна быть ее трагедия.</t>
        </is>
      </c>
      <c r="L4209" s="2" t="inlineStr">
        <is>
          <t>https://www.kino-teatr.ru/teatr/movie/79770/annot/</t>
        </is>
      </c>
      <c r="M4209" s="2">
        <f>HYPERLINK("https://ru.wikipedia.org/w/index.php?search=%D0%AD%D0%BC%D0%BC%D0%B0%201988%20%D1%84%D0%B8%D0%BB%D1%8C%D0%BC","искать")</f>
        <v/>
      </c>
      <c r="N4209" s="3" t="n"/>
      <c r="O4209" s="2" t="n"/>
    </row>
    <row r="4210">
      <c r="A4210" s="2" t="n">
        <v>4209</v>
      </c>
      <c r="B4210" s="2" t="inlineStr"/>
      <c r="C4210" s="2" t="n">
        <v>10795</v>
      </c>
      <c r="D4210" s="3" t="inlineStr">
        <is>
          <t>Влияние гамма-лучей на бледно-желтые ноготки</t>
        </is>
      </c>
      <c r="E4210" s="2" t="n">
        <v>1979</v>
      </c>
      <c r="F4210" s="2" t="inlineStr">
        <is>
          <t>фильм-спектакль</t>
        </is>
      </c>
      <c r="G4210" s="2" t="inlineStr">
        <is>
          <t>Лентелефильм</t>
        </is>
      </c>
      <c r="H4210" s="2" t="n">
        <v>1512</v>
      </c>
      <c r="I4210" s="2" t="inlineStr"/>
      <c r="J4210" s="2" t="inlineStr"/>
      <c r="K4210" s="3" t="inlineStr">
        <is>
          <t>Спектакль БДТ по одноименной пьесе Поля Зинделя (перевод с английского В.Хазанов).
Премьера состоялась 6 февраля 1977 года.
В маленьком доме, который раньше был овощной лавкой, живет мать с двумя дочерьми и взятой на попечение старой больной женщиной. Не сложилась у матери жизнь. По просьбе своего отца она вышла замуж за нелюбимого человека. Отец умирал и надеялся, что о дочери позаботятся. Муж ушел, оставив ее с двумя детьми, которые тоже не радуют ее. Старшая дочь - никчемная, пустая, полусумасшедшая; другая учится в школе и до самозабвения увлечена биологией. Матери это кажется тоже, своего рода, безумием. Ей кажется, что дочь ничего не видит вокруг себя, ничего не понимает, все ее внимание сосредоточено на кролике, который для нее самое близкое существо, гораздо более близкое, чем ее родные. Все, что остается матери - это тоска по несбывшимся мечтам и сны. Ей совершенно безразлично, что дочь выигрывает Первый приз в школе по естествознанию. Они так бедны, что ей не в чем идти на торжество дочери. Поэтому-то она и взяла в дом старуху, чтобы получать за уход за ней жалкие гроши.Из всевозможного старого тряпья она все-таки сооружает себе туалет, чтобы пойти на вечер в школу, но старшая дочь нарушает эту идилию. Матери не за чем идти туда, где все ее помнят по прозвищу Бетти-дурочка. Для матери это становится последней каплей. Она напивается, убивает кролика и настаивает, чтобы младшая дочь бросила школу и пошла работать. “Я ненавижу этот мир” - подводит она итог своей неудавшейся жизни.</t>
        </is>
      </c>
      <c r="L4210" s="2" t="inlineStr">
        <is>
          <t>https://www.kino-teatr.ru/teatr/movie/984/annot/</t>
        </is>
      </c>
      <c r="M4210" s="2">
        <f>HYPERLINK("https://ru.wikipedia.org/w/index.php?search=%D0%92%D0%BB%D0%B8%D1%8F%D0%BD%D0%B8%D0%B5%20%D0%B3%D0%B0%D0%BC%D0%BC%D0%B0-%D0%BB%D1%83%D1%87%D0%B5%D0%B9%20%D0%BD%D0%B0%20%D0%B1%D0%BB%D0%B5%D0%B4%D0%BD%D0%BE-%D0%B6%D0%B5%D0%BB%D1%82%D1%8B%D0%B5%20%D0%BD%D0%BE%D0%B3%D0%BE%D1%82%D0%BA%D0%B8%201979%20%D1%84%D0%B8%D0%BB%D1%8C%D0%BC","искать")</f>
        <v/>
      </c>
      <c r="N4210" s="3" t="n"/>
      <c r="O4210" s="2" t="n"/>
    </row>
    <row r="4211">
      <c r="A4211" s="2" t="n">
        <v>4210</v>
      </c>
      <c r="B4211" s="2" t="inlineStr"/>
      <c r="C4211" s="2" t="n">
        <v>10458</v>
      </c>
      <c r="D4211" s="3" t="inlineStr">
        <is>
          <t>Обломов</t>
        </is>
      </c>
      <c r="E4211" s="2" t="n">
        <v>1972</v>
      </c>
      <c r="F4211" s="2" t="inlineStr">
        <is>
          <t>фильм-спектакль</t>
        </is>
      </c>
      <c r="G4211" s="2" t="inlineStr">
        <is>
          <t>Центральное телевидение</t>
        </is>
      </c>
      <c r="H4211" s="2" t="n">
        <v>1603</v>
      </c>
      <c r="I4211" s="2" t="inlineStr"/>
      <c r="J4211" s="2" t="inlineStr"/>
      <c r="K4211" s="3" t="inlineStr">
        <is>
          <t>По одноименному роману И.А. Гончарова в постановке Московского драматического театра имени А.С. Пушкина.
Илья Ильич вместе со своим слугой Захаром живёт в Петербурге, на Гороховой улице, практически не выходя из дома и даже не поднимаясь с дивана. Он не занимается никакой деятельностью, не выходит в свет, лишь предаётся мыслям о том, как надо жить, и мечтам об уютной безмятежной жизни в родной Обломовке. Никакие проблемы — упадок хозяйства, угрозы выселения из квартиры — не могут сдвинуть его с места.
Его друг детства Штольц, полная противоположность вялому мечтательному Илье, заставляет героя на какое-то время очнуться, окунуться в жизнь. Обломов влюбляется в Ольгу Ильинскую и впоследствии после долгих раздумий и отступлений предлагает ей жениться.
Однако поддавшись интригам Тарантьева, Обломов переезжает в квартиру, нанятую ему, на Выборгскую сторону, попадая в дом Агафьи Матвеевны Пшеницыной. Постепенно все хозяйство Ильи Ильича переходит в руки Пшеницыной, а сам он окончательно угасает в «обломовщине». По Петербургу ходят слухи о скорой свадьбе Обломова и Ильинской, узнав об этом, Илья Ильич ужасается: ничего ещё, по его мнению, не решено. К нему в дом приходит Ильинская и убеждается, что ничто уже не пробудит Обломова от медленного погружения в окончательный сон, и их отношения прекращаются. В то же время дела Обломова прибирает к рукам брат Пшеницыной Иван Мухояров, который запутывает Илью Ильича в своих махинациях. В этот же момент Агафья Матвеевна чинит халат Обломова, который, казалось бы, починить уже никому не по силам. От всего этого Илья Ильич заболевает горячкой.</t>
        </is>
      </c>
      <c r="L4211" s="2" t="inlineStr">
        <is>
          <t>https://www.kino-teatr.ru/teatr/movie/93016/annot/</t>
        </is>
      </c>
      <c r="M4211" s="2">
        <f>HYPERLINK("https://ru.wikipedia.org/w/index.php?search=%D0%9E%D0%B1%D0%BB%D0%BE%D0%BC%D0%BE%D0%B2%201972%20%D1%84%D0%B8%D0%BB%D1%8C%D0%BC","искать")</f>
        <v/>
      </c>
      <c r="N4211" s="3" t="n"/>
      <c r="O4211" s="2" t="n"/>
    </row>
    <row r="4212">
      <c r="A4212" s="2" t="n">
        <v>4211</v>
      </c>
      <c r="B4212" s="2" t="inlineStr"/>
      <c r="C4212" s="2" t="n">
        <v>10468</v>
      </c>
      <c r="D4212" s="3" t="inlineStr">
        <is>
          <t>Светит, да не греет</t>
        </is>
      </c>
      <c r="E4212" s="2" t="n">
        <v>1972</v>
      </c>
      <c r="F4212" s="2" t="inlineStr">
        <is>
          <t>фильм-спектакль</t>
        </is>
      </c>
      <c r="G4212" s="2" t="n"/>
      <c r="H4212" s="2" t="n">
        <v>1631</v>
      </c>
      <c r="I4212" s="2" t="inlineStr"/>
      <c r="J4212" s="2" t="inlineStr"/>
      <c r="K4212" s="3" t="inlineStr">
        <is>
          <t>По одноименной пьесе А.Островского и Н.Соловьева в постановке Государственного академического Малого театра Союза ССР.
В старой усадьбе, уже давно не посещавшейся его владелицей помещицей Реневой, живет управляющий Васильков со своей единственной дочерью — молоденькой Олей. В глуши деревенской жизни выросла хорошенькая Оля с ее нетронутой натурой, чуждой кокетства и ломания, всем пылом своей первой любви полюбила она соседа помещика Робачева, и тот, по-видимому, отвечает ей взаимностью. Светлые и радостные летят дни — молодые люди наслаждаются счастьем взаимной любви, как вдруг в усадьбу приезжает сама Ренева, которой надоели скитания за границей и захотелось пожить в тишине. Светская красавица, избалованная победами и всеобщим поклонением, скучает в одиночестве: случайно ей удается увидеть нежную сцену между Робачевым и Олей — и шаловливая мысль увлечь этого юношу, влюбленного в деревенскую простушку, мелькает в голове хорошенькой вдовушки. Она начинает правильную атаку и с удовольствием замечает, что Робачев мало-помалу совершенно забывает Олю и отдается во власть чар красавицы Реневой. И происходит молчаливая, незаметная, но потрясающая именно своею незаметностью драма — драма разбитого сердца, разбитых мечтаний, увядание первого нежного цветка любви, смятого безжалостной рукой. Когда Ренева и Робачев еду кататься на лодке и крадущаяся за ними Оля видит, как их губы сливаются в страстном поцелуе, — бедняжка бросается в реку и тонет… Лишь при виде вытащенного из воды трупа когда-то любимой девушки Робачев сознает, какую ужасную непоправимую ошибку он совершил, и вместе с отцом Оли рыдает над ее трупом.</t>
        </is>
      </c>
      <c r="L4212" s="2" t="inlineStr">
        <is>
          <t>https://www.kino-teatr.ru/teatr/movie/80984/annot/</t>
        </is>
      </c>
      <c r="M4212" s="2">
        <f>HYPERLINK("https://ru.wikipedia.org/w/index.php?search=%D0%A1%D0%B2%D0%B5%D1%82%D0%B8%D1%82%2C%20%D0%B4%D0%B0%20%D0%BD%D0%B5%20%D0%B3%D1%80%D0%B5%D0%B5%D1%82%201972%20%D1%84%D0%B8%D0%BB%D1%8C%D0%BC","искать")</f>
        <v/>
      </c>
      <c r="N4212" s="3" t="n"/>
      <c r="O4212" s="2" t="n"/>
    </row>
    <row r="4213">
      <c r="A4213" s="2" t="n">
        <v>4212</v>
      </c>
      <c r="B4213" s="2" t="inlineStr"/>
      <c r="C4213" s="2" t="n">
        <v>11054</v>
      </c>
      <c r="D4213" s="3" t="inlineStr">
        <is>
          <t>Гум-Гам</t>
        </is>
      </c>
      <c r="E4213" s="2" t="n">
        <v>1985</v>
      </c>
      <c r="F4213" s="2" t="inlineStr">
        <is>
          <t>фильм-спектакль</t>
        </is>
      </c>
      <c r="G4213" s="2" t="inlineStr">
        <is>
          <t>Лентелефильм</t>
        </is>
      </c>
      <c r="H4213" s="2" t="n">
        <v>1646</v>
      </c>
      <c r="I4213" s="2" t="inlineStr"/>
      <c r="J4213" s="2" t="inlineStr"/>
      <c r="K4213" s="3" t="inlineStr">
        <is>
          <t>Телефильм по фантастической повести Евгения Велтистова. Однажды мальчик Максим гулял во дворе со своей собакой по имени Рич, и увидел очень странного мальчика. Оказалось, что это пришелец из космоса по имени Гум-Гам. Они подружились и обменялись подарками: Гум-Гам подарил Максиму свою лестницу, на которой можно летать, а Максим подарил Гум-Гаму воздушного змея. У Гум-Гама был камень путешествий, с помощью которого он мог летать куда угодно. Он улетел обратно на свою планету, а подареннй ему змей очень понравился его друзьям и они стали играть в него. Тем временем, мама Максима уехала на гастроли, и они остались с отцом жить по-мужски. Пошли они в кафе пообедать, но оно оказалось закрыто. Но на зов Максима прилетел Гум-Гам и устроил так, что Максим и все его друзья попали в зал игральных автоматов и прекрасно провели там время. С тех пор Гум-Гам всегда прилетал на землю и помогал ребятам сделать так, чтобы среди зимы наступило лето, или отправиться путешествовать на яхте по Черному морю в последний день каникул. Когда в школе началась учеба, Гум-Гам со своими друзьями прилетели на землю, чтобы встретиться с друзьями Максима. Ребята из космоса подарили им “лунад”, с помощью которого можно играть во все, а Максиму Гум-Гам подарил камень путешествий, с помощью которого можно летать куда хочешь. Правда, ребята начали использовать “лунад” не по назначению, а в школе привели в состояние шока всех учителей своими невероятными “знаниями”. Однако вскоре все открылось. А однажды ребята решили пригласить Гум-Гама, но он не откликнулся. И они взяли, да полетели к нему, чтобы узнать, почему нельзя прилететь на землю и иметь друзей?!</t>
        </is>
      </c>
      <c r="L4213" s="2" t="inlineStr">
        <is>
          <t>https://www.kino-teatr.ru/teatr/movie/1553/annot/</t>
        </is>
      </c>
      <c r="M4213" s="2">
        <f>HYPERLINK("https://ru.wikipedia.org/w/index.php?search=%D0%93%D1%83%D0%BC-%D0%93%D0%B0%D0%BC%201985%20%D1%84%D0%B8%D0%BB%D1%8C%D0%BC","искать")</f>
        <v/>
      </c>
      <c r="N4213" s="3" t="n"/>
      <c r="O4213" s="2" t="n"/>
    </row>
    <row r="4214">
      <c r="A4214" s="2" t="n">
        <v>4213</v>
      </c>
      <c r="B4214" s="2" t="inlineStr"/>
      <c r="C4214" s="2" t="n">
        <v>10365</v>
      </c>
      <c r="D4214" s="3" t="inlineStr">
        <is>
          <t>Обыкновенная история</t>
        </is>
      </c>
      <c r="E4214" s="2" t="n">
        <v>1970</v>
      </c>
      <c r="F4214" s="2" t="inlineStr">
        <is>
          <t>фильм-спектакль</t>
        </is>
      </c>
      <c r="G4214" s="2" t="inlineStr">
        <is>
          <t>ТО «Экран»</t>
        </is>
      </c>
      <c r="H4214" s="2" t="n">
        <v>1705</v>
      </c>
      <c r="I4214" s="2" t="inlineStr"/>
      <c r="J4214" s="2" t="inlineStr"/>
      <c r="K4214" s="3" t="inlineStr">
        <is>
          <t>Фильм-спектакль в постановке Московского театра "Современник".
Мудрая, остроумная, глубоко трогательная, очень человечная и прекрасно сыгранная картина. Александр Адуев (Табаков), молодой человек из провинции, приезжает в Петербург к своему дяде, Петру Ивановичу Адуеву (может быть, лучшая роль Козакова), полный радужных надежд на служение отечеству. Он готов перевернуть весь мир. Дядя сразу же начинает ставить юношу на землю, убеждая не говорить "диким языком", заниматься делом. Козаков потрясающе сыграл умного, кажущегося циничным, но доброжелательного человека, сделавшего очень много для своего племянника. Не его вина, что уроки юный племянник воспринял не так, как хотелось дядюшке. Испытав несчастье юной любви (был оставлен ради графа), разочаровавшись в дружбе с Поспеловым, потерпев крах на литературном поприще, Александр не смог, поумнев, сохранить в себе доброту к людям, не приобрел умения видеть и ценить в них то хорошее, что в них есть, а не только глупость, пошлость. Он не умел прощать и быть снисходительным. Возможно, с самого начала он умел любить только себя, и разочарование в людях, цинизм, черствость на грани бездушия и жестокости, скука были вызваны душевной неполноценностью, эгоизмом, обыкновенной заурядностью. Мудрым нельзя стать по чужим советам. Трагедия же Адуева-старшего в том, что даже близкие не могут увидеть добрые и мудрые пожелания под кольчугой иронии. Дядя и племянник с разными результатами прошли один и тот же жизненный путь. Посмотрите этот спектакль. В нем нет хрестоматийной пыли, он будет современен всегда. Эта обыкновенная история случается в любой век. Я открыл для себя много нового — наверное, повзрослел. Текст читает Игорь Кваша. (М. Иванов)</t>
        </is>
      </c>
      <c r="L4214" s="2" t="inlineStr">
        <is>
          <t>https://www.kino-teatr.ru/teatr/movie/4635/annot/</t>
        </is>
      </c>
      <c r="M4214" s="2">
        <f>HYPERLINK("https://ru.wikipedia.org/w/index.php?search=%D0%9E%D0%B1%D1%8B%D0%BA%D0%BD%D0%BE%D0%B2%D0%B5%D0%BD%D0%BD%D0%B0%D1%8F%20%D0%B8%D1%81%D1%82%D0%BE%D1%80%D0%B8%D1%8F%201970%20%D1%84%D0%B8%D0%BB%D1%8C%D0%BC","искать")</f>
        <v/>
      </c>
      <c r="N4214" s="3" t="n"/>
      <c r="O4214" s="2" t="n"/>
    </row>
    <row r="4215">
      <c r="A4215" s="2" t="n">
        <v>4214</v>
      </c>
      <c r="B4215" s="2" t="inlineStr"/>
      <c r="C4215" s="2" t="n">
        <v>11183</v>
      </c>
      <c r="D4215" s="3" t="inlineStr">
        <is>
          <t>Подъезд с атлантами</t>
        </is>
      </c>
      <c r="E4215" s="2" t="n">
        <v>1987</v>
      </c>
      <c r="F4215" s="2" t="inlineStr">
        <is>
          <t>фильм-спектакль</t>
        </is>
      </c>
      <c r="G4215" s="2" t="inlineStr">
        <is>
          <t>Ленинградское ТВ</t>
        </is>
      </c>
      <c r="H4215" s="2" t="n">
        <v>1722</v>
      </c>
      <c r="I4215" s="2" t="inlineStr"/>
      <c r="J4215" s="2" t="inlineStr"/>
      <c r="K4215" s="3" t="inlineStr">
        <is>
          <t>Ленинградский Эрмитаж, который все мы любим и которым гордимся, издавна вошел в историю отечественной культуры.
Старые друзья Эрмитажа, его литературные летописцы С. Варшавский и Б. Рест написали несколько книг по истории музея, хорошо известных читателям. Среди них - художественно-документальное повествование - "Билет на всю вечность". Жизнь Эрмитажа с первых же часов Октябрьского восстания воссоздана в книге в неразрывной связи с историческими событиями, которые всколыхнули всю Россию, потрясли весь мир.
По мотивам произведения С. Варшавского и Б. Реста Главная редакция художественных передач создала двухсерийный спектакль "Подъезд с атлантами", посвященный 70-летию Октября. Из большого материала книги, созданной на основе архивных документов, авторы спектакля взяли небольшой период времени: события начинаются в ночь с 25 на 26 октября 1917 года и заканчиваются в апреле 1918 года, когда Эрмитаж (не весь, разумеется, а лишь отдельные залы) был открыт для посещения как Государственный музей.
Наверное, можно говорить о двух главенствующих темах этого спектакля: забота большевистской партии и рабоче-крестьянского правительства о сохранении культуры, национального духовного достояния молодой республики; и вторая тема - судьбы людей, в частности, служителей Эрмитажа, которые эту культуру для нас сберегали и сохранили.
Сложный путь пришлось пройти представителям научной и художественной интеллигенции старой формации, прежде чем они осознали свой долг и нашли свое место в строительстве социалистической культуры.
Решение спектакля несколько условно, в нем действует и наш с вами современник, который пытается представить и понять, как и с чего начинался советский Эрмитаж, ныне всемирно известный музей.</t>
        </is>
      </c>
      <c r="L4215" s="2" t="inlineStr">
        <is>
          <t>https://www.kino-teatr.ru/teatr/movie/79771/annot/</t>
        </is>
      </c>
      <c r="M4215" s="2">
        <f>HYPERLINK("https://ru.wikipedia.org/w/index.php?search=%D0%9F%D0%BE%D0%B4%D1%8A%D0%B5%D0%B7%D0%B4%20%D1%81%20%D0%B0%D1%82%D0%BB%D0%B0%D0%BD%D1%82%D0%B0%D0%BC%D0%B8%201987%20%D1%84%D0%B8%D0%BB%D1%8C%D0%BC","искать")</f>
        <v/>
      </c>
      <c r="N4215" s="3" t="n"/>
      <c r="O4215" s="2" t="n"/>
    </row>
    <row r="4216">
      <c r="A4216" s="2" t="n">
        <v>4215</v>
      </c>
      <c r="B4216" s="2" t="inlineStr"/>
      <c r="C4216" s="2" t="n">
        <v>11080</v>
      </c>
      <c r="D4216" s="3" t="inlineStr">
        <is>
          <t>Серсо</t>
        </is>
      </c>
      <c r="E4216" s="2" t="n">
        <v>1985</v>
      </c>
      <c r="F4216" s="2" t="inlineStr">
        <is>
          <t>фильм-спектакль</t>
        </is>
      </c>
      <c r="G4216" s="2" t="n"/>
      <c r="H4216" s="2" t="n">
        <v>1926</v>
      </c>
      <c r="I4216" s="2" t="inlineStr"/>
      <c r="J4216" s="2" t="inlineStr"/>
      <c r="K4216" s="3" t="inlineStr">
        <is>
          <t>По пьесе Виктора Славкина.
Премьера «Серсо» состоялась в июне 1985 г., но спектакль остался едва ли не главным событием и последующего, 1986 г. «Серсо» - шедевр русского психологического театра, с магической проницательностью выявивший в героях, обыкновенных советских людях, их непреходящий душевный свет, - надолго становится эталоном режиссерского мастерства, преображающего актеров в долгом и трудном путешествии к сути драматического искусства. В понимании Васильева театр не может служить ни запросам государства, ни летучим настроениям общества. Это, скорее, секта, орден одиноких верующих пилигримов. Личность Васильева - могущественного колдуна, творителя своего художественного мира - явится главным прообразом следующего поколения режиссеров.
В дом приезжает на выходные компания сорокалетних людей, по-разному знакомых и незнакомых друг с другом. Соединенные Петушком (А.Филозов), нечаянно получившим дом в наследство, новые колонисты и присоединившийся к ним старик по имени Кока (А.Петренко) знакомятся ближе, что-то рассказывают, импровизируют за фортепьяно, танцуют, играют в забытую игру серсо. Вместе они совершают своеобразное путешествие во времени: надев найденные на чердаке старинные платья, читают письма начала прошлого века, и на белой стене проецируются лица иного душевного склада. Фотографии неизвестных людей, живших в эпоху Серебряного века. Но дом уже назначен к продаже. В третьем акте недолгая идиллия разрушается исподволь, сама собой. Уходит надежда на возможность другой, наполненной жизни, идет дождь, персонажи покидают дом навсегда. Но художественная реальность спектакля в каждый момент своего существования позволяла думать, что жизнь имеет одухотворяющий смысл. Эта реальность искрилась и переливалась всем спектром тончайших игровых, звуковых, пластических и световых созвучий. А.Васильев превратил пьесу, состоящую из монологов, где каждый персонаж одинок, в чудо ансамблевой игры.</t>
        </is>
      </c>
      <c r="L4216" s="2" t="inlineStr">
        <is>
          <t>https://www.kino-teatr.ru/teatr/movie/81533/annot/</t>
        </is>
      </c>
      <c r="M4216" s="2">
        <f>HYPERLINK("https://ru.wikipedia.org/w/index.php?search=%D0%A1%D0%B5%D1%80%D1%81%D0%BE%201985%20%D1%84%D0%B8%D0%BB%D1%8C%D0%BC","искать")</f>
        <v/>
      </c>
      <c r="N4216" s="3" t="n"/>
      <c r="O4216" s="2" t="n"/>
    </row>
    <row r="4217">
      <c r="A4217" s="2" t="n">
        <v>4216</v>
      </c>
      <c r="B4217" s="2" t="inlineStr"/>
      <c r="C4217" s="2" t="n">
        <v>10673</v>
      </c>
      <c r="D4217" s="3" t="inlineStr">
        <is>
          <t>Театральные истории</t>
        </is>
      </c>
      <c r="E4217" s="2" t="n">
        <v>1976</v>
      </c>
      <c r="F4217" s="2" t="inlineStr">
        <is>
          <t>фильм-спектакль</t>
        </is>
      </c>
      <c r="G4217" s="2" t="inlineStr">
        <is>
          <t>Лентелефильм</t>
        </is>
      </c>
      <c r="H4217" s="2" t="n">
        <v>2026</v>
      </c>
      <c r="I4217" s="2" t="inlineStr"/>
      <c r="J4217" s="2" t="inlineStr"/>
      <c r="K4217" s="3" t="inlineStr">
        <is>
          <t>По рассказам А.П. Чехова.
Празднуется юбилей трагика. Одни критикуют, другие восхваляют юбиляра. Третьи беседуют между собой, четвертые - “моноложат”. “Благородный отец” рассказывает газетчику о комике Борщове. Однажды он “устроил” бенефис одной актрисе. Он попросил ее дать ему на спектакль халат ее бывшего любовника, но она отказала на том основании, что он ей дорог, как воспоминание о человеке, которого она любила, хотя он и бросил ее. В отместку он подговорил кассира вывесить объявление “Все билеты проданы”. В результате на ее бенефис было продано всего 5 билетов. На юбилее трагик держит речь перед гостями. Он создал много образов, его имя известно в 36 городах - вот счета из гостиниц. Но не было и дня, чтобы не было интриг, и он решил сказать об этом правду. Искусство пало, жалованье не выплачивают. Услышав о жалованье, антрепренер уходит. “Благородный отец” продолжает свои рассказы. Антрепренер не должен давать волю актеру. Антрепренер Индюков держал в кулаке всю труппу. Однажды он устроил бенефис актрисе Каучуковой. Он спрятался в ее гримерной, якобы от приехавшего зятя, и пообещал, если она его не выдаст, то получит прибавку к бенефисному “пирогу”. Когда закончился бенефис, он сказал ей, что ошибся, зять не приехал, поэтому и и не за чем давать ей прибавку. На юбилее трагика актриса исполняет песню в честь юбиляра. А “Благородный отец” продолжает сетовать - и ради денег работают. Напротив него за столом сидят музыканты - “Контрабас” и “Флейта”. Как-то они встретились у театра, и “Контрабас” предложил “Флейте” снять квартиру на двоих. “Флейта” согласился. Когда стало ясно, что жить вдвоем невыносимо, “Флейта” никак не мог признаться в этом своему приятелю. Тогда “Контрабас” не выдержал и сам сказал, что не может дождаться, когда тот уйдет.. Оба вздохнули с облегчением. “Благородный отец” продолжал сокрушаться, что нет настоящих талантов. А репортер пришел к выводу, что русский актер бывает бесконечно симпатичен, потому что не жалуется на интриги, а повествует об увиденном и услышанном.</t>
        </is>
      </c>
      <c r="L4217" s="2" t="inlineStr">
        <is>
          <t>https://www.kino-teatr.ru/teatr/movie/10071/annot/</t>
        </is>
      </c>
      <c r="M4217" s="2">
        <f>HYPERLINK("https://ru.wikipedia.org/w/index.php?search=%D0%A2%D0%B5%D0%B0%D1%82%D1%80%D0%B0%D0%BB%D1%8C%D0%BD%D1%8B%D0%B5%20%D0%B8%D1%81%D1%82%D0%BE%D1%80%D0%B8%D0%B8%201976%20%D1%84%D0%B8%D0%BB%D1%8C%D0%BC","искать")</f>
        <v/>
      </c>
      <c r="N4217" s="3" t="n"/>
      <c r="O4217" s="2" t="n"/>
    </row>
    <row r="4218">
      <c r="A4218" s="2" t="n">
        <v>4217</v>
      </c>
      <c r="B4218" s="2" t="inlineStr"/>
      <c r="C4218" s="2" t="n">
        <v>11201</v>
      </c>
      <c r="D4218" s="3" t="inlineStr">
        <is>
          <t>Зимняя сказка</t>
        </is>
      </c>
      <c r="E4218" s="2" t="n">
        <v>1988</v>
      </c>
      <c r="F4218" s="2" t="inlineStr">
        <is>
          <t>фильм-спектакль</t>
        </is>
      </c>
      <c r="G4218" s="2" t="inlineStr">
        <is>
          <t>Главная редакция программ для детей ЦТ</t>
        </is>
      </c>
      <c r="H4218" s="2" t="n">
        <v>2115</v>
      </c>
      <c r="I4218" s="2" t="inlineStr"/>
      <c r="J4218" s="2" t="inlineStr"/>
      <c r="K4218" s="3" t="inlineStr">
        <is>
          <t>По одноименной пьесе Уильяма Шекспира в постановке Государственного академического театра имени Моссовета.
Леонт, король Сицилии, подозревает свою беременную жену Гермиону в измене с его другом Поликсеном, королем Богемии. Он приказывает своему приближённому Камилло отравить Поликсена, как раз находящегося с визитом на Сицилии; Камилло обещает выполнить приказ, но потом предупреждает свою жертву, и оба они бегут в Богемию. Тем временем Леонт заточает свою жену в тюрьму. Чтобы окончательно убедиться в её вине, он посылает послов к дельфийскому оракулу. Через некоторое время Гермиона рождает девочку, но Леонт не признаёт её своей дочерью. Вместо этого он приказывает другому вельможе, Антигону, отвезти ее в глушь и бросить там. Леонт также начинает судебный процесс против своей жены, где обвиняет её в супружеской измене и участии в заговоре с Поликсеном и Камилло. В это время приходит ответ от оракула, который снимает вину с Гермионы, Камилло и Поликсена, а Леонта называет ревнивым тираном, который «будет жить без наследника, пока не найдёт потерянное». Сразу после оглашения прорицания приходит известие о смерти маленького сына Леонта, Мамиллия. При этой вести Гермиона падает бездыханной. Тем временем Антигон оставляет дочь Гермионы на богемском берегу, где её находит пастух. По пути к кораблю Антигон гибнет от клыков медведя.
Проходит шестнадцать лет.
Дочь Леонта и Гермионы растёт в семье богемских пастухов под именем Утрата. Юная девушка и сын Поликсена Флоризель влюблены друг в друга, но принц скрывает неподобающую любовную связь от своего отца. На празднике стрижки овец, где присутствует также весёлый карманник и бард Автолик, влюблённые встречаются вновь, и их видят переодетые Поликсен и Камилло. После того, как разгневанный король раскрывается перед Флоризелем, принц решается бежать с Утратой на Сицилию. За ними в погоню пускаются Поликсен и старый пастух, приёмный отец Утраты. И то, что он не настоящий её отец, выясняется при дворе Леонта. Леонт мирится с Поликсеном. Паулина, вдова Антигона, ведёт всех присутствующих к «мраморной статуе» Гермионы, которая внезапно «оживает».</t>
        </is>
      </c>
      <c r="L4218" s="2" t="inlineStr">
        <is>
          <t>https://www.kino-teatr.ru/teatr/movie/81573/annot/</t>
        </is>
      </c>
      <c r="M4218" s="2">
        <f>HYPERLINK("https://ru.wikipedia.org/w/index.php?search=%D0%97%D0%B8%D0%BC%D0%BD%D1%8F%D1%8F%20%D1%81%D0%BA%D0%B0%D0%B7%D0%BA%D0%B0%201988%20%D1%84%D0%B8%D0%BB%D1%8C%D0%BC","искать")</f>
        <v/>
      </c>
      <c r="N4218" s="3" t="n"/>
      <c r="O4218" s="2" t="n"/>
    </row>
    <row r="4219">
      <c r="A4219" s="2" t="n">
        <v>4218</v>
      </c>
      <c r="B4219" s="2" t="inlineStr"/>
      <c r="C4219" s="2" t="n">
        <v>10763</v>
      </c>
      <c r="D4219" s="3" t="inlineStr">
        <is>
          <t>Ограбление в полночь</t>
        </is>
      </c>
      <c r="E4219" s="2" t="n">
        <v>1978</v>
      </c>
      <c r="F4219" s="2" t="inlineStr">
        <is>
          <t>фильм-спектакль</t>
        </is>
      </c>
      <c r="G4219" s="2" t="inlineStr">
        <is>
          <t>Лентелефильм</t>
        </is>
      </c>
      <c r="H4219" s="2" t="n">
        <v>2171</v>
      </c>
      <c r="I4219" s="2" t="inlineStr"/>
      <c r="J4219" s="2" t="inlineStr"/>
      <c r="K4219" s="3" t="inlineStr">
        <is>
          <t>Комедия по водевилю югославского драматурга Мирослава Мировича
"Вор в положении, или ограбление в полночь".
Детективно-эротическая история с разоблачением и стриптизом грабителя, столкнувшегося с вороватым заместителем директора универмага.
Зам. директора большого универсама остается на работе на ночь - на следующий день предстоит ревизия. В дверях появляется грабитель. Направив на зам. директора пистолет, он ставит его к стенке, и интересуется, все ли деньги на месте. Оказывается, он принял зам. директора за другого грабителя. А тот принял грабителя за инспектора милиции. Оба вздыхают с облегчением. У зам. директора все время звонит телефон. Позвонившей жене, он говорит, что придет утром; любовнице - что скоро придет. Вместе с грабителем он инсценирует взлом кассы, и вдобавок предлагает грабителю любые товары в магазине. Тот удивлен - впервые он встречает такого любезного зам. директора. Эту идиллию нарушают своим приходом сначала любовница, потом жена. Услышав голос жены, любовница прячется в туалет, где уже сидит спрятавшийся грабитель. Жена решает подождать мужа. Он пытается выпроводить жену. Она подозревает, что в туалете прячется любовница, но оттуда выходит грабитель, вынужденный представиться ей “директором”, как, наверное, он представился в туалете любовнице зам. директора. Сначала уходит жена, получив в подарок шубу любовницы. Потом уходит любовница, получив в подарок новую шубу. Наконец-то зам. директора и грабитель остаются одни. Зам. директора признается, что он весь в долгах и хочет списать их под грабеж. Грабитель собирается уходить - он ничем не может помочь ему. Зам. директора предупреждает, что утром вызовет милицию - кругом отпечатки пальцев, касса взломана. Грабитель решает не ждать до утра и свистит в свисток. Появляется инспектор. Грабитель заявляет ему, что была попытка ограбления, а грабитель - он. Прибегает любовница, которая узнает, что “директор”, на самом деле грабитель. Она тут же возвращается к зам. директору. Затем прибегает жена. Она возмущена, что застукала мужа с любовницей. Инспектор совершенно запутан. Он вопрошает, кто же все-таки виноват? Все убеждают его, что виноват автор, написавший эту пьесу.</t>
        </is>
      </c>
      <c r="L4219" s="2" t="inlineStr">
        <is>
          <t>https://www.kino-teatr.ru/teatr/movie/4665/annot/</t>
        </is>
      </c>
      <c r="M4219" s="2">
        <f>HYPERLINK("https://ru.wikipedia.org/w/index.php?search=%D0%9E%D0%B3%D1%80%D0%B0%D0%B1%D0%BB%D0%B5%D0%BD%D0%B8%D0%B5%20%D0%B2%20%D0%BF%D0%BE%D0%BB%D0%BD%D0%BE%D1%87%D1%8C%201978%20%D1%84%D0%B8%D0%BB%D1%8C%D0%BC","искать")</f>
        <v/>
      </c>
      <c r="N4219" s="3" t="n"/>
      <c r="O4219" s="2" t="n"/>
    </row>
    <row r="4220">
      <c r="A4220" s="2" t="n">
        <v>4219</v>
      </c>
      <c r="B4220" s="2" t="inlineStr"/>
      <c r="C4220" s="2" t="n">
        <v>10949</v>
      </c>
      <c r="D4220" s="3" t="inlineStr">
        <is>
          <t>Монт-Ориоль</t>
        </is>
      </c>
      <c r="E4220" s="2" t="n">
        <v>1982</v>
      </c>
      <c r="F4220" s="2" t="inlineStr">
        <is>
          <t>фильм-спектакль</t>
        </is>
      </c>
      <c r="G4220" s="2" t="inlineStr">
        <is>
          <t>Ленинградское ТВ</t>
        </is>
      </c>
      <c r="H4220" s="2" t="n">
        <v>2334</v>
      </c>
      <c r="I4220" s="2" t="inlineStr"/>
      <c r="J4220" s="2" t="inlineStr"/>
      <c r="K4220" s="3" t="inlineStr">
        <is>
          <t>По мотивам романа французского писателя Ги де Мопассана.
Христиана, 21-летняя девушка — дочь маркиза де Равенеля, замужем за богатым еврейским банкиром Вильямом Андерматом.
Андермат женился на ней, чтобы проникнуть в высшие круги общества. С помощью денег ему удалось преодолеть предубеждения
семьи Равенелей против брака Христианы с евреем. Однако около трёх лет у супругов нет детей, и Андермат привозит жену
на курорт в надежде, что врачи и минеральные воды помогут зачатию ребёнка. Внимание Андермата привлекает минеральный
источник, открывшийся после взрыва утёса, который мешал возделывать почву виноградника крестьянина Ориоля.
У Андермата появляется идея строительства нового крупного курорта, и он предлагает Ориолю продать ему большой участок земли. Отец и сын Ориоли решаются на хитрость, чтобы увеличить цену. Они подкупают старого бродягу, считающегося паралитиком (но в действительности здорового), чтобы тот принимал ванны в источнике и затем объявил об улучшении здоровья. Андермат укрепляется в своей уверенности и начинает оказывать знаки внимания дочерям Ориоля, чтобы вызвать его расположение. Христиана знакомится с другом своего брата Гонтрана по имени Поль Бретиньи и в отсутствие мужа, проводящего время в деловых поездках между курортом и Парижем, начинает сближаться с ним. Взаимная симпатия Христианы и Поля перерастает в более сильное чувство, и они становятся любовниками. Христиана беременеет, однако ничего не подозревающий муж приписывает это действию курорта. Ориоль, войдя в состав созданного акционерного общества и передав как вклад часть земли, лучшие участки оставил
в приданое дочерям. Андермат советует Гонтрану начать ухаживание за Шарлоттой, одной из дочерей Ориоля, чтобы жениться на ней и получить в качестве приданого нужный ему участок земли для курорта. Сам Гонтран, не имеющий своего дохода и живущий на деньги Андермата, вынужден согласиться. Луиза, сестра Шарлотты, начинает ревновать к ней. Однако Андермат узнаёт, что Ориоль намерен дать в приданое за Шарлоттой ненужные банкиру участки. Поэтому банкир рекомендует Гонтрану переключить внимание на Луизу, которой Ориоль предназначил свои лучшие земли. Недовольный Гонтран, которому больше нравится Шарлотта, вновь подчиняется. Между сёстрами начинается молчаливая вражда, Шарлотта старается не подавать вида, что она очень страдает.</t>
        </is>
      </c>
      <c r="L4220" s="2" t="inlineStr">
        <is>
          <t>https://www.kino-teatr.ru/teatr/movie/88432/annot/</t>
        </is>
      </c>
      <c r="M4220" s="2">
        <f>HYPERLINK("https://ru.wikipedia.org/w/index.php?search=%D0%9C%D0%BE%D0%BD%D1%82-%D0%9E%D1%80%D0%B8%D0%BE%D0%BB%D1%8C%201982%20%D1%84%D0%B8%D0%BB%D1%8C%D0%BC","искать")</f>
        <v/>
      </c>
      <c r="N4220" s="3" t="n"/>
      <c r="O4220" s="2" t="n"/>
    </row>
    <row r="4221">
      <c r="A4221" s="2" t="n">
        <v>4220</v>
      </c>
      <c r="B4221" s="2" t="inlineStr"/>
      <c r="C4221" s="2" t="n">
        <v>10483</v>
      </c>
      <c r="D4221" s="3" t="inlineStr">
        <is>
          <t>А.П.Чехов "Сценки"</t>
        </is>
      </c>
      <c r="E4221" s="2" t="n">
        <v>1973</v>
      </c>
      <c r="F4221" s="2" t="inlineStr">
        <is>
          <t>фильм-спектакль</t>
        </is>
      </c>
      <c r="G4221" s="2" t="inlineStr">
        <is>
          <t>Лентелефильм</t>
        </is>
      </c>
      <c r="H4221" s="2" t="n">
        <v>2746</v>
      </c>
      <c r="I4221" s="2" t="inlineStr"/>
      <c r="J4221" s="2" t="inlineStr"/>
      <c r="K4221" s="3" t="inlineStr">
        <is>
          <t>Фильм-спектакль в постановке Большого Драматического Театра
Три миниатюры по рассказам А.П.Чехова Дорогая собака, Злоумышленник, Жених и папенька, об абсурдности бытия.
В каждой миниатюре один из персонажей обязательно настаивает на чем-то, совершенно не нужном другому.
"Дорогая собака"
Вольноопределяющийся Кнапс и поручик Дубов сидят пьют и спьяну горланят романс. Дубов пристает к Кнапсу, чтобы тот купил у него собаку. Стойка как у сеттера, чутье, нюх. На знатока - все 200 рублей. Он-то дал за щенка 150, а охотиться некогда. За любые деньги отдал бы. Но Кнапс не хочет, потому что сука. Дубов спорит, что это кобель. Кнапс обижен. Дубов зовет денщика и требует коньяку, а сам продолжает уговаривать Кнапса. Чем это он так не любит сук? Но Кнапс снова отказывается - ему не нужна собака, да и денег нет. Дубов прогоняет пса ; он уже готов отдать его бесплатно. Но Кнапс почти спит. “завтра же пошлю его на живодерню”, - решает Дубов. Плохая собака - грязь от нее, жрет много, непородистая. Вместе с разбуженным Кнапсом они снова затягивают “пьяный” романс.
"Злоумышленник"
Полицейский приводит крестьянина Григорьева к следователю в участок. Сторож застал его в тот момент, когда он свинчивал гайку с железнодорожного полотна. - Для чего вывинчивал, - интересуется следователь. - Кабы не нужна была, не отвинчивал. - А зачем? - Грузила делаем. - Врешь. - Да разве можно без грузила? Долго рассказывает Григорьев, как и что надо ловить. Да ведь поезд сошел бы с рельс, людей убило бы, увещевает следователь “злоумышленника”. Да мы не все отвинчиваем, мы понимаем. Оказывается в прошлом году здесь поезд сошел с рельс. Теперь понятно, чья это работа. Долго мучился следователь с Григорьевым. Он ему закон о наказании за повреждение железной дороги, влекущее за собой несчастье, а тот ему про рыбу. Надоел он следователю хуже смерти. И велел он вывести его вон. И незадачливого рыболова увели в тюрьму.
"Жених и папенька"
Жених Милкин сидит и жалуется - вот уж сколько времени он обедает у папеньки Кондрашкина, гуляет с его дочерью Настенькой, букеты носит. Настало время прекратить толки. И чтоб не надеялась. У папаши семь дочек. Видать одну пристроить хочет. И решает Милкин поговорить с папашей, а тот, кажется, догадывается, о чем. Понимая, что жених хочет дать деру, он загоняет его в угол. Жених выставляет ему свои доводы - не сошлись характерами, не достоин ее, пьяница, взятки беру, растратчик, наконец - он заявляет изумленному папаше, что он - беглый каторжник. У папаши же свои контрдоводы - поживете, все уладится, взятки берут все, а если Сибирь - то за вами последует. Тогда жених выкладывает свой последний “козырной” довод - я сумасшедший. И на глазах вконец ошарашенного папаши Милкин съедает стоящий на столе букет цветов.</t>
        </is>
      </c>
      <c r="L4221" s="2" t="inlineStr">
        <is>
          <t>https://www.kino-teatr.ru/teatr/movie/9905/annot/</t>
        </is>
      </c>
      <c r="M4221" s="2">
        <f>HYPERLINK("https://ru.wikipedia.org/w/index.php?search=%D0%90.%D0%9F.%D0%A7%D0%B5%D1%85%D0%BE%D0%B2%20%22%D0%A1%D1%86%D0%B5%D0%BD%D0%BA%D0%B8%22%201973%20%D1%84%D0%B8%D0%BB%D1%8C%D0%BC","искать")</f>
        <v/>
      </c>
      <c r="N4221" s="3" t="n"/>
      <c r="O4221" s="2" t="n"/>
    </row>
  </sheetData>
  <autoFilter ref="A1:O42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2026-10-19T16:40:44Z</dcterms:created>
  <dcterms:modified xmlns:dcterms="http://purl.org/dc/terms/" xmlns:xsi="http://www.w3.org/2001/XMLSchema-instance" xsi:type="dcterms:W3CDTF">2026-10-19T16:40:44Z</dcterms:modified>
</cp:coreProperties>
</file>