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AaS\Desktop\Hunger Box\"/>
    </mc:Choice>
  </mc:AlternateContent>
  <bookViews>
    <workbookView xWindow="0" yWindow="0" windowWidth="20490" windowHeight="7770" tabRatio="608"/>
  </bookViews>
  <sheets>
    <sheet name="userdata" sheetId="1" r:id="rId1"/>
    <sheet name="Initialweight" sheetId="3" r:id="rId2"/>
    <sheet name="training" sheetId="4" r:id="rId3"/>
    <sheet name="test_training" sheetId="5" r:id="rId4"/>
    <sheet name="clooku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4" l="1"/>
  <c r="Z40" i="4"/>
  <c r="Z33" i="4"/>
  <c r="Z19" i="4"/>
  <c r="Z24" i="4"/>
  <c r="Z14" i="4"/>
  <c r="W40" i="4"/>
  <c r="W33" i="4"/>
  <c r="W24" i="4"/>
  <c r="W19" i="4"/>
  <c r="W14" i="4"/>
  <c r="F12" i="4" l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1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H45" i="4"/>
  <c r="H49" i="4"/>
  <c r="H53" i="4"/>
  <c r="H57" i="4"/>
  <c r="H61" i="4"/>
  <c r="H65" i="4"/>
  <c r="J65" i="4" s="1"/>
  <c r="H69" i="4"/>
  <c r="H71" i="4"/>
  <c r="D43" i="4"/>
  <c r="H43" i="4" s="1"/>
  <c r="D44" i="4"/>
  <c r="H44" i="4" s="1"/>
  <c r="D45" i="4"/>
  <c r="D46" i="4"/>
  <c r="H46" i="4" s="1"/>
  <c r="D47" i="4"/>
  <c r="H47" i="4" s="1"/>
  <c r="D48" i="4"/>
  <c r="H48" i="4" s="1"/>
  <c r="D49" i="4"/>
  <c r="D50" i="4"/>
  <c r="H50" i="4" s="1"/>
  <c r="D51" i="4"/>
  <c r="H51" i="4" s="1"/>
  <c r="D52" i="4"/>
  <c r="H52" i="4" s="1"/>
  <c r="D53" i="4"/>
  <c r="D54" i="4"/>
  <c r="H54" i="4" s="1"/>
  <c r="D55" i="4"/>
  <c r="H55" i="4" s="1"/>
  <c r="D56" i="4"/>
  <c r="H56" i="4" s="1"/>
  <c r="D57" i="4"/>
  <c r="D58" i="4"/>
  <c r="H58" i="4" s="1"/>
  <c r="D59" i="4"/>
  <c r="H59" i="4" s="1"/>
  <c r="D60" i="4"/>
  <c r="H60" i="4" s="1"/>
  <c r="D61" i="4"/>
  <c r="D62" i="4"/>
  <c r="H62" i="4" s="1"/>
  <c r="D63" i="4"/>
  <c r="H63" i="4" s="1"/>
  <c r="D64" i="4"/>
  <c r="H64" i="4" s="1"/>
  <c r="D65" i="4"/>
  <c r="D66" i="4"/>
  <c r="H66" i="4" s="1"/>
  <c r="D67" i="4"/>
  <c r="H67" i="4" s="1"/>
  <c r="D68" i="4"/>
  <c r="H68" i="4" s="1"/>
  <c r="D69" i="4"/>
  <c r="D70" i="4"/>
  <c r="H70" i="4" s="1"/>
  <c r="D71" i="4"/>
  <c r="D42" i="4"/>
  <c r="H42" i="4" s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11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" i="5"/>
  <c r="J6" i="6"/>
  <c r="J7" i="6" s="1"/>
  <c r="J8" i="6" s="1"/>
  <c r="I8" i="6"/>
  <c r="D8" i="6"/>
  <c r="B8" i="6" s="1"/>
  <c r="I7" i="6"/>
  <c r="D7" i="6"/>
  <c r="B7" i="6" s="1"/>
  <c r="I6" i="6"/>
  <c r="D6" i="6"/>
  <c r="B6" i="6" s="1"/>
  <c r="G5" i="6"/>
  <c r="B5" i="6"/>
  <c r="J4" i="6"/>
  <c r="J5" i="6" s="1"/>
  <c r="G4" i="6"/>
  <c r="B4" i="6"/>
  <c r="G3" i="6"/>
  <c r="B3" i="6"/>
  <c r="J1" i="4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H4" i="4"/>
  <c r="AC16" i="4" s="1"/>
  <c r="H3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11" i="4"/>
  <c r="Z28" i="4" l="1"/>
  <c r="Z27" i="4"/>
  <c r="Z26" i="4"/>
  <c r="Z25" i="4"/>
  <c r="Z23" i="4"/>
  <c r="W37" i="4"/>
  <c r="W35" i="4"/>
  <c r="W25" i="4"/>
  <c r="W23" i="4"/>
  <c r="W21" i="4"/>
  <c r="W13" i="4"/>
  <c r="W11" i="4"/>
  <c r="Z30" i="4"/>
  <c r="Z15" i="4"/>
  <c r="W32" i="4"/>
  <c r="Z22" i="4"/>
  <c r="Z21" i="4"/>
  <c r="Z20" i="4"/>
  <c r="Z18" i="4"/>
  <c r="Z17" i="4"/>
  <c r="Z13" i="4"/>
  <c r="W38" i="4"/>
  <c r="W30" i="4"/>
  <c r="W34" i="4"/>
  <c r="W26" i="4"/>
  <c r="W18" i="4"/>
  <c r="W22" i="4"/>
  <c r="Z11" i="4"/>
  <c r="Z32" i="4"/>
  <c r="W36" i="4"/>
  <c r="W28" i="4"/>
  <c r="W12" i="4"/>
  <c r="Z39" i="4"/>
  <c r="Z38" i="4"/>
  <c r="Z37" i="4"/>
  <c r="Z36" i="4"/>
  <c r="Z35" i="4"/>
  <c r="Z16" i="4"/>
  <c r="Z12" i="4"/>
  <c r="W39" i="4"/>
  <c r="W31" i="4"/>
  <c r="W29" i="4"/>
  <c r="W27" i="4"/>
  <c r="W17" i="4"/>
  <c r="W15" i="4"/>
  <c r="Z34" i="4"/>
  <c r="Z31" i="4"/>
  <c r="Z29" i="4"/>
  <c r="W20" i="4"/>
  <c r="W16" i="4"/>
  <c r="Q60" i="4"/>
  <c r="Q44" i="4"/>
  <c r="M66" i="4"/>
  <c r="L66" i="4"/>
  <c r="J66" i="4"/>
  <c r="K66" i="4"/>
  <c r="N66" i="4"/>
  <c r="M62" i="4"/>
  <c r="J62" i="4"/>
  <c r="R62" i="4" s="1"/>
  <c r="K62" i="4"/>
  <c r="N62" i="4"/>
  <c r="L62" i="4"/>
  <c r="S62" i="4" s="1"/>
  <c r="M58" i="4"/>
  <c r="L58" i="4"/>
  <c r="K58" i="4"/>
  <c r="N58" i="4"/>
  <c r="J58" i="4"/>
  <c r="R58" i="4" s="1"/>
  <c r="M54" i="4"/>
  <c r="N54" i="4"/>
  <c r="J54" i="4"/>
  <c r="R54" i="4" s="1"/>
  <c r="K54" i="4"/>
  <c r="L54" i="4"/>
  <c r="S54" i="4" s="1"/>
  <c r="M50" i="4"/>
  <c r="N50" i="4"/>
  <c r="K50" i="4"/>
  <c r="L50" i="4"/>
  <c r="J50" i="4"/>
  <c r="R50" i="4" s="1"/>
  <c r="M46" i="4"/>
  <c r="J46" i="4"/>
  <c r="L46" i="4"/>
  <c r="K46" i="4"/>
  <c r="N46" i="4"/>
  <c r="R66" i="4"/>
  <c r="N68" i="4"/>
  <c r="K68" i="4"/>
  <c r="L68" i="4"/>
  <c r="M68" i="4"/>
  <c r="J68" i="4"/>
  <c r="R68" i="4" s="1"/>
  <c r="N64" i="4"/>
  <c r="L64" i="4"/>
  <c r="M64" i="4"/>
  <c r="K64" i="4"/>
  <c r="J64" i="4"/>
  <c r="R64" i="4" s="1"/>
  <c r="N60" i="4"/>
  <c r="K60" i="4"/>
  <c r="M60" i="4"/>
  <c r="L60" i="4"/>
  <c r="J60" i="4"/>
  <c r="R60" i="4" s="1"/>
  <c r="N56" i="4"/>
  <c r="L56" i="4"/>
  <c r="M56" i="4"/>
  <c r="J56" i="4"/>
  <c r="R56" i="4" s="1"/>
  <c r="K56" i="4"/>
  <c r="N52" i="4"/>
  <c r="L52" i="4"/>
  <c r="K52" i="4"/>
  <c r="J52" i="4"/>
  <c r="M52" i="4"/>
  <c r="N48" i="4"/>
  <c r="L48" i="4"/>
  <c r="J48" i="4"/>
  <c r="R48" i="4" s="1"/>
  <c r="M48" i="4"/>
  <c r="K48" i="4"/>
  <c r="N44" i="4"/>
  <c r="L44" i="4"/>
  <c r="K44" i="4"/>
  <c r="M44" i="4"/>
  <c r="J44" i="4"/>
  <c r="R44" i="4" s="1"/>
  <c r="M70" i="4"/>
  <c r="N70" i="4"/>
  <c r="J70" i="4"/>
  <c r="R70" i="4" s="1"/>
  <c r="K70" i="4"/>
  <c r="L70" i="4"/>
  <c r="S70" i="4" s="1"/>
  <c r="N42" i="4"/>
  <c r="M42" i="4"/>
  <c r="K42" i="4"/>
  <c r="J42" i="4"/>
  <c r="R42" i="4" s="1"/>
  <c r="L42" i="4"/>
  <c r="N67" i="4"/>
  <c r="L67" i="4"/>
  <c r="M67" i="4"/>
  <c r="K67" i="4"/>
  <c r="J67" i="4"/>
  <c r="R67" i="4" s="1"/>
  <c r="N63" i="4"/>
  <c r="L63" i="4"/>
  <c r="M63" i="4"/>
  <c r="K63" i="4"/>
  <c r="J63" i="4"/>
  <c r="R63" i="4" s="1"/>
  <c r="N59" i="4"/>
  <c r="L59" i="4"/>
  <c r="J59" i="4"/>
  <c r="M59" i="4"/>
  <c r="K59" i="4"/>
  <c r="N55" i="4"/>
  <c r="L55" i="4"/>
  <c r="J55" i="4"/>
  <c r="R55" i="4" s="1"/>
  <c r="M55" i="4"/>
  <c r="K55" i="4"/>
  <c r="N51" i="4"/>
  <c r="L51" i="4"/>
  <c r="J51" i="4"/>
  <c r="R51" i="4" s="1"/>
  <c r="M51" i="4"/>
  <c r="K51" i="4"/>
  <c r="N47" i="4"/>
  <c r="L47" i="4"/>
  <c r="J47" i="4"/>
  <c r="M47" i="4"/>
  <c r="K47" i="4"/>
  <c r="N43" i="4"/>
  <c r="L43" i="4"/>
  <c r="J43" i="4"/>
  <c r="R43" i="4" s="1"/>
  <c r="M43" i="4"/>
  <c r="K43" i="4"/>
  <c r="M69" i="4"/>
  <c r="K69" i="4"/>
  <c r="N69" i="4"/>
  <c r="L69" i="4"/>
  <c r="M45" i="4"/>
  <c r="K45" i="4"/>
  <c r="N45" i="4"/>
  <c r="L45" i="4"/>
  <c r="J45" i="4"/>
  <c r="R45" i="4" s="1"/>
  <c r="J69" i="4"/>
  <c r="J38" i="4"/>
  <c r="J34" i="4"/>
  <c r="J30" i="4"/>
  <c r="J26" i="4"/>
  <c r="J22" i="4"/>
  <c r="J18" i="4"/>
  <c r="Y14" i="4"/>
  <c r="L9" i="1" s="1"/>
  <c r="AA14" i="4"/>
  <c r="X14" i="4"/>
  <c r="L8" i="1" s="1"/>
  <c r="AF14" i="4"/>
  <c r="AB14" i="4"/>
  <c r="R69" i="4"/>
  <c r="R65" i="4"/>
  <c r="Q42" i="4"/>
  <c r="Q56" i="4"/>
  <c r="AC32" i="4"/>
  <c r="N35" i="4"/>
  <c r="M61" i="4"/>
  <c r="K61" i="4"/>
  <c r="N61" i="4"/>
  <c r="L61" i="4"/>
  <c r="J61" i="4"/>
  <c r="R61" i="4" s="1"/>
  <c r="T53" i="4"/>
  <c r="O53" i="4"/>
  <c r="M53" i="4"/>
  <c r="K53" i="4"/>
  <c r="P53" i="4"/>
  <c r="N53" i="4"/>
  <c r="L53" i="4"/>
  <c r="S53" i="4" s="1"/>
  <c r="J53" i="4"/>
  <c r="R53" i="4" s="1"/>
  <c r="J11" i="4"/>
  <c r="M37" i="4"/>
  <c r="V33" i="4"/>
  <c r="AA33" i="4"/>
  <c r="Y33" i="4"/>
  <c r="X33" i="4"/>
  <c r="AF33" i="4"/>
  <c r="AB33" i="4"/>
  <c r="J29" i="4"/>
  <c r="M25" i="4"/>
  <c r="M21" i="4"/>
  <c r="J17" i="4"/>
  <c r="M13" i="4"/>
  <c r="T71" i="4"/>
  <c r="P71" i="4"/>
  <c r="N71" i="4"/>
  <c r="L71" i="4"/>
  <c r="O71" i="4"/>
  <c r="M71" i="4"/>
  <c r="K71" i="4"/>
  <c r="R52" i="4"/>
  <c r="J71" i="4"/>
  <c r="Q68" i="4"/>
  <c r="Q52" i="4"/>
  <c r="L10" i="1"/>
  <c r="N23" i="4"/>
  <c r="AF19" i="4"/>
  <c r="AB19" i="4"/>
  <c r="Y19" i="4"/>
  <c r="X19" i="4"/>
  <c r="AA19" i="4"/>
  <c r="T65" i="4"/>
  <c r="O65" i="4"/>
  <c r="M65" i="4"/>
  <c r="K65" i="4"/>
  <c r="P65" i="4"/>
  <c r="N65" i="4"/>
  <c r="L65" i="4"/>
  <c r="S65" i="4" s="1"/>
  <c r="T57" i="4"/>
  <c r="O57" i="4"/>
  <c r="M57" i="4"/>
  <c r="K57" i="4"/>
  <c r="P57" i="4"/>
  <c r="N57" i="4"/>
  <c r="L57" i="4"/>
  <c r="S57" i="4" s="1"/>
  <c r="J57" i="4"/>
  <c r="R57" i="4" s="1"/>
  <c r="T49" i="4"/>
  <c r="O49" i="4"/>
  <c r="M49" i="4"/>
  <c r="K49" i="4"/>
  <c r="P49" i="4"/>
  <c r="N49" i="4"/>
  <c r="L49" i="4"/>
  <c r="S49" i="4" s="1"/>
  <c r="J49" i="4"/>
  <c r="R49" i="4" s="1"/>
  <c r="AF40" i="4"/>
  <c r="AB40" i="4"/>
  <c r="Y40" i="4"/>
  <c r="AA40" i="4"/>
  <c r="X40" i="4"/>
  <c r="I36" i="4"/>
  <c r="I32" i="4"/>
  <c r="I28" i="4"/>
  <c r="V24" i="4"/>
  <c r="AF24" i="4"/>
  <c r="AB24" i="4"/>
  <c r="X24" i="4"/>
  <c r="AA24" i="4"/>
  <c r="M20" i="4"/>
  <c r="I16" i="4"/>
  <c r="I12" i="4"/>
  <c r="Q12" i="4"/>
  <c r="AC13" i="4"/>
  <c r="AC17" i="4"/>
  <c r="AC21" i="4"/>
  <c r="AC25" i="4"/>
  <c r="AC29" i="4"/>
  <c r="AC33" i="4"/>
  <c r="AC37" i="4"/>
  <c r="AC11" i="4"/>
  <c r="AC14" i="4"/>
  <c r="AC18" i="4"/>
  <c r="AC22" i="4"/>
  <c r="AC26" i="4"/>
  <c r="AC30" i="4"/>
  <c r="AC34" i="4"/>
  <c r="AC38" i="4"/>
  <c r="AC15" i="4"/>
  <c r="AC19" i="4"/>
  <c r="AC23" i="4"/>
  <c r="AC27" i="4"/>
  <c r="AC31" i="4"/>
  <c r="AC35" i="4"/>
  <c r="AC39" i="4"/>
  <c r="AC20" i="4"/>
  <c r="AC36" i="4"/>
  <c r="Q45" i="4"/>
  <c r="Q49" i="4"/>
  <c r="Q53" i="4"/>
  <c r="Q57" i="4"/>
  <c r="Q61" i="4"/>
  <c r="Q65" i="4"/>
  <c r="Q69" i="4"/>
  <c r="AC24" i="4"/>
  <c r="AC40" i="4"/>
  <c r="Q46" i="4"/>
  <c r="Q50" i="4"/>
  <c r="Q54" i="4"/>
  <c r="Q58" i="4"/>
  <c r="Q62" i="4"/>
  <c r="Q66" i="4"/>
  <c r="Q70" i="4"/>
  <c r="AC12" i="4"/>
  <c r="AC28" i="4"/>
  <c r="Q43" i="4"/>
  <c r="Q47" i="4"/>
  <c r="Q51" i="4"/>
  <c r="Q55" i="4"/>
  <c r="Q59" i="4"/>
  <c r="Q63" i="4"/>
  <c r="Q67" i="4"/>
  <c r="Q71" i="4"/>
  <c r="R71" i="4"/>
  <c r="R59" i="4"/>
  <c r="Q64" i="4"/>
  <c r="Q48" i="4"/>
  <c r="I20" i="4"/>
  <c r="K34" i="4"/>
  <c r="L22" i="4"/>
  <c r="M16" i="4"/>
  <c r="S16" i="4" s="1"/>
  <c r="O14" i="4"/>
  <c r="I40" i="4"/>
  <c r="J33" i="4"/>
  <c r="K18" i="4"/>
  <c r="M36" i="4"/>
  <c r="N34" i="4"/>
  <c r="J21" i="4"/>
  <c r="M32" i="4"/>
  <c r="N18" i="4"/>
  <c r="I24" i="4"/>
  <c r="L38" i="4"/>
  <c r="J37" i="4"/>
  <c r="K30" i="4"/>
  <c r="K14" i="4"/>
  <c r="L34" i="4"/>
  <c r="L18" i="4"/>
  <c r="N30" i="4"/>
  <c r="N14" i="4"/>
  <c r="J13" i="4"/>
  <c r="K26" i="4"/>
  <c r="L30" i="4"/>
  <c r="L14" i="4"/>
  <c r="M28" i="4"/>
  <c r="M12" i="4"/>
  <c r="N26" i="4"/>
  <c r="V14" i="4"/>
  <c r="J25" i="4"/>
  <c r="K38" i="4"/>
  <c r="K22" i="4"/>
  <c r="K11" i="4"/>
  <c r="L26" i="4"/>
  <c r="M40" i="4"/>
  <c r="M24" i="4"/>
  <c r="N38" i="4"/>
  <c r="N22" i="4"/>
  <c r="O40" i="4"/>
  <c r="T24" i="4"/>
  <c r="V40" i="4"/>
  <c r="P19" i="4"/>
  <c r="V19" i="4"/>
  <c r="I39" i="4"/>
  <c r="I35" i="4"/>
  <c r="I31" i="4"/>
  <c r="I27" i="4"/>
  <c r="I23" i="4"/>
  <c r="I19" i="4"/>
  <c r="I15" i="4"/>
  <c r="J40" i="4"/>
  <c r="J36" i="4"/>
  <c r="J32" i="4"/>
  <c r="J28" i="4"/>
  <c r="J24" i="4"/>
  <c r="J20" i="4"/>
  <c r="J16" i="4"/>
  <c r="J12" i="4"/>
  <c r="K37" i="4"/>
  <c r="K33" i="4"/>
  <c r="K29" i="4"/>
  <c r="K25" i="4"/>
  <c r="K21" i="4"/>
  <c r="K17" i="4"/>
  <c r="K13" i="4"/>
  <c r="L11" i="4"/>
  <c r="L37" i="4"/>
  <c r="L33" i="4"/>
  <c r="L29" i="4"/>
  <c r="L25" i="4"/>
  <c r="S25" i="4" s="1"/>
  <c r="L21" i="4"/>
  <c r="L17" i="4"/>
  <c r="L13" i="4"/>
  <c r="M39" i="4"/>
  <c r="M35" i="4"/>
  <c r="M31" i="4"/>
  <c r="M27" i="4"/>
  <c r="M23" i="4"/>
  <c r="M19" i="4"/>
  <c r="M15" i="4"/>
  <c r="N11" i="4"/>
  <c r="N37" i="4"/>
  <c r="N33" i="4"/>
  <c r="N29" i="4"/>
  <c r="N25" i="4"/>
  <c r="N21" i="4"/>
  <c r="N17" i="4"/>
  <c r="N13" i="4"/>
  <c r="O33" i="4"/>
  <c r="P40" i="4"/>
  <c r="P14" i="4"/>
  <c r="T19" i="4"/>
  <c r="U19" i="4"/>
  <c r="U33" i="4"/>
  <c r="I38" i="4"/>
  <c r="I34" i="4"/>
  <c r="I30" i="4"/>
  <c r="R30" i="4" s="1"/>
  <c r="I26" i="4"/>
  <c r="I22" i="4"/>
  <c r="I18" i="4"/>
  <c r="I14" i="4"/>
  <c r="J39" i="4"/>
  <c r="J35" i="4"/>
  <c r="J31" i="4"/>
  <c r="J27" i="4"/>
  <c r="J23" i="4"/>
  <c r="J19" i="4"/>
  <c r="J15" i="4"/>
  <c r="K40" i="4"/>
  <c r="K36" i="4"/>
  <c r="K32" i="4"/>
  <c r="K28" i="4"/>
  <c r="K24" i="4"/>
  <c r="K20" i="4"/>
  <c r="K16" i="4"/>
  <c r="K12" i="4"/>
  <c r="L40" i="4"/>
  <c r="L36" i="4"/>
  <c r="S36" i="4" s="1"/>
  <c r="L32" i="4"/>
  <c r="L28" i="4"/>
  <c r="L24" i="4"/>
  <c r="L20" i="4"/>
  <c r="L16" i="4"/>
  <c r="L12" i="4"/>
  <c r="M38" i="4"/>
  <c r="M34" i="4"/>
  <c r="M30" i="4"/>
  <c r="M26" i="4"/>
  <c r="M22" i="4"/>
  <c r="S22" i="4" s="1"/>
  <c r="M18" i="4"/>
  <c r="M14" i="4"/>
  <c r="N40" i="4"/>
  <c r="N36" i="4"/>
  <c r="N32" i="4"/>
  <c r="N28" i="4"/>
  <c r="N24" i="4"/>
  <c r="N20" i="4"/>
  <c r="N16" i="4"/>
  <c r="N12" i="4"/>
  <c r="O24" i="4"/>
  <c r="P33" i="4"/>
  <c r="T40" i="4"/>
  <c r="T14" i="4"/>
  <c r="U24" i="4"/>
  <c r="U40" i="4"/>
  <c r="I37" i="4"/>
  <c r="I33" i="4"/>
  <c r="I29" i="4"/>
  <c r="R29" i="4" s="1"/>
  <c r="I25" i="4"/>
  <c r="I21" i="4"/>
  <c r="R21" i="4" s="1"/>
  <c r="I17" i="4"/>
  <c r="R17" i="4" s="1"/>
  <c r="I13" i="4"/>
  <c r="J14" i="4"/>
  <c r="K39" i="4"/>
  <c r="K35" i="4"/>
  <c r="K31" i="4"/>
  <c r="K27" i="4"/>
  <c r="K23" i="4"/>
  <c r="K19" i="4"/>
  <c r="K15" i="4"/>
  <c r="L39" i="4"/>
  <c r="L35" i="4"/>
  <c r="L31" i="4"/>
  <c r="L27" i="4"/>
  <c r="L23" i="4"/>
  <c r="L19" i="4"/>
  <c r="L15" i="4"/>
  <c r="M11" i="4"/>
  <c r="M33" i="4"/>
  <c r="M29" i="4"/>
  <c r="M17" i="4"/>
  <c r="N39" i="4"/>
  <c r="N31" i="4"/>
  <c r="N27" i="4"/>
  <c r="N19" i="4"/>
  <c r="N15" i="4"/>
  <c r="O19" i="4"/>
  <c r="P24" i="4"/>
  <c r="T33" i="4"/>
  <c r="U14" i="4"/>
  <c r="Q35" i="4"/>
  <c r="Q19" i="4"/>
  <c r="Q15" i="4"/>
  <c r="Q31" i="4"/>
  <c r="Q27" i="4"/>
  <c r="Q39" i="4"/>
  <c r="Q23" i="4"/>
  <c r="G6" i="6"/>
  <c r="G7" i="6"/>
  <c r="G8" i="6"/>
  <c r="E7" i="6"/>
  <c r="E8" i="6" s="1"/>
  <c r="Q38" i="4"/>
  <c r="Q34" i="4"/>
  <c r="Q30" i="4"/>
  <c r="Q26" i="4"/>
  <c r="Q22" i="4"/>
  <c r="Q18" i="4"/>
  <c r="Q14" i="4"/>
  <c r="Q11" i="4"/>
  <c r="Q37" i="4"/>
  <c r="Q33" i="4"/>
  <c r="Q29" i="4"/>
  <c r="Q25" i="4"/>
  <c r="Q21" i="4"/>
  <c r="Q17" i="4"/>
  <c r="Q13" i="4"/>
  <c r="Q40" i="4"/>
  <c r="Q36" i="4"/>
  <c r="Q32" i="4"/>
  <c r="Q28" i="4"/>
  <c r="Q24" i="4"/>
  <c r="Q20" i="4"/>
  <c r="Q16" i="4"/>
  <c r="I11" i="4"/>
  <c r="AD33" i="4" l="1"/>
  <c r="Y29" i="4"/>
  <c r="Y17" i="4"/>
  <c r="Y23" i="4"/>
  <c r="Y11" i="4"/>
  <c r="Y35" i="4"/>
  <c r="AD24" i="4"/>
  <c r="O52" i="4"/>
  <c r="P52" i="4" s="1"/>
  <c r="S61" i="4"/>
  <c r="S45" i="4"/>
  <c r="S69" i="4"/>
  <c r="O47" i="4"/>
  <c r="P47" i="4" s="1"/>
  <c r="O51" i="4"/>
  <c r="P51" i="4" s="1"/>
  <c r="O63" i="4"/>
  <c r="P63" i="4" s="1"/>
  <c r="S42" i="4"/>
  <c r="R13" i="4"/>
  <c r="S21" i="4"/>
  <c r="R40" i="4"/>
  <c r="S18" i="4"/>
  <c r="AE33" i="4"/>
  <c r="AE14" i="4"/>
  <c r="S44" i="4"/>
  <c r="O46" i="4"/>
  <c r="P46" i="4" s="1"/>
  <c r="S40" i="4"/>
  <c r="R47" i="4"/>
  <c r="O69" i="4"/>
  <c r="P69" i="4" s="1"/>
  <c r="O67" i="4"/>
  <c r="P67" i="4" s="1"/>
  <c r="X28" i="4" s="1"/>
  <c r="O68" i="4"/>
  <c r="P68" i="4" s="1"/>
  <c r="R11" i="4"/>
  <c r="S19" i="4"/>
  <c r="R37" i="4"/>
  <c r="R18" i="4"/>
  <c r="O55" i="4"/>
  <c r="P55" i="4" s="1"/>
  <c r="O66" i="4"/>
  <c r="P66" i="4" s="1"/>
  <c r="R34" i="4"/>
  <c r="AD19" i="4"/>
  <c r="R16" i="4"/>
  <c r="O59" i="4"/>
  <c r="P59" i="4" s="1"/>
  <c r="O44" i="4"/>
  <c r="P44" i="4" s="1"/>
  <c r="T44" i="4" s="1"/>
  <c r="O64" i="4"/>
  <c r="P64" i="4" s="1"/>
  <c r="O17" i="4"/>
  <c r="P17" i="4" s="1"/>
  <c r="S32" i="4"/>
  <c r="R22" i="4"/>
  <c r="R20" i="4"/>
  <c r="R36" i="4"/>
  <c r="O43" i="4"/>
  <c r="P43" i="4" s="1"/>
  <c r="O60" i="4"/>
  <c r="P60" i="4" s="1"/>
  <c r="S50" i="4"/>
  <c r="S58" i="4"/>
  <c r="T52" i="4"/>
  <c r="S35" i="4"/>
  <c r="S12" i="4"/>
  <c r="S20" i="4"/>
  <c r="O20" i="4"/>
  <c r="P20" i="4" s="1"/>
  <c r="S13" i="4"/>
  <c r="O42" i="4"/>
  <c r="P42" i="4" s="1"/>
  <c r="S14" i="4"/>
  <c r="R38" i="4"/>
  <c r="S30" i="4"/>
  <c r="R24" i="4"/>
  <c r="AE19" i="4"/>
  <c r="O45" i="4"/>
  <c r="P45" i="4" s="1"/>
  <c r="T45" i="4" s="1"/>
  <c r="S48" i="4"/>
  <c r="S64" i="4"/>
  <c r="T64" i="4" s="1"/>
  <c r="AD14" i="4"/>
  <c r="R26" i="4"/>
  <c r="S37" i="4"/>
  <c r="AE24" i="4"/>
  <c r="AE40" i="4"/>
  <c r="O61" i="4"/>
  <c r="P61" i="4" s="1"/>
  <c r="T61" i="4" s="1"/>
  <c r="R46" i="4"/>
  <c r="T46" i="4" s="1"/>
  <c r="S52" i="4"/>
  <c r="S56" i="4"/>
  <c r="O50" i="4"/>
  <c r="P50" i="4" s="1"/>
  <c r="T50" i="4" s="1"/>
  <c r="O54" i="4"/>
  <c r="P54" i="4" s="1"/>
  <c r="T54" i="4" s="1"/>
  <c r="O58" i="4"/>
  <c r="P58" i="4" s="1"/>
  <c r="O62" i="4"/>
  <c r="P62" i="4" s="1"/>
  <c r="S27" i="4"/>
  <c r="AD40" i="4"/>
  <c r="O36" i="4"/>
  <c r="P36" i="4" s="1"/>
  <c r="S38" i="4"/>
  <c r="O23" i="4"/>
  <c r="P23" i="4" s="1"/>
  <c r="S39" i="4"/>
  <c r="S71" i="4"/>
  <c r="S43" i="4"/>
  <c r="S47" i="4"/>
  <c r="T47" i="4" s="1"/>
  <c r="S51" i="4"/>
  <c r="T51" i="4" s="1"/>
  <c r="S55" i="4"/>
  <c r="S59" i="4"/>
  <c r="S63" i="4"/>
  <c r="T63" i="4" s="1"/>
  <c r="S67" i="4"/>
  <c r="O70" i="4"/>
  <c r="P70" i="4" s="1"/>
  <c r="T70" i="4" s="1"/>
  <c r="O48" i="4"/>
  <c r="P48" i="4" s="1"/>
  <c r="O56" i="4"/>
  <c r="P56" i="4" s="1"/>
  <c r="T56" i="4" s="1"/>
  <c r="S60" i="4"/>
  <c r="S68" i="4"/>
  <c r="T68" i="4" s="1"/>
  <c r="S46" i="4"/>
  <c r="S66" i="4"/>
  <c r="T66" i="4" s="1"/>
  <c r="S23" i="4"/>
  <c r="S29" i="4"/>
  <c r="O32" i="4"/>
  <c r="S24" i="4"/>
  <c r="S34" i="4"/>
  <c r="O39" i="4"/>
  <c r="P39" i="4" s="1"/>
  <c r="R33" i="4"/>
  <c r="O13" i="4"/>
  <c r="P13" i="4" s="1"/>
  <c r="S26" i="4"/>
  <c r="S28" i="4"/>
  <c r="O16" i="4"/>
  <c r="P16" i="4" s="1"/>
  <c r="T16" i="4" s="1"/>
  <c r="O29" i="4"/>
  <c r="P29" i="4" s="1"/>
  <c r="T29" i="4" s="1"/>
  <c r="O27" i="4"/>
  <c r="P27" i="4" s="1"/>
  <c r="R25" i="4"/>
  <c r="O30" i="4"/>
  <c r="P30" i="4" s="1"/>
  <c r="O21" i="4"/>
  <c r="P21" i="4" s="1"/>
  <c r="T21" i="4" s="1"/>
  <c r="O37" i="4"/>
  <c r="P37" i="4" s="1"/>
  <c r="S11" i="4"/>
  <c r="O12" i="4"/>
  <c r="P12" i="4" s="1"/>
  <c r="O28" i="4"/>
  <c r="P28" i="4" s="1"/>
  <c r="T28" i="4" s="1"/>
  <c r="O31" i="4"/>
  <c r="P31" i="4" s="1"/>
  <c r="R32" i="4"/>
  <c r="R15" i="4"/>
  <c r="O25" i="4"/>
  <c r="P25" i="4" s="1"/>
  <c r="T25" i="4" s="1"/>
  <c r="R35" i="4"/>
  <c r="R28" i="4"/>
  <c r="O11" i="4"/>
  <c r="P11" i="4" s="1"/>
  <c r="O38" i="4"/>
  <c r="P38" i="4" s="1"/>
  <c r="T38" i="4" s="1"/>
  <c r="O18" i="4"/>
  <c r="P18" i="4" s="1"/>
  <c r="S15" i="4"/>
  <c r="S31" i="4"/>
  <c r="S17" i="4"/>
  <c r="T17" i="4" s="1"/>
  <c r="S33" i="4"/>
  <c r="R23" i="4"/>
  <c r="R39" i="4"/>
  <c r="R31" i="4"/>
  <c r="R12" i="4"/>
  <c r="O26" i="4"/>
  <c r="P26" i="4" s="1"/>
  <c r="O34" i="4"/>
  <c r="P34" i="4" s="1"/>
  <c r="R19" i="4"/>
  <c r="O15" i="4"/>
  <c r="P15" i="4" s="1"/>
  <c r="O35" i="4"/>
  <c r="P35" i="4" s="1"/>
  <c r="R14" i="4"/>
  <c r="O22" i="4"/>
  <c r="P22" i="4" s="1"/>
  <c r="R27" i="4"/>
  <c r="P32" i="4"/>
  <c r="T22" i="4" l="1"/>
  <c r="T13" i="4"/>
  <c r="T26" i="4"/>
  <c r="T69" i="4"/>
  <c r="T32" i="4"/>
  <c r="T30" i="4"/>
  <c r="T59" i="4"/>
  <c r="T43" i="4"/>
  <c r="Y39" i="4"/>
  <c r="T35" i="4"/>
  <c r="T55" i="4"/>
  <c r="T36" i="4"/>
  <c r="T34" i="4"/>
  <c r="X32" i="4"/>
  <c r="T60" i="4"/>
  <c r="T67" i="4"/>
  <c r="T37" i="4"/>
  <c r="T20" i="4"/>
  <c r="X31" i="4"/>
  <c r="T42" i="4"/>
  <c r="X11" i="4"/>
  <c r="I8" i="1" s="1"/>
  <c r="X20" i="4"/>
  <c r="T48" i="4"/>
  <c r="T62" i="4"/>
  <c r="X15" i="4"/>
  <c r="M8" i="1" s="1"/>
  <c r="X39" i="4"/>
  <c r="AE39" i="4" s="1"/>
  <c r="X37" i="4"/>
  <c r="X22" i="4"/>
  <c r="X36" i="4"/>
  <c r="Y16" i="4"/>
  <c r="N9" i="1" s="1"/>
  <c r="X23" i="4"/>
  <c r="Y13" i="4"/>
  <c r="K9" i="1" s="1"/>
  <c r="X29" i="4"/>
  <c r="Y34" i="4"/>
  <c r="Y15" i="4"/>
  <c r="M9" i="1" s="1"/>
  <c r="X25" i="4"/>
  <c r="N10" i="1"/>
  <c r="M10" i="1"/>
  <c r="K10" i="1"/>
  <c r="X13" i="4"/>
  <c r="K8" i="1" s="1"/>
  <c r="X18" i="4"/>
  <c r="X30" i="4"/>
  <c r="Y32" i="4"/>
  <c r="AE32" i="4" s="1"/>
  <c r="T58" i="4"/>
  <c r="Y20" i="4"/>
  <c r="Y37" i="4"/>
  <c r="X34" i="4"/>
  <c r="Y18" i="4"/>
  <c r="X16" i="4"/>
  <c r="N8" i="1" s="1"/>
  <c r="X17" i="4"/>
  <c r="X38" i="4"/>
  <c r="I10" i="1"/>
  <c r="X35" i="4"/>
  <c r="X26" i="4"/>
  <c r="Y27" i="4"/>
  <c r="Y26" i="4"/>
  <c r="Y12" i="4"/>
  <c r="J9" i="1" s="1"/>
  <c r="Y31" i="4"/>
  <c r="Y25" i="4"/>
  <c r="Y21" i="4"/>
  <c r="X21" i="4"/>
  <c r="Y30" i="4"/>
  <c r="X27" i="4"/>
  <c r="Y22" i="4"/>
  <c r="J10" i="1"/>
  <c r="Y38" i="4"/>
  <c r="X12" i="4"/>
  <c r="J8" i="1" s="1"/>
  <c r="Y36" i="4"/>
  <c r="I9" i="1"/>
  <c r="Y28" i="4"/>
  <c r="AE28" i="4" s="1"/>
  <c r="P6" i="4"/>
  <c r="P7" i="4" s="1"/>
  <c r="P8" i="4" s="1"/>
  <c r="T31" i="4"/>
  <c r="T12" i="4"/>
  <c r="U16" i="4"/>
  <c r="V11" i="4"/>
  <c r="E15" i="1" s="1"/>
  <c r="V22" i="4"/>
  <c r="U18" i="4"/>
  <c r="T39" i="4"/>
  <c r="V18" i="4"/>
  <c r="T15" i="4"/>
  <c r="V17" i="4"/>
  <c r="E16" i="1" s="1"/>
  <c r="U21" i="4"/>
  <c r="U20" i="4"/>
  <c r="U17" i="4"/>
  <c r="D16" i="1" s="1"/>
  <c r="V37" i="4"/>
  <c r="T11" i="4"/>
  <c r="V20" i="4"/>
  <c r="U11" i="4"/>
  <c r="D15" i="1" s="1"/>
  <c r="V13" i="4"/>
  <c r="V15" i="4"/>
  <c r="U12" i="4"/>
  <c r="U36" i="4"/>
  <c r="U37" i="4"/>
  <c r="U30" i="4"/>
  <c r="U26" i="4"/>
  <c r="V28" i="4"/>
  <c r="U34" i="4"/>
  <c r="T27" i="4"/>
  <c r="U22" i="4"/>
  <c r="U13" i="4"/>
  <c r="U15" i="4"/>
  <c r="U39" i="4"/>
  <c r="V36" i="4"/>
  <c r="V35" i="4"/>
  <c r="E19" i="1" s="1"/>
  <c r="V30" i="4"/>
  <c r="V31" i="4"/>
  <c r="V21" i="4"/>
  <c r="U28" i="4"/>
  <c r="U23" i="4"/>
  <c r="D17" i="1" s="1"/>
  <c r="V34" i="4"/>
  <c r="T18" i="4"/>
  <c r="V16" i="4"/>
  <c r="V12" i="4"/>
  <c r="U38" i="4"/>
  <c r="V39" i="4"/>
  <c r="U29" i="4"/>
  <c r="D18" i="1" s="1"/>
  <c r="U31" i="4"/>
  <c r="U27" i="4"/>
  <c r="V26" i="4"/>
  <c r="U25" i="4"/>
  <c r="U32" i="4"/>
  <c r="T23" i="4"/>
  <c r="V38" i="4"/>
  <c r="U35" i="4"/>
  <c r="D19" i="1" s="1"/>
  <c r="V29" i="4"/>
  <c r="E18" i="1" s="1"/>
  <c r="V25" i="4"/>
  <c r="V23" i="4"/>
  <c r="E17" i="1" s="1"/>
  <c r="V27" i="4"/>
  <c r="V32" i="4"/>
  <c r="F19" i="1" l="1"/>
  <c r="L19" i="1" s="1"/>
  <c r="L36" i="1" s="1"/>
  <c r="F16" i="1"/>
  <c r="I16" i="1" s="1"/>
  <c r="I33" i="1" s="1"/>
  <c r="F15" i="1"/>
  <c r="J15" i="1" s="1"/>
  <c r="J32" i="1" s="1"/>
  <c r="F17" i="1"/>
  <c r="K17" i="1" s="1"/>
  <c r="K34" i="1" s="1"/>
  <c r="F18" i="1"/>
  <c r="L18" i="1" s="1"/>
  <c r="L35" i="1" s="1"/>
  <c r="AE26" i="4"/>
  <c r="AE16" i="4"/>
  <c r="AE30" i="4"/>
  <c r="AE36" i="4"/>
  <c r="AE15" i="4"/>
  <c r="AE20" i="4"/>
  <c r="AE21" i="4"/>
  <c r="AD38" i="4"/>
  <c r="AA38" i="4"/>
  <c r="AB38" i="4" s="1"/>
  <c r="AD17" i="4"/>
  <c r="AA17" i="4"/>
  <c r="AB17" i="4" s="1"/>
  <c r="AD32" i="4"/>
  <c r="AA32" i="4"/>
  <c r="AB32" i="4" s="1"/>
  <c r="AD31" i="4"/>
  <c r="AA31" i="4"/>
  <c r="AB31" i="4" s="1"/>
  <c r="AD28" i="4"/>
  <c r="AA28" i="4"/>
  <c r="AB28" i="4" s="1"/>
  <c r="AD13" i="4"/>
  <c r="AA13" i="4"/>
  <c r="AB13" i="4" s="1"/>
  <c r="AD26" i="4"/>
  <c r="AA26" i="4"/>
  <c r="AB26" i="4" s="1"/>
  <c r="AD12" i="4"/>
  <c r="AA12" i="4"/>
  <c r="AB12" i="4" s="1"/>
  <c r="AD20" i="4"/>
  <c r="AA20" i="4"/>
  <c r="AB20" i="4" s="1"/>
  <c r="AE35" i="4"/>
  <c r="AE18" i="4"/>
  <c r="AE25" i="4"/>
  <c r="AE29" i="4"/>
  <c r="AE23" i="4"/>
  <c r="AE22" i="4"/>
  <c r="AD15" i="4"/>
  <c r="AA15" i="4"/>
  <c r="AB15" i="4" s="1"/>
  <c r="AD11" i="4"/>
  <c r="AA11" i="4"/>
  <c r="AD25" i="4"/>
  <c r="AA25" i="4"/>
  <c r="AB25" i="4" s="1"/>
  <c r="AD22" i="4"/>
  <c r="AA22" i="4"/>
  <c r="AB22" i="4" s="1"/>
  <c r="AD30" i="4"/>
  <c r="AA30" i="4"/>
  <c r="AB30" i="4" s="1"/>
  <c r="AD21" i="4"/>
  <c r="AA21" i="4"/>
  <c r="AB21" i="4" s="1"/>
  <c r="AD16" i="4"/>
  <c r="AA16" i="4"/>
  <c r="AB16" i="4" s="1"/>
  <c r="AE12" i="4"/>
  <c r="AE27" i="4"/>
  <c r="AE34" i="4"/>
  <c r="AE37" i="4"/>
  <c r="AE11" i="4"/>
  <c r="AE31" i="4"/>
  <c r="AD35" i="4"/>
  <c r="AA35" i="4"/>
  <c r="AB35" i="4" s="1"/>
  <c r="AD27" i="4"/>
  <c r="AA27" i="4"/>
  <c r="AB27" i="4" s="1"/>
  <c r="AD23" i="4"/>
  <c r="AA23" i="4"/>
  <c r="AB23" i="4" s="1"/>
  <c r="AD36" i="4"/>
  <c r="AA36" i="4"/>
  <c r="AB36" i="4" s="1"/>
  <c r="AD29" i="4"/>
  <c r="AA29" i="4"/>
  <c r="AB29" i="4" s="1"/>
  <c r="AD39" i="4"/>
  <c r="AA39" i="4"/>
  <c r="AB39" i="4" s="1"/>
  <c r="AD34" i="4"/>
  <c r="AA34" i="4"/>
  <c r="AB34" i="4" s="1"/>
  <c r="AD37" i="4"/>
  <c r="AA37" i="4"/>
  <c r="AB37" i="4" s="1"/>
  <c r="AD18" i="4"/>
  <c r="AA18" i="4"/>
  <c r="AB18" i="4" s="1"/>
  <c r="AE38" i="4"/>
  <c r="AE17" i="4"/>
  <c r="AE13" i="4"/>
  <c r="AF37" i="4" l="1"/>
  <c r="AF39" i="4"/>
  <c r="AF27" i="4"/>
  <c r="AF21" i="4"/>
  <c r="AF22" i="4"/>
  <c r="K19" i="1"/>
  <c r="K36" i="1" s="1"/>
  <c r="K18" i="1"/>
  <c r="K35" i="1" s="1"/>
  <c r="N19" i="1"/>
  <c r="N36" i="1" s="1"/>
  <c r="J19" i="1"/>
  <c r="J36" i="1" s="1"/>
  <c r="M19" i="1"/>
  <c r="M36" i="1" s="1"/>
  <c r="I19" i="1"/>
  <c r="I36" i="1" s="1"/>
  <c r="N18" i="1"/>
  <c r="N35" i="1" s="1"/>
  <c r="M18" i="1"/>
  <c r="M35" i="1" s="1"/>
  <c r="I18" i="1"/>
  <c r="I35" i="1" s="1"/>
  <c r="K16" i="1"/>
  <c r="K33" i="1" s="1"/>
  <c r="I15" i="1"/>
  <c r="I32" i="1" s="1"/>
  <c r="N15" i="1"/>
  <c r="N32" i="1" s="1"/>
  <c r="M15" i="1"/>
  <c r="M32" i="1" s="1"/>
  <c r="L15" i="1"/>
  <c r="L32" i="1" s="1"/>
  <c r="K15" i="1"/>
  <c r="K32" i="1" s="1"/>
  <c r="J18" i="1"/>
  <c r="J35" i="1" s="1"/>
  <c r="M17" i="1"/>
  <c r="M34" i="1" s="1"/>
  <c r="N17" i="1"/>
  <c r="N34" i="1" s="1"/>
  <c r="N16" i="1"/>
  <c r="N33" i="1" s="1"/>
  <c r="M16" i="1"/>
  <c r="M33" i="1" s="1"/>
  <c r="J16" i="1"/>
  <c r="J33" i="1" s="1"/>
  <c r="L16" i="1"/>
  <c r="L33" i="1" s="1"/>
  <c r="J17" i="1"/>
  <c r="J34" i="1" s="1"/>
  <c r="I17" i="1"/>
  <c r="I34" i="1" s="1"/>
  <c r="L17" i="1"/>
  <c r="L34" i="1" s="1"/>
  <c r="AF12" i="4"/>
  <c r="AF36" i="4"/>
  <c r="AF13" i="4"/>
  <c r="AF34" i="4"/>
  <c r="AF29" i="4"/>
  <c r="AF23" i="4"/>
  <c r="AF35" i="4"/>
  <c r="AF16" i="4"/>
  <c r="AF30" i="4"/>
  <c r="AF25" i="4"/>
  <c r="AF15" i="4"/>
  <c r="AF20" i="4"/>
  <c r="AF26" i="4"/>
  <c r="AF28" i="4"/>
  <c r="AF32" i="4"/>
  <c r="AB11" i="4"/>
  <c r="AF31" i="4"/>
  <c r="AF17" i="4"/>
  <c r="AF38" i="4"/>
  <c r="AF18" i="4"/>
  <c r="M4" i="1" l="1"/>
  <c r="M5" i="1" s="1"/>
  <c r="M6" i="1" s="1"/>
  <c r="L4" i="1"/>
  <c r="L5" i="1" s="1"/>
  <c r="L6" i="1" s="1"/>
  <c r="AF11" i="4"/>
  <c r="AB6" i="4"/>
  <c r="AB7" i="4" s="1"/>
  <c r="AB8" i="4" s="1"/>
</calcChain>
</file>

<file path=xl/sharedStrings.xml><?xml version="1.0" encoding="utf-8"?>
<sst xmlns="http://schemas.openxmlformats.org/spreadsheetml/2006/main" count="417" uniqueCount="60">
  <si>
    <t>Actual Rating</t>
  </si>
  <si>
    <t>Food Items</t>
  </si>
  <si>
    <t>User</t>
  </si>
  <si>
    <t>user1</t>
  </si>
  <si>
    <t>user2</t>
  </si>
  <si>
    <t>user3</t>
  </si>
  <si>
    <t>user4</t>
  </si>
  <si>
    <t>user5</t>
  </si>
  <si>
    <t>Aloo Paratha</t>
  </si>
  <si>
    <t>Tandoori Chicken</t>
  </si>
  <si>
    <t>Vegetable Soup</t>
  </si>
  <si>
    <t>Khichdi</t>
  </si>
  <si>
    <t>Biryani</t>
  </si>
  <si>
    <t>Fruit Salad</t>
  </si>
  <si>
    <t>Food Items Ratings ( 1 - 5)</t>
  </si>
  <si>
    <t>Predicted Rating</t>
  </si>
  <si>
    <t>user feature 1</t>
  </si>
  <si>
    <t>user feature 2</t>
  </si>
  <si>
    <t>user bias</t>
  </si>
  <si>
    <t>Input</t>
  </si>
  <si>
    <t>Initial Wt</t>
  </si>
  <si>
    <t>epoch</t>
  </si>
  <si>
    <t>learning rate</t>
  </si>
  <si>
    <t>L2 (lambda) penalty factor</t>
  </si>
  <si>
    <t>user</t>
  </si>
  <si>
    <t>food bias</t>
  </si>
  <si>
    <t>Category</t>
  </si>
  <si>
    <t>actual</t>
  </si>
  <si>
    <t>prediction</t>
  </si>
  <si>
    <t>error
(prediction - actual)</t>
  </si>
  <si>
    <t>L2 penalty factor</t>
  </si>
  <si>
    <t>Sum of all user features squared</t>
  </si>
  <si>
    <t>Sum of all movie features squared</t>
  </si>
  <si>
    <t>squared error + 
L2</t>
  </si>
  <si>
    <t>Test</t>
  </si>
  <si>
    <t>Training</t>
  </si>
  <si>
    <t>food feature 1</t>
  </si>
  <si>
    <t>food feature 2</t>
  </si>
  <si>
    <t>Learning Rate</t>
  </si>
  <si>
    <t>L2 Penalty factor</t>
  </si>
  <si>
    <t>Model Input</t>
  </si>
  <si>
    <t>Select epoch -&gt;</t>
  </si>
  <si>
    <t>Select Learning Rate -&gt;</t>
  </si>
  <si>
    <t>Select L2 Penalty Factor(lambda) -&gt;</t>
  </si>
  <si>
    <t>Total Squared Error</t>
  </si>
  <si>
    <t>Mean Squared Error</t>
  </si>
  <si>
    <t>RMSE = Root Mean Squared Error</t>
  </si>
  <si>
    <t>epoch --&gt;</t>
  </si>
  <si>
    <t>user feature-epoch</t>
  </si>
  <si>
    <t>user feature</t>
  </si>
  <si>
    <t>column # of feature</t>
  </si>
  <si>
    <t>movie feature-epoch</t>
  </si>
  <si>
    <t>movie feature</t>
  </si>
  <si>
    <t>s</t>
  </si>
  <si>
    <t>Error Analysis</t>
  </si>
  <si>
    <r>
      <rPr>
        <b/>
        <u/>
        <sz val="11"/>
        <color theme="1"/>
        <rFont val="Calibri"/>
        <family val="2"/>
        <scheme val="minor"/>
      </rPr>
      <t>Training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(25 ratings)</t>
    </r>
  </si>
  <si>
    <r>
      <rPr>
        <b/>
        <u/>
        <sz val="11"/>
        <color theme="0"/>
        <rFont val="Calibri"/>
        <family val="2"/>
        <scheme val="minor"/>
      </rPr>
      <t>Test</t>
    </r>
    <r>
      <rPr>
        <b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(5 ratings)</t>
    </r>
  </si>
  <si>
    <t>Squared Error</t>
  </si>
  <si>
    <t>Errors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</si>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</sst>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70ED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70E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D6"/>
        <bgColor indexed="64"/>
      </patternFill>
    </fill>
    <fill>
      <patternFill patternType="solid">
        <fgColor rgb="FFF8AA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1"/>
        <bgColor theme="6" tint="0.5999938962981048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70ED"/>
      </left>
      <right/>
      <top style="thick">
        <color rgb="FF0070ED"/>
      </top>
      <bottom style="thin">
        <color indexed="64"/>
      </bottom>
      <diagonal/>
    </border>
    <border>
      <left/>
      <right/>
      <top style="thick">
        <color rgb="FF0070ED"/>
      </top>
      <bottom style="thin">
        <color indexed="64"/>
      </bottom>
      <diagonal/>
    </border>
    <border>
      <left style="thin">
        <color indexed="64"/>
      </left>
      <right style="thick">
        <color rgb="FF0070ED"/>
      </right>
      <top style="thick">
        <color rgb="FF0070ED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00B050"/>
      </top>
      <bottom style="hair">
        <color theme="1"/>
      </bottom>
      <diagonal/>
    </border>
    <border>
      <left/>
      <right style="medium">
        <color rgb="FF00B050"/>
      </right>
      <top style="medium">
        <color rgb="FF00B050"/>
      </top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medium">
        <color rgb="FF00B050"/>
      </right>
      <top style="hair">
        <color theme="1"/>
      </top>
      <bottom/>
      <diagonal/>
    </border>
    <border>
      <left/>
      <right/>
      <top style="thin">
        <color auto="1"/>
      </top>
      <bottom style="medium">
        <color rgb="FF00B050"/>
      </bottom>
      <diagonal/>
    </border>
    <border>
      <left/>
      <right style="medium">
        <color rgb="FF00B050"/>
      </right>
      <top style="thin">
        <color auto="1"/>
      </top>
      <bottom style="medium">
        <color rgb="FF00B050"/>
      </bottom>
      <diagonal/>
    </border>
    <border>
      <left style="thin">
        <color indexed="64"/>
      </left>
      <right/>
      <top style="medium">
        <color rgb="FF00B050"/>
      </top>
      <bottom style="hair">
        <color theme="1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/>
      <top style="thin">
        <color auto="1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hair">
        <color auto="1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00B050"/>
      </left>
      <right/>
      <top style="thick">
        <color rgb="FF00B050"/>
      </top>
      <bottom style="medium">
        <color indexed="64"/>
      </bottom>
      <diagonal/>
    </border>
    <border>
      <left/>
      <right/>
      <top style="thick">
        <color rgb="FF00B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medium">
        <color indexed="64"/>
      </bottom>
      <diagonal/>
    </border>
    <border>
      <left/>
      <right style="thick">
        <color rgb="FF00B050"/>
      </right>
      <top style="thick">
        <color rgb="FF00B050"/>
      </top>
      <bottom style="medium">
        <color indexed="64"/>
      </bottom>
      <diagonal/>
    </border>
    <border>
      <left style="thick">
        <color rgb="FF00B05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 style="thin">
        <color theme="1"/>
      </top>
      <bottom style="thick">
        <color rgb="FF00B050"/>
      </bottom>
      <diagonal/>
    </border>
    <border>
      <left/>
      <right/>
      <top style="thin">
        <color theme="1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ck">
        <color rgb="FF00B050"/>
      </bottom>
      <diagonal/>
    </border>
    <border>
      <left/>
      <right style="thick">
        <color rgb="FF00B050"/>
      </right>
      <top style="thin">
        <color theme="1"/>
      </top>
      <bottom style="thick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15" fillId="6" borderId="10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1" fillId="15" borderId="14" xfId="0" applyNumberFormat="1" applyFont="1" applyFill="1" applyBorder="1" applyAlignment="1">
      <alignment horizontal="center" wrapText="1"/>
    </xf>
    <xf numFmtId="0" fontId="0" fillId="0" borderId="0" xfId="0" applyFont="1"/>
    <xf numFmtId="0" fontId="7" fillId="9" borderId="13" xfId="0" applyNumberFormat="1" applyFont="1" applyFill="1" applyBorder="1" applyAlignment="1">
      <alignment horizontal="center"/>
    </xf>
    <xf numFmtId="165" fontId="7" fillId="9" borderId="13" xfId="0" applyNumberFormat="1" applyFont="1" applyFill="1" applyBorder="1" applyAlignment="1">
      <alignment horizontal="center"/>
    </xf>
    <xf numFmtId="2" fontId="9" fillId="7" borderId="17" xfId="0" applyNumberFormat="1" applyFont="1" applyFill="1" applyBorder="1" applyAlignment="1">
      <alignment horizontal="center"/>
    </xf>
    <xf numFmtId="2" fontId="6" fillId="19" borderId="13" xfId="0" applyNumberFormat="1" applyFont="1" applyFill="1" applyBorder="1" applyAlignment="1">
      <alignment horizontal="center"/>
    </xf>
    <xf numFmtId="0" fontId="7" fillId="20" borderId="13" xfId="0" applyNumberFormat="1" applyFont="1" applyFill="1" applyBorder="1" applyAlignment="1">
      <alignment horizontal="center"/>
    </xf>
    <xf numFmtId="165" fontId="7" fillId="20" borderId="13" xfId="0" applyNumberFormat="1" applyFont="1" applyFill="1" applyBorder="1" applyAlignment="1">
      <alignment horizontal="center"/>
    </xf>
    <xf numFmtId="2" fontId="9" fillId="6" borderId="13" xfId="0" applyNumberFormat="1" applyFont="1" applyFill="1" applyBorder="1" applyAlignment="1">
      <alignment horizontal="center"/>
    </xf>
    <xf numFmtId="2" fontId="6" fillId="18" borderId="13" xfId="0" applyNumberFormat="1" applyFont="1" applyFill="1" applyBorder="1" applyAlignment="1">
      <alignment horizontal="center"/>
    </xf>
    <xf numFmtId="2" fontId="9" fillId="7" borderId="13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2" fontId="6" fillId="18" borderId="18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left"/>
    </xf>
    <xf numFmtId="2" fontId="9" fillId="7" borderId="19" xfId="0" applyNumberFormat="1" applyFont="1" applyFill="1" applyBorder="1" applyAlignment="1">
      <alignment horizontal="center"/>
    </xf>
    <xf numFmtId="2" fontId="9" fillId="6" borderId="20" xfId="0" applyNumberFormat="1" applyFont="1" applyFill="1" applyBorder="1" applyAlignment="1">
      <alignment horizontal="center"/>
    </xf>
    <xf numFmtId="2" fontId="9" fillId="7" borderId="20" xfId="0" applyNumberFormat="1" applyFont="1" applyFill="1" applyBorder="1" applyAlignment="1">
      <alignment horizontal="center"/>
    </xf>
    <xf numFmtId="2" fontId="9" fillId="7" borderId="21" xfId="0" applyNumberFormat="1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" vertical="center"/>
    </xf>
    <xf numFmtId="164" fontId="4" fillId="6" borderId="15" xfId="0" applyNumberFormat="1" applyFont="1" applyFill="1" applyBorder="1" applyAlignment="1">
      <alignment horizontal="center" vertical="center" wrapText="1"/>
    </xf>
    <xf numFmtId="164" fontId="4" fillId="6" borderId="14" xfId="0" applyNumberFormat="1" applyFont="1" applyFill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164" fontId="4" fillId="18" borderId="15" xfId="0" applyNumberFormat="1" applyFont="1" applyFill="1" applyBorder="1" applyAlignment="1">
      <alignment horizontal="center" vertical="center" wrapText="1"/>
    </xf>
    <xf numFmtId="164" fontId="4" fillId="18" borderId="14" xfId="0" applyNumberFormat="1" applyFont="1" applyFill="1" applyBorder="1" applyAlignment="1">
      <alignment horizontal="center" vertical="center" wrapText="1"/>
    </xf>
    <xf numFmtId="164" fontId="4" fillId="18" borderId="16" xfId="0" applyNumberFormat="1" applyFont="1" applyFill="1" applyBorder="1" applyAlignment="1">
      <alignment horizontal="center" vertical="center" wrapText="1"/>
    </xf>
    <xf numFmtId="1" fontId="17" fillId="16" borderId="22" xfId="0" applyNumberFormat="1" applyFont="1" applyFill="1" applyBorder="1" applyAlignment="1">
      <alignment horizontal="center" vertical="center" wrapText="1"/>
    </xf>
    <xf numFmtId="0" fontId="17" fillId="17" borderId="14" xfId="0" applyNumberFormat="1" applyFont="1" applyFill="1" applyBorder="1" applyAlignment="1">
      <alignment horizontal="center" vertical="center" wrapText="1"/>
    </xf>
    <xf numFmtId="164" fontId="7" fillId="4" borderId="13" xfId="0" applyNumberFormat="1" applyFont="1" applyFill="1" applyBorder="1" applyAlignment="1">
      <alignment horizontal="left"/>
    </xf>
    <xf numFmtId="2" fontId="8" fillId="6" borderId="13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2" fontId="3" fillId="18" borderId="13" xfId="0" applyNumberFormat="1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164" fontId="7" fillId="4" borderId="23" xfId="0" applyNumberFormat="1" applyFont="1" applyFill="1" applyBorder="1" applyAlignment="1">
      <alignment horizontal="left"/>
    </xf>
    <xf numFmtId="2" fontId="8" fillId="6" borderId="23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6" borderId="8" xfId="0" applyNumberFormat="1" applyFont="1" applyFill="1" applyBorder="1" applyAlignment="1">
      <alignment horizontal="left"/>
    </xf>
    <xf numFmtId="0" fontId="0" fillId="0" borderId="0" xfId="0" applyBorder="1"/>
    <xf numFmtId="164" fontId="7" fillId="4" borderId="0" xfId="0" applyNumberFormat="1" applyFont="1" applyFill="1" applyBorder="1" applyAlignment="1">
      <alignment horizontal="left"/>
    </xf>
    <xf numFmtId="164" fontId="7" fillId="3" borderId="8" xfId="0" applyNumberFormat="1" applyFont="1" applyFill="1" applyBorder="1" applyAlignment="1">
      <alignment horizontal="left"/>
    </xf>
    <xf numFmtId="164" fontId="7" fillId="3" borderId="8" xfId="0" applyNumberFormat="1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2" fontId="3" fillId="18" borderId="0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7" fillId="11" borderId="0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4" fontId="7" fillId="3" borderId="23" xfId="0" applyNumberFormat="1" applyFont="1" applyFill="1" applyBorder="1" applyAlignment="1">
      <alignment horizontal="center"/>
    </xf>
    <xf numFmtId="2" fontId="3" fillId="18" borderId="23" xfId="0" applyNumberFormat="1" applyFont="1" applyFill="1" applyBorder="1" applyAlignment="1">
      <alignment horizontal="center"/>
    </xf>
    <xf numFmtId="0" fontId="0" fillId="4" borderId="0" xfId="0" applyFill="1"/>
    <xf numFmtId="0" fontId="0" fillId="13" borderId="0" xfId="0" applyFill="1"/>
    <xf numFmtId="0" fontId="0" fillId="21" borderId="0" xfId="0" applyFill="1"/>
    <xf numFmtId="0" fontId="0" fillId="22" borderId="0" xfId="0" applyFill="1"/>
    <xf numFmtId="0" fontId="4" fillId="10" borderId="0" xfId="0" applyFont="1" applyFill="1"/>
    <xf numFmtId="0" fontId="0" fillId="11" borderId="26" xfId="0" applyFill="1" applyBorder="1" applyAlignment="1">
      <alignment horizontal="center"/>
    </xf>
    <xf numFmtId="0" fontId="0" fillId="11" borderId="26" xfId="0" applyFill="1" applyBorder="1" applyAlignment="1">
      <alignment horizontal="left"/>
    </xf>
    <xf numFmtId="2" fontId="0" fillId="11" borderId="27" xfId="0" applyNumberFormat="1" applyFill="1" applyBorder="1" applyAlignment="1">
      <alignment horizontal="right"/>
    </xf>
    <xf numFmtId="0" fontId="0" fillId="11" borderId="28" xfId="0" applyFill="1" applyBorder="1" applyAlignment="1">
      <alignment horizontal="center"/>
    </xf>
    <xf numFmtId="0" fontId="0" fillId="11" borderId="28" xfId="0" applyFill="1" applyBorder="1" applyAlignment="1">
      <alignment horizontal="left"/>
    </xf>
    <xf numFmtId="2" fontId="0" fillId="11" borderId="29" xfId="0" applyNumberFormat="1" applyFill="1" applyBorder="1" applyAlignment="1">
      <alignment horizontal="right"/>
    </xf>
    <xf numFmtId="0" fontId="4" fillId="12" borderId="30" xfId="0" applyFont="1" applyFill="1" applyBorder="1" applyAlignment="1">
      <alignment horizontal="center"/>
    </xf>
    <xf numFmtId="0" fontId="4" fillId="12" borderId="30" xfId="0" applyFont="1" applyFill="1" applyBorder="1" applyAlignment="1">
      <alignment horizontal="left"/>
    </xf>
    <xf numFmtId="2" fontId="4" fillId="12" borderId="31" xfId="0" applyNumberFormat="1" applyFont="1" applyFill="1" applyBorder="1" applyAlignment="1">
      <alignment horizontal="right"/>
    </xf>
    <xf numFmtId="2" fontId="0" fillId="11" borderId="32" xfId="0" applyNumberFormat="1" applyFill="1" applyBorder="1" applyAlignment="1">
      <alignment horizontal="center" wrapText="1"/>
    </xf>
    <xf numFmtId="2" fontId="0" fillId="11" borderId="33" xfId="0" applyNumberFormat="1" applyFill="1" applyBorder="1" applyAlignment="1">
      <alignment horizontal="center" wrapText="1"/>
    </xf>
    <xf numFmtId="2" fontId="4" fillId="12" borderId="34" xfId="0" applyNumberFormat="1" applyFont="1" applyFill="1" applyBorder="1" applyAlignment="1">
      <alignment horizontal="center" wrapText="1"/>
    </xf>
    <xf numFmtId="0" fontId="0" fillId="12" borderId="35" xfId="0" applyFill="1" applyBorder="1"/>
    <xf numFmtId="0" fontId="0" fillId="12" borderId="36" xfId="0" applyFill="1" applyBorder="1"/>
    <xf numFmtId="0" fontId="0" fillId="13" borderId="37" xfId="0" applyFill="1" applyBorder="1"/>
    <xf numFmtId="0" fontId="0" fillId="0" borderId="0" xfId="0" applyFill="1" applyAlignment="1">
      <alignment horizontal="left"/>
    </xf>
    <xf numFmtId="164" fontId="15" fillId="0" borderId="14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center" vertical="center" wrapText="1"/>
    </xf>
    <xf numFmtId="2" fontId="20" fillId="6" borderId="13" xfId="0" applyNumberFormat="1" applyFont="1" applyFill="1" applyBorder="1" applyAlignment="1">
      <alignment horizontal="center" vertical="center"/>
    </xf>
    <xf numFmtId="0" fontId="20" fillId="6" borderId="13" xfId="0" applyNumberFormat="1" applyFont="1" applyFill="1" applyBorder="1" applyAlignment="1">
      <alignment horizontal="center" vertical="center"/>
    </xf>
    <xf numFmtId="2" fontId="20" fillId="7" borderId="13" xfId="0" applyNumberFormat="1" applyFont="1" applyFill="1" applyBorder="1" applyAlignment="1">
      <alignment horizontal="center" vertical="center"/>
    </xf>
    <xf numFmtId="0" fontId="20" fillId="7" borderId="13" xfId="0" applyNumberFormat="1" applyFont="1" applyFill="1" applyBorder="1" applyAlignment="1">
      <alignment horizontal="center" vertical="center"/>
    </xf>
    <xf numFmtId="2" fontId="7" fillId="3" borderId="23" xfId="0" applyNumberFormat="1" applyFont="1" applyFill="1" applyBorder="1" applyAlignment="1">
      <alignment horizontal="center"/>
    </xf>
    <xf numFmtId="2" fontId="7" fillId="11" borderId="23" xfId="0" applyNumberFormat="1" applyFont="1" applyFill="1" applyBorder="1" applyAlignment="1">
      <alignment horizontal="center"/>
    </xf>
    <xf numFmtId="0" fontId="9" fillId="6" borderId="38" xfId="0" applyNumberFormat="1" applyFont="1" applyFill="1" applyBorder="1" applyAlignment="1">
      <alignment horizontal="left"/>
    </xf>
    <xf numFmtId="2" fontId="7" fillId="11" borderId="39" xfId="0" applyNumberFormat="1" applyFont="1" applyFill="1" applyBorder="1" applyAlignment="1">
      <alignment horizontal="center"/>
    </xf>
    <xf numFmtId="0" fontId="9" fillId="6" borderId="40" xfId="0" applyNumberFormat="1" applyFont="1" applyFill="1" applyBorder="1" applyAlignment="1">
      <alignment horizontal="left"/>
    </xf>
    <xf numFmtId="0" fontId="4" fillId="2" borderId="41" xfId="0" applyFont="1" applyFill="1" applyBorder="1" applyAlignment="1">
      <alignment horizontal="center" vertical="center" wrapText="1"/>
    </xf>
    <xf numFmtId="164" fontId="7" fillId="4" borderId="41" xfId="0" applyNumberFormat="1" applyFont="1" applyFill="1" applyBorder="1" applyAlignment="1">
      <alignment horizontal="left"/>
    </xf>
    <xf numFmtId="164" fontId="7" fillId="3" borderId="41" xfId="0" applyNumberFormat="1" applyFont="1" applyFill="1" applyBorder="1" applyAlignment="1">
      <alignment horizontal="center"/>
    </xf>
    <xf numFmtId="2" fontId="8" fillId="6" borderId="41" xfId="0" applyNumberFormat="1" applyFont="1" applyFill="1" applyBorder="1" applyAlignment="1">
      <alignment horizontal="center"/>
    </xf>
    <xf numFmtId="2" fontId="3" fillId="18" borderId="41" xfId="0" applyNumberFormat="1" applyFont="1" applyFill="1" applyBorder="1" applyAlignment="1">
      <alignment horizontal="center"/>
    </xf>
    <xf numFmtId="2" fontId="7" fillId="3" borderId="41" xfId="0" applyNumberFormat="1" applyFont="1" applyFill="1" applyBorder="1" applyAlignment="1">
      <alignment horizontal="center"/>
    </xf>
    <xf numFmtId="2" fontId="7" fillId="11" borderId="41" xfId="0" applyNumberFormat="1" applyFont="1" applyFill="1" applyBorder="1" applyAlignment="1">
      <alignment horizontal="center"/>
    </xf>
    <xf numFmtId="2" fontId="7" fillId="11" borderId="4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8" fillId="6" borderId="0" xfId="0" applyNumberFormat="1" applyFont="1" applyFill="1" applyBorder="1" applyAlignment="1">
      <alignment horizontal="center" vertical="center"/>
    </xf>
    <xf numFmtId="2" fontId="7" fillId="11" borderId="2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9" fillId="6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2" fontId="3" fillId="18" borderId="2" xfId="0" applyNumberFormat="1" applyFont="1" applyFill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7" fillId="11" borderId="2" xfId="0" applyNumberFormat="1" applyFont="1" applyFill="1" applyBorder="1" applyAlignment="1">
      <alignment horizontal="center"/>
    </xf>
    <xf numFmtId="2" fontId="7" fillId="11" borderId="3" xfId="0" applyNumberFormat="1" applyFont="1" applyFill="1" applyBorder="1" applyAlignment="1">
      <alignment horizontal="center"/>
    </xf>
    <xf numFmtId="0" fontId="9" fillId="6" borderId="4" xfId="0" applyNumberFormat="1" applyFont="1" applyFill="1" applyBorder="1" applyAlignment="1">
      <alignment horizontal="left"/>
    </xf>
    <xf numFmtId="2" fontId="7" fillId="11" borderId="5" xfId="0" applyNumberFormat="1" applyFont="1" applyFill="1" applyBorder="1" applyAlignment="1">
      <alignment horizontal="center"/>
    </xf>
    <xf numFmtId="0" fontId="0" fillId="4" borderId="0" xfId="0" applyFill="1" applyBorder="1"/>
    <xf numFmtId="0" fontId="9" fillId="6" borderId="6" xfId="0" applyNumberFormat="1" applyFont="1" applyFill="1" applyBorder="1" applyAlignment="1">
      <alignment horizontal="left"/>
    </xf>
    <xf numFmtId="0" fontId="0" fillId="4" borderId="7" xfId="0" applyFill="1" applyBorder="1"/>
    <xf numFmtId="2" fontId="0" fillId="0" borderId="7" xfId="0" applyNumberFormat="1" applyBorder="1" applyAlignment="1">
      <alignment horizontal="center" vertical="center"/>
    </xf>
    <xf numFmtId="2" fontId="8" fillId="6" borderId="7" xfId="0" applyNumberFormat="1" applyFont="1" applyFill="1" applyBorder="1" applyAlignment="1">
      <alignment horizontal="center" vertical="center"/>
    </xf>
    <xf numFmtId="2" fontId="3" fillId="18" borderId="7" xfId="0" applyNumberFormat="1" applyFont="1" applyFill="1" applyBorder="1" applyAlignment="1">
      <alignment horizontal="center"/>
    </xf>
    <xf numFmtId="0" fontId="9" fillId="6" borderId="43" xfId="0" applyNumberFormat="1" applyFont="1" applyFill="1" applyBorder="1" applyAlignment="1">
      <alignment horizontal="left"/>
    </xf>
    <xf numFmtId="2" fontId="7" fillId="11" borderId="44" xfId="0" applyNumberFormat="1" applyFont="1" applyFill="1" applyBorder="1" applyAlignment="1">
      <alignment horizontal="center"/>
    </xf>
    <xf numFmtId="0" fontId="2" fillId="16" borderId="45" xfId="0" applyNumberFormat="1" applyFont="1" applyFill="1" applyBorder="1" applyAlignment="1">
      <alignment horizontal="center" vertical="center" wrapText="1"/>
    </xf>
    <xf numFmtId="0" fontId="2" fillId="17" borderId="25" xfId="0" applyNumberFormat="1" applyFont="1" applyFill="1" applyBorder="1" applyAlignment="1">
      <alignment horizontal="center" vertical="center" wrapText="1"/>
    </xf>
    <xf numFmtId="0" fontId="18" fillId="14" borderId="25" xfId="0" applyFont="1" applyFill="1" applyBorder="1" applyAlignment="1">
      <alignment horizontal="center" vertical="center" wrapText="1"/>
    </xf>
    <xf numFmtId="164" fontId="15" fillId="6" borderId="25" xfId="0" applyNumberFormat="1" applyFont="1" applyFill="1" applyBorder="1" applyAlignment="1">
      <alignment horizontal="center" vertical="center" wrapText="1"/>
    </xf>
    <xf numFmtId="164" fontId="11" fillId="6" borderId="25" xfId="0" applyNumberFormat="1" applyFont="1" applyFill="1" applyBorder="1" applyAlignment="1">
      <alignment horizontal="center" vertical="center" wrapText="1"/>
    </xf>
    <xf numFmtId="164" fontId="6" fillId="18" borderId="25" xfId="0" applyNumberFormat="1" applyFont="1" applyFill="1" applyBorder="1" applyAlignment="1">
      <alignment horizontal="center" vertical="center" wrapText="1"/>
    </xf>
    <xf numFmtId="164" fontId="11" fillId="18" borderId="25" xfId="0" applyNumberFormat="1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46" xfId="0" applyFont="1" applyFill="1" applyBorder="1" applyAlignment="1">
      <alignment horizontal="center" vertical="center" wrapText="1"/>
    </xf>
    <xf numFmtId="2" fontId="10" fillId="18" borderId="48" xfId="0" applyNumberFormat="1" applyFont="1" applyFill="1" applyBorder="1" applyAlignment="1">
      <alignment horizontal="center" vertical="center"/>
    </xf>
    <xf numFmtId="164" fontId="6" fillId="18" borderId="47" xfId="0" applyNumberFormat="1" applyFont="1" applyFill="1" applyBorder="1" applyAlignment="1">
      <alignment horizontal="center" vertical="center"/>
    </xf>
    <xf numFmtId="164" fontId="6" fillId="18" borderId="49" xfId="0" applyNumberFormat="1" applyFont="1" applyFill="1" applyBorder="1" applyAlignment="1">
      <alignment horizontal="center" vertical="center"/>
    </xf>
    <xf numFmtId="164" fontId="11" fillId="18" borderId="50" xfId="0" applyNumberFormat="1" applyFont="1" applyFill="1" applyBorder="1" applyAlignment="1">
      <alignment horizontal="center" vertical="center"/>
    </xf>
    <xf numFmtId="164" fontId="11" fillId="6" borderId="12" xfId="0" applyNumberFormat="1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3" fillId="18" borderId="13" xfId="0" applyNumberFormat="1" applyFont="1" applyFill="1" applyBorder="1" applyAlignment="1">
      <alignment horizontal="center" vertical="center"/>
    </xf>
    <xf numFmtId="0" fontId="3" fillId="18" borderId="1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19" borderId="13" xfId="0" applyNumberFormat="1" applyFont="1" applyFill="1" applyBorder="1" applyAlignment="1">
      <alignment horizontal="center" vertical="center"/>
    </xf>
    <xf numFmtId="2" fontId="0" fillId="3" borderId="8" xfId="0" applyNumberFormat="1" applyFont="1" applyFill="1" applyBorder="1" applyAlignment="1">
      <alignment horizontal="center" vertical="center"/>
    </xf>
    <xf numFmtId="2" fontId="5" fillId="14" borderId="8" xfId="0" applyNumberFormat="1" applyFont="1" applyFill="1" applyBorder="1" applyAlignment="1">
      <alignment horizontal="center" vertical="center"/>
    </xf>
    <xf numFmtId="164" fontId="0" fillId="12" borderId="51" xfId="0" applyNumberFormat="1" applyFill="1" applyBorder="1" applyAlignment="1">
      <alignment horizontal="center"/>
    </xf>
    <xf numFmtId="164" fontId="12" fillId="12" borderId="52" xfId="0" applyNumberFormat="1" applyFont="1" applyFill="1" applyBorder="1" applyAlignment="1">
      <alignment horizontal="right"/>
    </xf>
    <xf numFmtId="164" fontId="21" fillId="12" borderId="52" xfId="0" applyNumberFormat="1" applyFont="1" applyFill="1" applyBorder="1" applyAlignment="1">
      <alignment horizontal="right"/>
    </xf>
    <xf numFmtId="164" fontId="4" fillId="8" borderId="53" xfId="0" applyNumberFormat="1" applyFont="1" applyFill="1" applyBorder="1" applyAlignment="1">
      <alignment horizontal="center" wrapText="1"/>
    </xf>
    <xf numFmtId="164" fontId="2" fillId="14" borderId="54" xfId="0" applyNumberFormat="1" applyFont="1" applyFill="1" applyBorder="1" applyAlignment="1">
      <alignment horizontal="center" wrapText="1"/>
    </xf>
    <xf numFmtId="164" fontId="0" fillId="11" borderId="55" xfId="0" applyNumberFormat="1" applyFill="1" applyBorder="1" applyAlignment="1">
      <alignment horizontal="left"/>
    </xf>
    <xf numFmtId="164" fontId="0" fillId="11" borderId="0" xfId="0" applyNumberFormat="1" applyFill="1" applyBorder="1" applyAlignment="1">
      <alignment horizontal="right"/>
    </xf>
    <xf numFmtId="2" fontId="0" fillId="11" borderId="56" xfId="1" applyNumberFormat="1" applyFont="1" applyFill="1" applyBorder="1" applyAlignment="1">
      <alignment horizontal="center"/>
    </xf>
    <xf numFmtId="2" fontId="0" fillId="11" borderId="57" xfId="1" applyNumberFormat="1" applyFont="1" applyFill="1" applyBorder="1" applyAlignment="1">
      <alignment horizontal="center"/>
    </xf>
    <xf numFmtId="2" fontId="0" fillId="11" borderId="56" xfId="1" applyNumberFormat="1" applyFont="1" applyFill="1" applyBorder="1" applyAlignment="1">
      <alignment horizontal="center" wrapText="1"/>
    </xf>
    <xf numFmtId="2" fontId="0" fillId="11" borderId="57" xfId="1" applyNumberFormat="1" applyFont="1" applyFill="1" applyBorder="1" applyAlignment="1">
      <alignment horizontal="center" wrapText="1"/>
    </xf>
    <xf numFmtId="164" fontId="21" fillId="12" borderId="58" xfId="0" applyNumberFormat="1" applyFont="1" applyFill="1" applyBorder="1" applyAlignment="1">
      <alignment horizontal="left"/>
    </xf>
    <xf numFmtId="164" fontId="21" fillId="12" borderId="59" xfId="0" applyNumberFormat="1" applyFont="1" applyFill="1" applyBorder="1" applyAlignment="1">
      <alignment horizontal="right"/>
    </xf>
    <xf numFmtId="2" fontId="13" fillId="12" borderId="60" xfId="1" applyNumberFormat="1" applyFont="1" applyFill="1" applyBorder="1" applyAlignment="1">
      <alignment horizontal="center" wrapText="1"/>
    </xf>
    <xf numFmtId="2" fontId="13" fillId="12" borderId="61" xfId="1" applyNumberFormat="1" applyFont="1" applyFill="1" applyBorder="1" applyAlignment="1">
      <alignment horizontal="center" wrapText="1"/>
    </xf>
    <xf numFmtId="2" fontId="5" fillId="25" borderId="8" xfId="0" applyNumberFormat="1" applyFont="1" applyFill="1" applyBorder="1" applyAlignment="1">
      <alignment horizontal="center" wrapText="1"/>
    </xf>
    <xf numFmtId="0" fontId="2" fillId="23" borderId="8" xfId="0" applyFont="1" applyFill="1" applyBorder="1"/>
    <xf numFmtId="0" fontId="2" fillId="17" borderId="8" xfId="0" applyFont="1" applyFill="1" applyBorder="1" applyAlignment="1">
      <alignment horizontal="center" wrapText="1"/>
    </xf>
    <xf numFmtId="0" fontId="5" fillId="17" borderId="8" xfId="0" applyFont="1" applyFill="1" applyBorder="1" applyAlignment="1">
      <alignment horizontal="center" wrapText="1"/>
    </xf>
    <xf numFmtId="2" fontId="0" fillId="24" borderId="8" xfId="0" applyNumberFormat="1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 applyProtection="1">
      <alignment horizontal="center" vertical="center"/>
      <protection locked="0"/>
    </xf>
    <xf numFmtId="0" fontId="14" fillId="0" borderId="9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D5D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1.7109375" customWidth="1"/>
    <col min="4" max="4" width="9.85546875" customWidth="1"/>
    <col min="5" max="5" width="9.7109375" customWidth="1"/>
    <col min="6" max="6" width="11" customWidth="1"/>
    <col min="7" max="7" width="8.28515625" customWidth="1"/>
    <col min="8" max="8" width="15.42578125" customWidth="1"/>
    <col min="9" max="9" width="10.42578125" customWidth="1"/>
    <col min="11" max="11" width="10" customWidth="1"/>
    <col min="12" max="12" width="8.5703125" bestFit="1" customWidth="1"/>
  </cols>
  <sheetData>
    <row r="2" spans="2:17" ht="15.75" thickBot="1" x14ac:dyDescent="0.3"/>
    <row r="3" spans="2:17" ht="47.25" thickTop="1" thickBot="1" x14ac:dyDescent="0.35">
      <c r="H3" s="154"/>
      <c r="I3" s="155"/>
      <c r="J3" s="155"/>
      <c r="K3" s="156" t="s">
        <v>54</v>
      </c>
      <c r="L3" s="157" t="s">
        <v>55</v>
      </c>
      <c r="M3" s="158" t="s">
        <v>56</v>
      </c>
    </row>
    <row r="4" spans="2:17" x14ac:dyDescent="0.25">
      <c r="H4" s="159"/>
      <c r="I4" s="160"/>
      <c r="J4" s="160"/>
      <c r="K4" s="160" t="s">
        <v>57</v>
      </c>
      <c r="L4" s="161">
        <f>SUM(I32:I36,J32:J33,J35:J36,K32,K34:K36,L33:L36,M32:M34,M36,N32:N35)</f>
        <v>243.26764091082376</v>
      </c>
      <c r="M4" s="162">
        <f>SUM(J34,K33,L32,M35,N36)</f>
        <v>20.133325716447004</v>
      </c>
    </row>
    <row r="5" spans="2:17" x14ac:dyDescent="0.25">
      <c r="H5" s="159"/>
      <c r="I5" s="160"/>
      <c r="J5" s="160"/>
      <c r="K5" s="160" t="s">
        <v>45</v>
      </c>
      <c r="L5" s="163">
        <f>L4/25</f>
        <v>9.7307056364329512</v>
      </c>
      <c r="M5" s="164">
        <f>M4/5</f>
        <v>4.0266651432894012</v>
      </c>
    </row>
    <row r="6" spans="2:17" ht="27" thickBot="1" x14ac:dyDescent="0.45">
      <c r="H6" s="165"/>
      <c r="I6" s="166"/>
      <c r="J6" s="166"/>
      <c r="K6" s="166" t="s">
        <v>46</v>
      </c>
      <c r="L6" s="167">
        <f>SQRT(L5)</f>
        <v>3.1194078983731752</v>
      </c>
      <c r="M6" s="168">
        <f>SQRT(M5)</f>
        <v>2.0066552128578046</v>
      </c>
    </row>
    <row r="7" spans="2:17" ht="16.5" thickTop="1" thickBot="1" x14ac:dyDescent="0.3"/>
    <row r="8" spans="2:17" ht="16.5" thickTop="1" thickBot="1" x14ac:dyDescent="0.3">
      <c r="B8" s="67" t="s">
        <v>40</v>
      </c>
      <c r="C8" s="67"/>
      <c r="D8" s="67"/>
      <c r="E8" s="67"/>
      <c r="F8" s="67"/>
      <c r="H8" s="142" t="s">
        <v>36</v>
      </c>
      <c r="I8" s="141">
        <f>VLOOKUP(I$14&amp;"-Training",training!$F:$AZ,VLOOKUP($H8&amp;"-"&amp;$F$9,clookup!$G:$J,4,0),0)</f>
        <v>0.5179108468478516</v>
      </c>
      <c r="J8" s="141">
        <f>VLOOKUP(J$14&amp;"-Training",training!$F:$AZ,VLOOKUP($H8&amp;"-"&amp;$F$9,clookup!$G:$J,4,0),0)</f>
        <v>-6.9037757170058639E-2</v>
      </c>
      <c r="K8" s="141">
        <f>VLOOKUP(K$14&amp;"-Training",training!$F:$AZ,VLOOKUP($H8&amp;"-"&amp;$F$9,clookup!$G:$J,4,0),0)</f>
        <v>0.47570840811058945</v>
      </c>
      <c r="L8" s="141">
        <f>VLOOKUP(L$14&amp;"-Training",training!$F:$AZ,VLOOKUP($H8&amp;"-"&amp;$F$9,clookup!$G:$J,4,0),0)</f>
        <v>0</v>
      </c>
      <c r="M8" s="141">
        <f>VLOOKUP(M$14&amp;"-Training",training!$F:$AZ,VLOOKUP($H8&amp;"-"&amp;$F$9,clookup!$G:$J,4,0),0)</f>
        <v>0.692555421427832</v>
      </c>
      <c r="N8" s="141">
        <f>VLOOKUP(N$14&amp;"-Training",training!$F:$AZ,VLOOKUP($H8&amp;"-"&amp;$F$9,clookup!$G:$J,4,0),0)</f>
        <v>0.92487251678154836</v>
      </c>
    </row>
    <row r="9" spans="2:17" ht="16.5" thickTop="1" thickBot="1" x14ac:dyDescent="0.3">
      <c r="B9" s="66" t="s">
        <v>41</v>
      </c>
      <c r="C9" s="66"/>
      <c r="D9" s="66"/>
      <c r="E9" s="66"/>
      <c r="F9" s="70">
        <v>1</v>
      </c>
      <c r="H9" s="143" t="s">
        <v>37</v>
      </c>
      <c r="I9" s="141">
        <f>VLOOKUP(I$14&amp;"-Training",training!$F:$AZ,VLOOKUP($H9&amp;"-"&amp;$F$9,clookup!$G:$J,4,0),0)</f>
        <v>0.66548807659841303</v>
      </c>
      <c r="J9" s="141">
        <f>VLOOKUP(J$14&amp;"-Training",training!$F:$AZ,VLOOKUP($H9&amp;"-"&amp;$F$9,clookup!$G:$J,4,0),0)</f>
        <v>-6.5134530548967784E-2</v>
      </c>
      <c r="K9" s="141">
        <f>VLOOKUP(K$14&amp;"-Training",training!$F:$AZ,VLOOKUP($H9&amp;"-"&amp;$F$9,clookup!$G:$J,4,0),0)</f>
        <v>0.61561139831918166</v>
      </c>
      <c r="L9" s="141">
        <f>VLOOKUP(L$14&amp;"-Training",training!$F:$AZ,VLOOKUP($H9&amp;"-"&amp;$F$9,clookup!$G:$J,4,0),0)</f>
        <v>0</v>
      </c>
      <c r="M9" s="141">
        <f>VLOOKUP(M$14&amp;"-Training",training!$F:$AZ,VLOOKUP($H9&amp;"-"&amp;$F$9,clookup!$G:$J,4,0),0)</f>
        <v>0.91807206643385819</v>
      </c>
      <c r="N9" s="141">
        <f>VLOOKUP(N$14&amp;"-Training",training!$F:$AZ,VLOOKUP($H9&amp;"-"&amp;$F$9,clookup!$G:$J,4,0),0)</f>
        <v>1.1010518580241582</v>
      </c>
    </row>
    <row r="10" spans="2:17" ht="16.5" thickTop="1" thickBot="1" x14ac:dyDescent="0.3">
      <c r="B10" s="66" t="s">
        <v>42</v>
      </c>
      <c r="C10" s="66"/>
      <c r="D10" s="66"/>
      <c r="E10" s="66"/>
      <c r="F10" s="70">
        <v>0.1</v>
      </c>
      <c r="H10" s="144" t="s">
        <v>25</v>
      </c>
      <c r="I10" s="141">
        <f>VLOOKUP(I$14&amp;"-Training",training!$F:$AZ,VLOOKUP($H10&amp;"-"&amp;$F$9,clookup!$G:$J,4,0),0)</f>
        <v>0.41110574287906165</v>
      </c>
      <c r="J10" s="141">
        <f>VLOOKUP(J$14&amp;"-Training",training!$F:$AZ,VLOOKUP($H10&amp;"-"&amp;$F$9,clookup!$G:$J,4,0),0)</f>
        <v>0.38167583004248373</v>
      </c>
      <c r="K10" s="141">
        <f>VLOOKUP(K$14&amp;"-Training",training!$F:$AZ,VLOOKUP($H10&amp;"-"&amp;$F$9,clookup!$G:$J,4,0),0)</f>
        <v>0.39679384093813452</v>
      </c>
      <c r="L10" s="141">
        <f>VLOOKUP(L$14&amp;"-Training",training!$F:$AZ,VLOOKUP($H10&amp;"-"&amp;$F$9,clookup!$G:$J,4,0),0)</f>
        <v>0</v>
      </c>
      <c r="M10" s="141">
        <f>VLOOKUP(M$14&amp;"-Training",training!$F:$AZ,VLOOKUP($H10&amp;"-"&amp;$F$9,clookup!$G:$J,4,0),0)</f>
        <v>0.42073468683411752</v>
      </c>
      <c r="N10" s="141">
        <f>VLOOKUP(N$14&amp;"-Training",training!$F:$AZ,VLOOKUP($H10&amp;"-"&amp;$F$9,clookup!$G:$J,4,0),0)</f>
        <v>0.39031069877657565</v>
      </c>
    </row>
    <row r="11" spans="2:17" ht="15.75" thickTop="1" x14ac:dyDescent="0.25">
      <c r="B11" s="66" t="s">
        <v>43</v>
      </c>
      <c r="C11" s="66"/>
      <c r="D11" s="66"/>
      <c r="E11" s="66"/>
      <c r="F11" s="70">
        <v>0.3</v>
      </c>
    </row>
    <row r="12" spans="2:17" ht="21.75" customHeight="1" x14ac:dyDescent="0.25">
      <c r="P12" s="1" t="s">
        <v>34</v>
      </c>
      <c r="Q12" s="1" t="s">
        <v>35</v>
      </c>
    </row>
    <row r="13" spans="2:17" ht="15" customHeight="1" thickBot="1" x14ac:dyDescent="0.3">
      <c r="H13" s="7" t="s">
        <v>15</v>
      </c>
      <c r="I13" s="175" t="s">
        <v>1</v>
      </c>
      <c r="J13" s="175"/>
      <c r="K13" s="175"/>
      <c r="L13" s="175"/>
      <c r="M13" s="175"/>
      <c r="N13" s="175"/>
      <c r="P13" s="146"/>
      <c r="Q13" s="2"/>
    </row>
    <row r="14" spans="2:17" s="8" customFormat="1" ht="31.5" thickTop="1" thickBot="1" x14ac:dyDescent="0.3">
      <c r="D14" s="9" t="s">
        <v>16</v>
      </c>
      <c r="E14" s="10" t="s">
        <v>17</v>
      </c>
      <c r="F14" s="145" t="s">
        <v>18</v>
      </c>
      <c r="G14"/>
      <c r="H14" s="3" t="s">
        <v>2</v>
      </c>
      <c r="I14" s="5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</row>
    <row r="15" spans="2:17" ht="16.5" thickTop="1" thickBot="1" x14ac:dyDescent="0.3">
      <c r="D15" s="141">
        <f>VLOOKUP($H15&amp;"-Training",training!$E:$AZ,VLOOKUP(D$14&amp;"-"&amp;$F$9,clookup!$B:$E,4,0),0)</f>
        <v>-0.44027669024076999</v>
      </c>
      <c r="E15" s="141">
        <f>VLOOKUP(H$15&amp;"-Training",training!$E:$AZ,VLOOKUP($E$14&amp;"-"&amp;$F$9,clookup!$B:$E,4,0),0)</f>
        <v>-0.45250485641485816</v>
      </c>
      <c r="F15" s="141">
        <f>VLOOKUP(H$15&amp;"-Training",training!$E:$AZ,VLOOKUP($F$14&amp;"-"&amp;$F$9,clookup!$B:$E,4,0),0)</f>
        <v>0.46500397527449044</v>
      </c>
      <c r="G15" s="8"/>
      <c r="H15" s="4" t="s">
        <v>3</v>
      </c>
      <c r="I15" s="152">
        <f>(MMULT($D15:$E15,I$8:I$9) + $F15 + I$10)</f>
        <v>0.34694905811662069</v>
      </c>
      <c r="J15" s="152">
        <f t="shared" ref="J15:N19" si="0">(MMULT($D15:$E15,J$8:J$9) + $F15 + J$10)</f>
        <v>0.90654921193916349</v>
      </c>
      <c r="K15" s="152">
        <f t="shared" si="0"/>
        <v>0.37378734536621783</v>
      </c>
      <c r="L15" s="153">
        <f t="shared" si="0"/>
        <v>0.46500397527449044</v>
      </c>
      <c r="M15" s="152">
        <f t="shared" si="0"/>
        <v>0.16539058475391533</v>
      </c>
      <c r="N15" s="152">
        <f t="shared" si="0"/>
        <v>-5.0116449452699441E-2</v>
      </c>
    </row>
    <row r="16" spans="2:17" ht="16.5" thickTop="1" thickBot="1" x14ac:dyDescent="0.3">
      <c r="D16" s="141">
        <f>VLOOKUP($H16&amp;"-Training",training!$E:$AZ,VLOOKUP(D$14&amp;"-"&amp;$F$9,clookup!$B:$E,4,0),0)</f>
        <v>1.1708869077388366</v>
      </c>
      <c r="E16" s="141">
        <f>VLOOKUP(H16&amp;"-Training",training!$E:$AZ,VLOOKUP($E$14&amp;"-"&amp;$F$9,clookup!$B:$E,4,0),0)</f>
        <v>1.1283531745750053</v>
      </c>
      <c r="F16" s="141">
        <f>VLOOKUP(H$15&amp;"-Training",training!$E:$AZ,VLOOKUP($F$14&amp;"-"&amp;$F$9,clookup!$B:$E,4,0),0)</f>
        <v>0.46500397527449044</v>
      </c>
      <c r="H16" s="4" t="s">
        <v>4</v>
      </c>
      <c r="I16" s="152">
        <f>(MMULT($D16:$E16,I$8:I$9) + $F16 + I$10)</f>
        <v>2.2334303319752689</v>
      </c>
      <c r="J16" s="152">
        <f t="shared" si="0"/>
        <v>0.69234964498751905</v>
      </c>
      <c r="K16" s="153">
        <f t="shared" si="0"/>
        <v>2.1134256387686041</v>
      </c>
      <c r="L16" s="152">
        <f t="shared" si="0"/>
        <v>0.46500397527449044</v>
      </c>
      <c r="M16" s="152">
        <f t="shared" si="0"/>
        <v>2.732552268591288</v>
      </c>
      <c r="N16" s="152">
        <f t="shared" si="0"/>
        <v>3.1806111546513152</v>
      </c>
    </row>
    <row r="17" spans="4:16" ht="16.5" thickTop="1" thickBot="1" x14ac:dyDescent="0.3">
      <c r="D17" s="141">
        <f>VLOOKUP($H17&amp;"-Training",training!$E:$AZ,VLOOKUP(D$14&amp;"-"&amp;$F$9,clookup!$B:$E,4,0),0)</f>
        <v>-1.3550558268509122E-2</v>
      </c>
      <c r="E17" s="141">
        <f>VLOOKUP(H17&amp;"-Training",training!$E:$AZ,VLOOKUP($E$14&amp;"-"&amp;$F$9,clookup!$B:$E,4,0),0)</f>
        <v>-0.23174549065552191</v>
      </c>
      <c r="F17" s="141">
        <f>VLOOKUP(H$15&amp;"-Training",training!$E:$AZ,VLOOKUP($F$14&amp;"-"&amp;$F$9,clookup!$B:$E,4,0),0)</f>
        <v>0.46500397527449044</v>
      </c>
      <c r="H17" s="4" t="s">
        <v>5</v>
      </c>
      <c r="I17" s="152">
        <f t="shared" ref="I17:I19" si="1">(MMULT($D17:$E17,I$8:I$9) + $F17 + I$10)</f>
        <v>0.71486787620874859</v>
      </c>
      <c r="J17" s="153">
        <f t="shared" si="0"/>
        <v>0.86270993920892192</v>
      </c>
      <c r="K17" s="152">
        <f t="shared" si="0"/>
        <v>0.71268653615309208</v>
      </c>
      <c r="L17" s="152">
        <f t="shared" si="0"/>
        <v>0.46500397527449044</v>
      </c>
      <c r="M17" s="152">
        <f t="shared" si="0"/>
        <v>0.66359508802353484</v>
      </c>
      <c r="N17" s="152">
        <f t="shared" si="0"/>
        <v>0.5876183320464925</v>
      </c>
      <c r="P17" t="s">
        <v>53</v>
      </c>
    </row>
    <row r="18" spans="4:16" ht="16.5" thickTop="1" thickBot="1" x14ac:dyDescent="0.3">
      <c r="D18" s="141">
        <f>VLOOKUP($H18&amp;"-Training",training!$E:$AZ,VLOOKUP(D$14&amp;"-"&amp;$F$9,clookup!$B:$E,4,0),0)</f>
        <v>-0.67120207989749425</v>
      </c>
      <c r="E18" s="141">
        <f>VLOOKUP(H18&amp;"-Training",training!$E:$AZ,VLOOKUP($E$14&amp;"-"&amp;$F$9,clookup!$B:$E,4,0),0)</f>
        <v>-0.64394154402373482</v>
      </c>
      <c r="F18" s="141">
        <f>VLOOKUP(H$15&amp;"-Training",training!$E:$AZ,VLOOKUP($F$14&amp;"-"&amp;$F$9,clookup!$B:$E,4,0),0)</f>
        <v>0.46500397527449044</v>
      </c>
      <c r="H18" s="4" t="s">
        <v>6</v>
      </c>
      <c r="I18" s="152">
        <f t="shared" si="1"/>
        <v>9.9951460973633943E-2</v>
      </c>
      <c r="J18" s="152">
        <f t="shared" si="0"/>
        <v>0.93496092169193912</v>
      </c>
      <c r="K18" s="152">
        <f t="shared" si="0"/>
        <v>0.14608358891180706</v>
      </c>
      <c r="L18" s="152">
        <f t="shared" si="0"/>
        <v>0.46500397527449044</v>
      </c>
      <c r="M18" s="153">
        <f t="shared" si="0"/>
        <v>-0.17029072118251809</v>
      </c>
      <c r="N18" s="152">
        <f t="shared" si="0"/>
        <v>-0.47447471635901761</v>
      </c>
    </row>
    <row r="19" spans="4:16" ht="15.75" thickTop="1" x14ac:dyDescent="0.25">
      <c r="D19" s="141">
        <f>VLOOKUP($H19&amp;"-Training",training!$E:$AZ,VLOOKUP(D$14&amp;"-"&amp;$F$9,clookup!$B:$E,4,0),0)</f>
        <v>0.2503116900892644</v>
      </c>
      <c r="E19" s="141">
        <f>VLOOKUP(H19&amp;"-Training",training!$E:$AZ,VLOOKUP($E$14&amp;"-"&amp;$F$9,clookup!$B:$E,4,0),0)</f>
        <v>0.14187348696061614</v>
      </c>
      <c r="F19" s="141">
        <f>VLOOKUP(H$15&amp;"-Training",training!$E:$AZ,VLOOKUP($F$14&amp;"-"&amp;$F$9,clookup!$B:$E,4,0),0)</f>
        <v>0.46500397527449044</v>
      </c>
      <c r="H19" s="4" t="s">
        <v>7</v>
      </c>
      <c r="I19" s="152">
        <f t="shared" si="1"/>
        <v>1.1001639715013305</v>
      </c>
      <c r="J19" s="152">
        <f t="shared" si="0"/>
        <v>0.82015798466923973</v>
      </c>
      <c r="K19" s="152">
        <f t="shared" si="0"/>
        <v>1.0682121275287031</v>
      </c>
      <c r="L19" s="152">
        <f t="shared" si="0"/>
        <v>0.46500397527449044</v>
      </c>
      <c r="M19" s="152">
        <f t="shared" si="0"/>
        <v>1.1893434654728012</v>
      </c>
      <c r="N19" s="153">
        <f t="shared" si="0"/>
        <v>1.2430311432661196</v>
      </c>
    </row>
    <row r="21" spans="4:16" ht="26.25" x14ac:dyDescent="0.25">
      <c r="H21" s="176" t="s">
        <v>14</v>
      </c>
      <c r="I21" s="176"/>
      <c r="J21" s="176"/>
      <c r="K21" s="176"/>
      <c r="L21" s="176"/>
      <c r="M21" s="176"/>
      <c r="N21" s="176"/>
    </row>
    <row r="22" spans="4:16" x14ac:dyDescent="0.25">
      <c r="H22" s="7" t="s">
        <v>0</v>
      </c>
      <c r="I22" s="175" t="s">
        <v>1</v>
      </c>
      <c r="J22" s="175"/>
      <c r="K22" s="175"/>
      <c r="L22" s="175"/>
      <c r="M22" s="175"/>
      <c r="N22" s="175"/>
    </row>
    <row r="23" spans="4:16" ht="30" x14ac:dyDescent="0.25">
      <c r="H23" s="3" t="s">
        <v>2</v>
      </c>
      <c r="I23" s="5" t="s">
        <v>8</v>
      </c>
      <c r="J23" s="5" t="s">
        <v>9</v>
      </c>
      <c r="K23" s="5" t="s">
        <v>10</v>
      </c>
      <c r="L23" s="5" t="s">
        <v>11</v>
      </c>
      <c r="M23" s="5" t="s">
        <v>12</v>
      </c>
      <c r="N23" s="5" t="s">
        <v>13</v>
      </c>
    </row>
    <row r="24" spans="4:16" x14ac:dyDescent="0.25">
      <c r="H24" s="4" t="s">
        <v>3</v>
      </c>
      <c r="I24" s="6">
        <v>3</v>
      </c>
      <c r="J24" s="6">
        <v>4</v>
      </c>
      <c r="K24" s="6">
        <v>3</v>
      </c>
      <c r="L24" s="6">
        <v>2.5</v>
      </c>
      <c r="M24" s="6">
        <v>5</v>
      </c>
      <c r="N24" s="6">
        <v>1.5</v>
      </c>
    </row>
    <row r="25" spans="4:16" x14ac:dyDescent="0.25">
      <c r="H25" s="4" t="s">
        <v>4</v>
      </c>
      <c r="I25" s="6">
        <v>4</v>
      </c>
      <c r="J25" s="6">
        <v>5</v>
      </c>
      <c r="K25" s="6">
        <v>1</v>
      </c>
      <c r="L25" s="6">
        <v>3</v>
      </c>
      <c r="M25" s="6">
        <v>3</v>
      </c>
      <c r="N25" s="6">
        <v>4</v>
      </c>
    </row>
    <row r="26" spans="4:16" x14ac:dyDescent="0.25">
      <c r="H26" s="4" t="s">
        <v>5</v>
      </c>
      <c r="I26" s="6">
        <v>2.5</v>
      </c>
      <c r="J26" s="6">
        <v>3.5</v>
      </c>
      <c r="K26" s="6">
        <v>4</v>
      </c>
      <c r="L26" s="6">
        <v>4</v>
      </c>
      <c r="M26" s="6">
        <v>3.5</v>
      </c>
      <c r="N26" s="6">
        <v>5</v>
      </c>
    </row>
    <row r="27" spans="4:16" x14ac:dyDescent="0.25">
      <c r="H27" s="4" t="s">
        <v>6</v>
      </c>
      <c r="I27" s="6">
        <v>3</v>
      </c>
      <c r="J27" s="6">
        <v>4</v>
      </c>
      <c r="K27" s="6">
        <v>3</v>
      </c>
      <c r="L27" s="6">
        <v>5</v>
      </c>
      <c r="M27" s="6">
        <v>2</v>
      </c>
      <c r="N27" s="6">
        <v>5</v>
      </c>
    </row>
    <row r="28" spans="4:16" x14ac:dyDescent="0.25">
      <c r="H28" s="4" t="s">
        <v>7</v>
      </c>
      <c r="I28" s="6">
        <v>3.5</v>
      </c>
      <c r="J28" s="6">
        <v>2</v>
      </c>
      <c r="K28" s="6">
        <v>5</v>
      </c>
      <c r="L28" s="6">
        <v>2.5</v>
      </c>
      <c r="M28" s="6">
        <v>4</v>
      </c>
      <c r="N28" s="6">
        <v>3</v>
      </c>
    </row>
    <row r="30" spans="4:16" x14ac:dyDescent="0.25">
      <c r="H30" s="170" t="s">
        <v>58</v>
      </c>
      <c r="I30" s="171" t="s">
        <v>59</v>
      </c>
      <c r="J30" s="172"/>
      <c r="K30" s="172"/>
      <c r="L30" s="172"/>
      <c r="M30" s="172"/>
      <c r="N30" s="172"/>
    </row>
    <row r="31" spans="4:16" ht="30" x14ac:dyDescent="0.25">
      <c r="H31" s="174" t="s">
        <v>2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  <c r="N31" s="5" t="s">
        <v>13</v>
      </c>
    </row>
    <row r="32" spans="4:16" x14ac:dyDescent="0.25">
      <c r="H32" s="4" t="s">
        <v>3</v>
      </c>
      <c r="I32" s="173">
        <f>(I15-I24)^2</f>
        <v>7.0386793002282859</v>
      </c>
      <c r="J32" s="173">
        <f t="shared" ref="J32:N32" si="2">(J15-J24)^2</f>
        <v>9.5694377781542102</v>
      </c>
      <c r="K32" s="173">
        <f t="shared" si="2"/>
        <v>6.8969929073586167</v>
      </c>
      <c r="L32" s="169">
        <f t="shared" si="2"/>
        <v>4.1412088206486271</v>
      </c>
      <c r="M32" s="173">
        <f t="shared" si="2"/>
        <v>23.373448197986093</v>
      </c>
      <c r="N32" s="173">
        <f t="shared" si="2"/>
        <v>2.4028610068638439</v>
      </c>
    </row>
    <row r="33" spans="8:14" x14ac:dyDescent="0.25">
      <c r="H33" s="4" t="s">
        <v>4</v>
      </c>
      <c r="I33" s="173">
        <f t="shared" ref="I33:N33" si="3">(I16-I25)^2</f>
        <v>3.1207683919850089</v>
      </c>
      <c r="J33" s="173">
        <f t="shared" si="3"/>
        <v>18.55585158103915</v>
      </c>
      <c r="K33" s="169">
        <f t="shared" si="3"/>
        <v>1.2397166530672741</v>
      </c>
      <c r="L33" s="173">
        <f t="shared" si="3"/>
        <v>6.4262048453741372</v>
      </c>
      <c r="M33" s="173">
        <f t="shared" si="3"/>
        <v>7.1528289035666576E-2</v>
      </c>
      <c r="N33" s="173">
        <f t="shared" si="3"/>
        <v>0.67139807988185096</v>
      </c>
    </row>
    <row r="34" spans="8:14" x14ac:dyDescent="0.25">
      <c r="H34" s="4" t="s">
        <v>5</v>
      </c>
      <c r="I34" s="173">
        <f t="shared" ref="I34:N34" si="4">(I17-I26)^2</f>
        <v>3.1866966993914638</v>
      </c>
      <c r="J34" s="169">
        <f t="shared" si="4"/>
        <v>6.9552988647474088</v>
      </c>
      <c r="K34" s="173">
        <f t="shared" si="4"/>
        <v>10.806429809589154</v>
      </c>
      <c r="L34" s="173">
        <f t="shared" si="4"/>
        <v>12.496196894825156</v>
      </c>
      <c r="M34" s="173">
        <f t="shared" si="4"/>
        <v>8.0451928246842179</v>
      </c>
      <c r="N34" s="173">
        <f t="shared" si="4"/>
        <v>19.469111983692176</v>
      </c>
    </row>
    <row r="35" spans="8:14" x14ac:dyDescent="0.25">
      <c r="H35" s="4" t="s">
        <v>6</v>
      </c>
      <c r="I35" s="173">
        <f t="shared" ref="I35:N35" si="5">(I18-I27)^2</f>
        <v>8.4102815287089605</v>
      </c>
      <c r="J35" s="173">
        <f t="shared" si="5"/>
        <v>9.3944645515555276</v>
      </c>
      <c r="K35" s="173">
        <f t="shared" si="5"/>
        <v>8.1448388814785098</v>
      </c>
      <c r="L35" s="173">
        <f t="shared" si="5"/>
        <v>20.566188944276171</v>
      </c>
      <c r="M35" s="169">
        <f t="shared" si="5"/>
        <v>4.7101618144509345</v>
      </c>
      <c r="N35" s="173">
        <f t="shared" si="5"/>
        <v>29.969873420054142</v>
      </c>
    </row>
    <row r="36" spans="8:14" x14ac:dyDescent="0.25">
      <c r="H36" s="4" t="s">
        <v>7</v>
      </c>
      <c r="I36" s="173">
        <f t="shared" ref="I36:N36" si="6">(I19-I28)^2</f>
        <v>5.7592129636802678</v>
      </c>
      <c r="J36" s="173">
        <f t="shared" si="6"/>
        <v>1.39202718113975</v>
      </c>
      <c r="K36" s="173">
        <f t="shared" si="6"/>
        <v>15.458955874112368</v>
      </c>
      <c r="L36" s="173">
        <f t="shared" si="6"/>
        <v>4.1412088206486271</v>
      </c>
      <c r="M36" s="173">
        <f t="shared" si="6"/>
        <v>7.8997901550804421</v>
      </c>
      <c r="N36" s="169">
        <f t="shared" si="6"/>
        <v>3.0869395635327588</v>
      </c>
    </row>
  </sheetData>
  <sortState ref="Q6:Q15">
    <sortCondition ref="Q6:Q15"/>
  </sortState>
  <dataConsolidate function="count">
    <dataRefs count="1">
      <dataRef ref="O6:O15" sheet="userdata"/>
    </dataRefs>
  </dataConsolidate>
  <mergeCells count="3">
    <mergeCell ref="I22:N22"/>
    <mergeCell ref="H21:N21"/>
    <mergeCell ref="I13:N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Initialweight!$B$6:$B$26</xm:f>
          </x14:formula1>
          <xm:sqref>F9</xm:sqref>
        </x14:dataValidation>
        <x14:dataValidation type="list" allowBlank="1" showInputMessage="1" showErrorMessage="1">
          <x14:formula1>
            <xm:f>Initialweight!$C$6:$C$12</xm:f>
          </x14:formula1>
          <xm:sqref>F10</xm:sqref>
        </x14:dataValidation>
        <x14:dataValidation type="list" allowBlank="1" showInputMessage="1" showErrorMessage="1">
          <x14:formula1>
            <xm:f>Initialweight!$D$6:$D$12</xm:f>
          </x14:formula1>
          <xm:sqref>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6"/>
  <sheetViews>
    <sheetView workbookViewId="0">
      <selection activeCell="G14" sqref="G14"/>
    </sheetView>
  </sheetViews>
  <sheetFormatPr defaultRowHeight="15" x14ac:dyDescent="0.25"/>
  <cols>
    <col min="11" max="11" width="18.85546875" customWidth="1"/>
  </cols>
  <sheetData>
    <row r="4" spans="2:14" ht="15.75" thickBot="1" x14ac:dyDescent="0.3">
      <c r="B4" s="11" t="s">
        <v>19</v>
      </c>
      <c r="C4" s="11" t="s">
        <v>19</v>
      </c>
      <c r="D4" s="11" t="s">
        <v>19</v>
      </c>
      <c r="E4" s="12"/>
      <c r="F4" s="12"/>
      <c r="G4" s="13" t="s">
        <v>20</v>
      </c>
      <c r="H4" s="13" t="s">
        <v>20</v>
      </c>
      <c r="I4" s="13" t="s">
        <v>20</v>
      </c>
      <c r="J4" s="12"/>
      <c r="K4" s="14"/>
      <c r="L4" s="13" t="s">
        <v>20</v>
      </c>
      <c r="M4" s="13" t="s">
        <v>20</v>
      </c>
      <c r="N4" s="13" t="s">
        <v>20</v>
      </c>
    </row>
    <row r="5" spans="2:14" ht="60.75" thickBot="1" x14ac:dyDescent="0.3">
      <c r="B5" s="15" t="s">
        <v>21</v>
      </c>
      <c r="C5" s="15" t="s">
        <v>22</v>
      </c>
      <c r="D5" s="15" t="s">
        <v>23</v>
      </c>
      <c r="E5" s="16"/>
      <c r="F5" s="40" t="s">
        <v>24</v>
      </c>
      <c r="G5" s="34" t="s">
        <v>16</v>
      </c>
      <c r="H5" s="35" t="s">
        <v>17</v>
      </c>
      <c r="I5" s="36" t="s">
        <v>18</v>
      </c>
      <c r="J5" s="16"/>
      <c r="K5" s="41" t="s">
        <v>1</v>
      </c>
      <c r="L5" s="37" t="s">
        <v>36</v>
      </c>
      <c r="M5" s="38" t="s">
        <v>37</v>
      </c>
      <c r="N5" s="39" t="s">
        <v>25</v>
      </c>
    </row>
    <row r="6" spans="2:14" x14ac:dyDescent="0.25">
      <c r="B6" s="17">
        <v>0</v>
      </c>
      <c r="C6" s="18">
        <v>1E-3</v>
      </c>
      <c r="D6" s="18">
        <v>0</v>
      </c>
      <c r="E6" s="16"/>
      <c r="F6" s="33" t="s">
        <v>3</v>
      </c>
      <c r="G6" s="29">
        <v>-0.65855041801030101</v>
      </c>
      <c r="H6" s="19">
        <v>-0.55591097208679596</v>
      </c>
      <c r="I6" s="19">
        <v>0.1</v>
      </c>
      <c r="J6" s="16"/>
      <c r="K6" s="5" t="s">
        <v>8</v>
      </c>
      <c r="L6" s="20">
        <v>0.56298525725053339</v>
      </c>
      <c r="M6" s="20">
        <v>-0.14020780478012193</v>
      </c>
      <c r="N6" s="20">
        <v>0.1</v>
      </c>
    </row>
    <row r="7" spans="2:14" ht="16.5" customHeight="1" x14ac:dyDescent="0.25">
      <c r="B7" s="21">
        <v>1</v>
      </c>
      <c r="C7" s="22">
        <v>0.01</v>
      </c>
      <c r="D7" s="22">
        <v>1E-3</v>
      </c>
      <c r="E7" s="16"/>
      <c r="F7" s="33" t="s">
        <v>4</v>
      </c>
      <c r="G7" s="30">
        <v>1.1003686519786173</v>
      </c>
      <c r="H7" s="23">
        <v>1.1491812482100716</v>
      </c>
      <c r="I7" s="23">
        <v>0.1</v>
      </c>
      <c r="J7" s="16"/>
      <c r="K7" s="5" t="s">
        <v>9</v>
      </c>
      <c r="L7" s="24">
        <v>-1.6865310697866495E-2</v>
      </c>
      <c r="M7" s="24">
        <v>0.95458588500479291</v>
      </c>
      <c r="N7" s="24">
        <v>0.1</v>
      </c>
    </row>
    <row r="8" spans="2:14" x14ac:dyDescent="0.25">
      <c r="B8" s="17">
        <v>2</v>
      </c>
      <c r="C8" s="18">
        <v>0.1</v>
      </c>
      <c r="D8" s="18">
        <v>0.01</v>
      </c>
      <c r="E8" s="16"/>
      <c r="F8" s="33" t="s">
        <v>5</v>
      </c>
      <c r="G8" s="31">
        <v>-0.22053509857539327</v>
      </c>
      <c r="H8" s="25">
        <v>1.6177372266729149</v>
      </c>
      <c r="I8" s="25">
        <v>0.1</v>
      </c>
      <c r="J8" s="16"/>
      <c r="K8" s="5" t="s">
        <v>10</v>
      </c>
      <c r="L8" s="20">
        <v>0.60793976535137362</v>
      </c>
      <c r="M8" s="20">
        <v>0.62701844162690035</v>
      </c>
      <c r="N8" s="20">
        <v>0.1</v>
      </c>
    </row>
    <row r="9" spans="2:14" x14ac:dyDescent="0.25">
      <c r="B9" s="21">
        <v>3</v>
      </c>
      <c r="C9" s="22">
        <v>0.2</v>
      </c>
      <c r="D9" s="22">
        <v>0.1</v>
      </c>
      <c r="E9" s="16"/>
      <c r="F9" s="33" t="s">
        <v>6</v>
      </c>
      <c r="G9" s="30">
        <v>-0.89153783231512851</v>
      </c>
      <c r="H9" s="23">
        <v>-0.7967083750355437</v>
      </c>
      <c r="I9" s="23">
        <v>0.1</v>
      </c>
      <c r="J9" s="16"/>
      <c r="K9" s="5" t="s">
        <v>11</v>
      </c>
      <c r="L9" s="24">
        <v>-0.22530717587291313</v>
      </c>
      <c r="M9" s="24">
        <v>0.18843888870943978</v>
      </c>
      <c r="N9" s="24">
        <v>0.1</v>
      </c>
    </row>
    <row r="10" spans="2:14" x14ac:dyDescent="0.25">
      <c r="B10" s="17">
        <v>4</v>
      </c>
      <c r="C10" s="18">
        <v>0.25</v>
      </c>
      <c r="D10" s="18">
        <v>0.2</v>
      </c>
      <c r="E10" s="16"/>
      <c r="F10" s="33" t="s">
        <v>7</v>
      </c>
      <c r="G10" s="32">
        <v>0.11566330747510577</v>
      </c>
      <c r="H10" s="26">
        <v>0.31927318140893735</v>
      </c>
      <c r="I10" s="26">
        <v>0.1</v>
      </c>
      <c r="J10" s="16"/>
      <c r="K10" s="5" t="s">
        <v>12</v>
      </c>
      <c r="L10" s="20">
        <v>0.72572398734242127</v>
      </c>
      <c r="M10" s="20">
        <v>-0.6249363825980645</v>
      </c>
      <c r="N10" s="20">
        <v>0.1</v>
      </c>
    </row>
    <row r="11" spans="2:14" x14ac:dyDescent="0.25">
      <c r="B11" s="21">
        <v>5</v>
      </c>
      <c r="C11" s="22">
        <v>0.3</v>
      </c>
      <c r="D11" s="22">
        <v>0.25</v>
      </c>
      <c r="E11" s="16"/>
      <c r="F11" s="16"/>
      <c r="G11" s="16"/>
      <c r="H11" s="16"/>
      <c r="I11" s="16"/>
      <c r="J11" s="16"/>
      <c r="K11" s="5" t="s">
        <v>13</v>
      </c>
      <c r="L11" s="27">
        <v>1.0692803455337927</v>
      </c>
      <c r="M11" s="27">
        <v>0.63717442611924779</v>
      </c>
      <c r="N11" s="27">
        <v>0.1</v>
      </c>
    </row>
    <row r="12" spans="2:14" x14ac:dyDescent="0.25">
      <c r="B12" s="17">
        <v>6</v>
      </c>
      <c r="C12" s="18">
        <v>0.5</v>
      </c>
      <c r="D12" s="18">
        <v>0.3</v>
      </c>
      <c r="E12" s="16"/>
      <c r="F12" s="16"/>
      <c r="G12" s="16"/>
      <c r="H12" s="16"/>
      <c r="I12" s="16"/>
      <c r="J12" s="16"/>
      <c r="K12" s="28"/>
      <c r="L12" s="16"/>
      <c r="M12" s="16"/>
      <c r="N12" s="16"/>
    </row>
    <row r="13" spans="2:14" x14ac:dyDescent="0.25">
      <c r="B13" s="17">
        <v>7</v>
      </c>
    </row>
    <row r="14" spans="2:14" x14ac:dyDescent="0.25">
      <c r="B14" s="17">
        <v>8</v>
      </c>
    </row>
    <row r="15" spans="2:14" x14ac:dyDescent="0.25">
      <c r="B15" s="17">
        <v>9</v>
      </c>
    </row>
    <row r="16" spans="2:14" x14ac:dyDescent="0.25">
      <c r="B16" s="17">
        <v>10</v>
      </c>
    </row>
    <row r="17" spans="2:2" x14ac:dyDescent="0.25">
      <c r="B17" s="17">
        <v>11</v>
      </c>
    </row>
    <row r="18" spans="2:2" x14ac:dyDescent="0.25">
      <c r="B18" s="17">
        <v>12</v>
      </c>
    </row>
    <row r="19" spans="2:2" x14ac:dyDescent="0.25">
      <c r="B19" s="17">
        <v>13</v>
      </c>
    </row>
    <row r="20" spans="2:2" x14ac:dyDescent="0.25">
      <c r="B20" s="17">
        <v>14</v>
      </c>
    </row>
    <row r="21" spans="2:2" x14ac:dyDescent="0.25">
      <c r="B21" s="17">
        <v>15</v>
      </c>
    </row>
    <row r="22" spans="2:2" x14ac:dyDescent="0.25">
      <c r="B22" s="17">
        <v>16</v>
      </c>
    </row>
    <row r="23" spans="2:2" x14ac:dyDescent="0.25">
      <c r="B23" s="17">
        <v>17</v>
      </c>
    </row>
    <row r="24" spans="2:2" x14ac:dyDescent="0.25">
      <c r="B24" s="17">
        <v>18</v>
      </c>
    </row>
    <row r="25" spans="2:2" x14ac:dyDescent="0.25">
      <c r="B25" s="17">
        <v>19</v>
      </c>
    </row>
    <row r="26" spans="2:2" x14ac:dyDescent="0.25">
      <c r="B26" s="1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J1" zoomScaleNormal="100" workbookViewId="0">
      <selection activeCell="Y40" sqref="Y40"/>
    </sheetView>
  </sheetViews>
  <sheetFormatPr defaultRowHeight="15" x14ac:dyDescent="0.25"/>
  <cols>
    <col min="3" max="3" width="19.7109375" customWidth="1"/>
    <col min="4" max="4" width="22.28515625" bestFit="1" customWidth="1"/>
    <col min="5" max="5" width="22.28515625" customWidth="1"/>
    <col min="6" max="6" width="24.5703125" bestFit="1" customWidth="1"/>
  </cols>
  <sheetData>
    <row r="1" spans="1:33" x14ac:dyDescent="0.25">
      <c r="B1" t="s">
        <v>47</v>
      </c>
      <c r="I1" s="69">
        <v>0</v>
      </c>
      <c r="J1" s="69">
        <f>I1</f>
        <v>0</v>
      </c>
      <c r="K1" s="69">
        <f>J1</f>
        <v>0</v>
      </c>
      <c r="L1" s="69">
        <f t="shared" ref="L1:T1" si="0">K1</f>
        <v>0</v>
      </c>
      <c r="M1" s="69">
        <f t="shared" si="0"/>
        <v>0</v>
      </c>
      <c r="N1" s="69">
        <f t="shared" si="0"/>
        <v>0</v>
      </c>
      <c r="O1" s="69">
        <f t="shared" si="0"/>
        <v>0</v>
      </c>
      <c r="P1" s="69">
        <f t="shared" si="0"/>
        <v>0</v>
      </c>
      <c r="Q1" s="69">
        <f t="shared" si="0"/>
        <v>0</v>
      </c>
      <c r="R1" s="69">
        <f t="shared" si="0"/>
        <v>0</v>
      </c>
      <c r="S1" s="69">
        <f t="shared" si="0"/>
        <v>0</v>
      </c>
      <c r="T1" s="69">
        <f t="shared" si="0"/>
        <v>0</v>
      </c>
      <c r="U1" s="69">
        <f>T1 + 1</f>
        <v>1</v>
      </c>
      <c r="V1" s="69">
        <f>U1</f>
        <v>1</v>
      </c>
      <c r="W1" s="69">
        <f t="shared" ref="W1:AF1" si="1">V1</f>
        <v>1</v>
      </c>
      <c r="X1" s="69">
        <f t="shared" si="1"/>
        <v>1</v>
      </c>
      <c r="Y1" s="69">
        <f t="shared" si="1"/>
        <v>1</v>
      </c>
      <c r="Z1" s="69">
        <f t="shared" si="1"/>
        <v>1</v>
      </c>
      <c r="AA1" s="69">
        <f t="shared" si="1"/>
        <v>1</v>
      </c>
      <c r="AB1" s="69">
        <f t="shared" si="1"/>
        <v>1</v>
      </c>
      <c r="AC1" s="69">
        <f t="shared" si="1"/>
        <v>1</v>
      </c>
      <c r="AD1" s="69">
        <f t="shared" si="1"/>
        <v>1</v>
      </c>
      <c r="AE1" s="69">
        <f t="shared" si="1"/>
        <v>1</v>
      </c>
      <c r="AF1" s="69">
        <f t="shared" si="1"/>
        <v>1</v>
      </c>
    </row>
    <row r="3" spans="1:33" x14ac:dyDescent="0.25">
      <c r="B3" s="66" t="s">
        <v>38</v>
      </c>
      <c r="C3" s="66"/>
      <c r="D3" s="66"/>
      <c r="E3" s="66"/>
      <c r="F3" s="66"/>
      <c r="G3" s="66"/>
      <c r="H3" s="68">
        <f>userdata!F10</f>
        <v>0.1</v>
      </c>
    </row>
    <row r="4" spans="1:33" x14ac:dyDescent="0.25">
      <c r="B4" s="66" t="s">
        <v>39</v>
      </c>
      <c r="C4" s="66"/>
      <c r="D4" s="66"/>
      <c r="E4" s="66"/>
      <c r="F4" s="66"/>
      <c r="G4" s="66"/>
      <c r="H4" s="68">
        <f>userdata!F11</f>
        <v>0.3</v>
      </c>
    </row>
    <row r="5" spans="1:33" ht="15.75" thickBot="1" x14ac:dyDescent="0.3">
      <c r="N5" s="53"/>
    </row>
    <row r="6" spans="1:33" x14ac:dyDescent="0.25">
      <c r="B6" s="80"/>
      <c r="C6" s="71"/>
      <c r="D6" s="71"/>
      <c r="E6" s="71"/>
      <c r="F6" s="71"/>
      <c r="G6" s="72"/>
      <c r="H6" s="73" t="s">
        <v>44</v>
      </c>
      <c r="P6" s="83">
        <f>SUMPRODUCT(P11:P40,P11:P40)</f>
        <v>339.4824532199948</v>
      </c>
      <c r="AB6" s="83">
        <f>SUMPRODUCT(AB11:AB40,AB11:AB40)</f>
        <v>234.87634874895542</v>
      </c>
    </row>
    <row r="7" spans="1:33" x14ac:dyDescent="0.25">
      <c r="B7" s="81"/>
      <c r="C7" s="74"/>
      <c r="D7" s="74"/>
      <c r="E7" s="74"/>
      <c r="F7" s="74"/>
      <c r="G7" s="75"/>
      <c r="H7" s="76" t="s">
        <v>45</v>
      </c>
      <c r="P7" s="84">
        <f>P6/30</f>
        <v>11.316081773999827</v>
      </c>
      <c r="AB7" s="84">
        <f>AB6/30</f>
        <v>7.8292116249651809</v>
      </c>
    </row>
    <row r="8" spans="1:33" ht="15.75" thickBot="1" x14ac:dyDescent="0.3">
      <c r="B8" s="82"/>
      <c r="C8" s="77"/>
      <c r="D8" s="77"/>
      <c r="E8" s="77"/>
      <c r="F8" s="77"/>
      <c r="G8" s="78"/>
      <c r="H8" s="79" t="s">
        <v>46</v>
      </c>
      <c r="P8" s="85">
        <f>SQRT(P7)</f>
        <v>3.3639384319573726</v>
      </c>
      <c r="AB8" s="85">
        <f>SQRT(AB7)</f>
        <v>2.7980728412543483</v>
      </c>
    </row>
    <row r="9" spans="1:33" ht="15.75" thickBot="1" x14ac:dyDescent="0.3"/>
    <row r="10" spans="1:33" s="53" customFormat="1" ht="49.5" customHeight="1" x14ac:dyDescent="0.25">
      <c r="A10" s="111"/>
      <c r="B10" s="132" t="s">
        <v>2</v>
      </c>
      <c r="C10" s="133" t="s">
        <v>1</v>
      </c>
      <c r="D10" s="133"/>
      <c r="E10" s="133"/>
      <c r="F10" s="133"/>
      <c r="G10" s="134" t="s">
        <v>26</v>
      </c>
      <c r="H10" s="134" t="s">
        <v>27</v>
      </c>
      <c r="I10" s="135" t="s">
        <v>16</v>
      </c>
      <c r="J10" s="135" t="s">
        <v>17</v>
      </c>
      <c r="K10" s="136" t="s">
        <v>18</v>
      </c>
      <c r="L10" s="137" t="s">
        <v>36</v>
      </c>
      <c r="M10" s="137" t="s">
        <v>37</v>
      </c>
      <c r="N10" s="138" t="s">
        <v>25</v>
      </c>
      <c r="O10" s="134" t="s">
        <v>28</v>
      </c>
      <c r="P10" s="139" t="s">
        <v>29</v>
      </c>
      <c r="Q10" s="139" t="s">
        <v>30</v>
      </c>
      <c r="R10" s="139" t="s">
        <v>31</v>
      </c>
      <c r="S10" s="139" t="s">
        <v>32</v>
      </c>
      <c r="T10" s="139" t="s">
        <v>33</v>
      </c>
      <c r="U10" s="135" t="s">
        <v>16</v>
      </c>
      <c r="V10" s="135" t="s">
        <v>17</v>
      </c>
      <c r="W10" s="136" t="s">
        <v>18</v>
      </c>
      <c r="X10" s="137" t="s">
        <v>36</v>
      </c>
      <c r="Y10" s="137" t="s">
        <v>37</v>
      </c>
      <c r="Z10" s="138" t="s">
        <v>25</v>
      </c>
      <c r="AA10" s="134" t="s">
        <v>28</v>
      </c>
      <c r="AB10" s="139" t="s">
        <v>29</v>
      </c>
      <c r="AC10" s="139" t="s">
        <v>30</v>
      </c>
      <c r="AD10" s="139" t="s">
        <v>31</v>
      </c>
      <c r="AE10" s="139" t="s">
        <v>32</v>
      </c>
      <c r="AF10" s="140" t="s">
        <v>33</v>
      </c>
    </row>
    <row r="11" spans="1:33" s="53" customFormat="1" x14ac:dyDescent="0.25">
      <c r="A11"/>
      <c r="B11" s="97" t="s">
        <v>3</v>
      </c>
      <c r="C11" s="62" t="s">
        <v>8</v>
      </c>
      <c r="D11" s="62" t="str">
        <f>B11&amp;"-"&amp;C11</f>
        <v>user1-Aloo Paratha</v>
      </c>
      <c r="E11" s="62" t="str">
        <f>B11&amp;"-Training"</f>
        <v>user1-Training</v>
      </c>
      <c r="F11" s="62" t="str">
        <f>C11&amp;"-Training"</f>
        <v>Aloo Paratha-Training</v>
      </c>
      <c r="G11" s="42" t="s">
        <v>35</v>
      </c>
      <c r="H11" s="44">
        <f>IF($G11 = "Training",VLOOKUP($B11,test_training!B3:E3,4,0),"Ignore")</f>
        <v>3</v>
      </c>
      <c r="I11" s="43">
        <f>IF($H11 = "Ignore",0,VLOOKUP($B11,Initialweight!$F:$I,2,0))</f>
        <v>-0.65855041801030101</v>
      </c>
      <c r="J11" s="43">
        <f>IF($H11 = "Ignore",0,VLOOKUP($B11,Initialweight!$F:$I,3,0))</f>
        <v>-0.55591097208679596</v>
      </c>
      <c r="K11" s="43">
        <f>IF($H11 = "Ignore",0,VLOOKUP($B11,Initialweight!$F:$I,4,0))</f>
        <v>0.1</v>
      </c>
      <c r="L11" s="45">
        <f>IF($H11 = "Ignore",0,VLOOKUP($C11,Initialweight!$K:$N,2,0))</f>
        <v>0.56298525725053339</v>
      </c>
      <c r="M11" s="45">
        <f>IF($H11 = "Ignore",0,VLOOKUP($C11,Initialweight!$K:$N,3,0))</f>
        <v>-0.14020780478012193</v>
      </c>
      <c r="N11" s="45">
        <f>IF($H11 = "Ignore",0,VLOOKUP($C11,Initialweight!$K:$N,4,0))</f>
        <v>0.1</v>
      </c>
      <c r="O11" s="46">
        <f>IF($H11="Ignore",0,SUMPRODUCT(I11:J11,L11:M11)+K11+N11)</f>
        <v>-9.2811119446502277E-2</v>
      </c>
      <c r="P11" s="47">
        <f>IF($H11 = "Ignore",0,$O11-$H11)</f>
        <v>-3.0928111194465022</v>
      </c>
      <c r="Q11" s="47">
        <f>$H$4</f>
        <v>0.3</v>
      </c>
      <c r="R11" s="47">
        <f>SUMPRODUCT(I11:J11,I11:J11)</f>
        <v>0.74272566194802869</v>
      </c>
      <c r="S11" s="47">
        <f>SUMPRODUCT(L11:M11,L11:M11)</f>
        <v>0.33661062840271</v>
      </c>
      <c r="T11" s="47">
        <f>IF($H11 = "Ignore",0,(P11^2) +  (Q11*R11) + (Q11*S11))</f>
        <v>9.889281507677147</v>
      </c>
      <c r="U11" s="43">
        <f>IF($H11="Ignore",0,$I11-$H$3*((SUMPRODUCT($P$11:$P$16,$L$11:$L$16)+SUMPRODUCT($Q$11:$Q$16,$I$11:$I$16))/5))</f>
        <v>-0.44027669024076999</v>
      </c>
      <c r="V11" s="43">
        <f>IF($H11="Ignore",0,$J11-$H$3*((SUMPRODUCT($P$11:$P$16,$M$11:$M$16)+SUMPRODUCT($Q$11:$Q$16,$J$11:$J$16))/5))</f>
        <v>-0.45250485641485816</v>
      </c>
      <c r="W11" s="43">
        <f>IF($H11="Ignore",0,$K11-$H$3*((SUM($P$11:$P$16))/5))</f>
        <v>0.46500397527449044</v>
      </c>
      <c r="X11" s="45">
        <f>IF($H11="Ignore",0,L11-$H$3*((SUMPRODUCT($P$42:$P$46,$I$42:$I$46)+SUMPRODUCT($Q$42:$Q$46,$L$42:$L$46))/5))</f>
        <v>0.5179108468478516</v>
      </c>
      <c r="Y11" s="45">
        <f>IF($H11="Ignore",0,$L11-$H$3*((SUMPRODUCT($P$42:$P$46,$J$42:$J$46)+SUMPRODUCT($Q$42:$Q$46,$M$42:$M$46))/5))</f>
        <v>0.66548807659841303</v>
      </c>
      <c r="Z11" s="45">
        <f>IF($H11="Ignore",0,N11-$H$3*((SUM($P$42:$P$46)))/5)</f>
        <v>0.41110574287906165</v>
      </c>
      <c r="AA11" s="46">
        <f>IF($H11="Ignore",0,SUMPRODUCT(U11:V11,X11:Y11)+W11+Z11)</f>
        <v>0.34694905811662069</v>
      </c>
      <c r="AB11" s="47">
        <f>IF($H11 = "Ignore",0,$AA11-$H11)</f>
        <v>-2.6530509418833792</v>
      </c>
      <c r="AC11" s="47">
        <f>$H$4</f>
        <v>0.3</v>
      </c>
      <c r="AD11" s="47">
        <f>SUMPRODUCT(U11:V11,U11:V11)</f>
        <v>0.39860420904839833</v>
      </c>
      <c r="AE11" s="47">
        <f>SUMPRODUCT(X11:Y11,X11:Y11)</f>
        <v>0.71110602537731404</v>
      </c>
      <c r="AF11" s="110">
        <f>IF($H11 = "Ignore",0,(AB11^2) +  (AC11*AD11) + (AC11*AE11))</f>
        <v>7.3715923705559998</v>
      </c>
      <c r="AG11" s="112"/>
    </row>
    <row r="12" spans="1:33" s="53" customFormat="1" x14ac:dyDescent="0.25">
      <c r="A12"/>
      <c r="B12" s="97" t="s">
        <v>3</v>
      </c>
      <c r="C12" s="62" t="s">
        <v>9</v>
      </c>
      <c r="D12" s="62" t="str">
        <f t="shared" ref="D12:D40" si="2">B12&amp;"-"&amp;C12</f>
        <v>user1-Tandoori Chicken</v>
      </c>
      <c r="E12" s="62" t="str">
        <f t="shared" ref="E12:E40" si="3">B12&amp;"-Training"</f>
        <v>user1-Training</v>
      </c>
      <c r="F12" s="62" t="str">
        <f t="shared" ref="F12:F40" si="4">C12&amp;"-Training"</f>
        <v>Tandoori Chicken-Training</v>
      </c>
      <c r="G12" s="42" t="s">
        <v>35</v>
      </c>
      <c r="H12" s="44">
        <f>IF($G12 = "Training",VLOOKUP($B12,test_training!B4:E4,4,0),"Ignore")</f>
        <v>4</v>
      </c>
      <c r="I12" s="43">
        <f>IF($H12 = "Ignore",0,VLOOKUP(B12,Initialweight!$F:$I,2,0))</f>
        <v>-0.65855041801030101</v>
      </c>
      <c r="J12" s="43">
        <f>IF($H12 = "Ignore",0,VLOOKUP($B12,Initialweight!$F:$I,3,0))</f>
        <v>-0.55591097208679596</v>
      </c>
      <c r="K12" s="43">
        <f>IF($H12 = "Ignore",0,VLOOKUP($B12,Initialweight!$F:$I,4,0))</f>
        <v>0.1</v>
      </c>
      <c r="L12" s="45">
        <f>IF($H12 = "Ignore",0,VLOOKUP($C12,Initialweight!$K:$N,2,0))</f>
        <v>-1.6865310697866495E-2</v>
      </c>
      <c r="M12" s="45">
        <f>IF($H12 = "Ignore",0,VLOOKUP($C12,Initialweight!$K:$N,3,0))</f>
        <v>0.95458588500479291</v>
      </c>
      <c r="N12" s="45">
        <f>IF($H12 = "Ignore",0,VLOOKUP($C12,Initialweight!$K:$N,4,0))</f>
        <v>0.1</v>
      </c>
      <c r="O12" s="46">
        <f t="shared" ref="O12:O40" si="5">IF($H12="Ignore",0,SUMPRODUCT(I12:J12,L12:M12)+K12+N12)</f>
        <v>-0.31955810986339539</v>
      </c>
      <c r="P12" s="47">
        <f t="shared" ref="P12:P71" si="6">IF($H12 = "Ignore",0,$O12-$H12)</f>
        <v>-4.3195581098633955</v>
      </c>
      <c r="Q12" s="47">
        <f t="shared" ref="Q12:Q71" si="7">$H$4</f>
        <v>0.3</v>
      </c>
      <c r="R12" s="47">
        <f t="shared" ref="R12:R40" si="8">SUMPRODUCT(I12:J12,I12:J12)</f>
        <v>0.74272566194802869</v>
      </c>
      <c r="S12" s="47">
        <f t="shared" ref="S12:S40" si="9">SUMPRODUCT(L12:M12,L12:M12)</f>
        <v>0.91151865055531922</v>
      </c>
      <c r="T12" s="47">
        <f t="shared" ref="T12:T71" si="10">IF($H12 = "Ignore",0,(P12^2) +  (Q12*R12) + (Q12*S12))</f>
        <v>19.154855558237632</v>
      </c>
      <c r="U12" s="43">
        <f t="shared" ref="U12:U16" si="11">IF($H12="Ignore",0,$I12-$H$3*((SUMPRODUCT($P$11:$P$16,$L$11:$L$16)+SUMPRODUCT($Q$11:$Q$16,$I$11:$I$16))/5))</f>
        <v>-0.44027669024076999</v>
      </c>
      <c r="V12" s="43">
        <f t="shared" ref="V12:V16" si="12">IF($H12="Ignore",0,$J12-$H$3*((SUMPRODUCT($P$11:$P$16,$M$11:$M$16)+SUMPRODUCT($Q$11:$Q$16,$J$11:$J$16))/5))</f>
        <v>-0.45250485641485816</v>
      </c>
      <c r="W12" s="43">
        <f t="shared" ref="W12:W40" si="13">IF($H12="Ignore",0,$K12-$H$3*((SUM($P$11:$P$16))/5))</f>
        <v>0.46500397527449044</v>
      </c>
      <c r="X12" s="45">
        <f>IF($H12="Ignore",0,$L12-$H$3*((SUMPRODUCT($P$47:$P$51,$I$47:$I$51)+SUMPRODUCT($Q$47:$Q$51,$L$47:$L$51))/5))</f>
        <v>-6.9037757170058639E-2</v>
      </c>
      <c r="Y12" s="45">
        <f>IF($H12="Ignore",0,$L12-$H$3*((SUMPRODUCT($P$47:$P$51,$J$47:$J$51)+SUMPRODUCT($Q$47:$Q$51,$M$47:$M$51))/5))</f>
        <v>-6.5134530548967784E-2</v>
      </c>
      <c r="Z12" s="45">
        <f>IF($H12="Ignore",0,N12-$H$3*((SUM($P$47:$P$51)))/5)</f>
        <v>0.38167583004248373</v>
      </c>
      <c r="AA12" s="46">
        <f t="shared" ref="AA12:AA40" si="14">IF($H12="Ignore",0,SUMPRODUCT(U12:V12,X12:Y12)+W12+Z12)</f>
        <v>0.90654921193916349</v>
      </c>
      <c r="AB12" s="47">
        <f t="shared" ref="AB12:AB40" si="15">IF($H12 = "Ignore",0,$AA12-$H12)</f>
        <v>-3.0934507880608364</v>
      </c>
      <c r="AC12" s="47">
        <f t="shared" ref="AC12:AC40" si="16">$H$4</f>
        <v>0.3</v>
      </c>
      <c r="AD12" s="47">
        <f t="shared" ref="AD12:AD40" si="17">SUMPRODUCT(U12:V12,U12:V12)</f>
        <v>0.39860420904839833</v>
      </c>
      <c r="AE12" s="47">
        <f t="shared" ref="AE12:AE40" si="18">SUMPRODUCT(X12:Y12,X12:Y12)</f>
        <v>9.0087189849064001E-3</v>
      </c>
      <c r="AF12" s="98">
        <f t="shared" ref="AF12:AF40" si="19">IF($H12 = "Ignore",0,(AB12^2) +  (AC12*AD12) + (AC12*AE12))</f>
        <v>9.6917216565642015</v>
      </c>
      <c r="AG12"/>
    </row>
    <row r="13" spans="1:33" s="53" customFormat="1" x14ac:dyDescent="0.25">
      <c r="A13"/>
      <c r="B13" s="97" t="s">
        <v>3</v>
      </c>
      <c r="C13" s="62" t="s">
        <v>10</v>
      </c>
      <c r="D13" s="62" t="str">
        <f t="shared" si="2"/>
        <v>user1-Vegetable Soup</v>
      </c>
      <c r="E13" s="62" t="str">
        <f t="shared" si="3"/>
        <v>user1-Training</v>
      </c>
      <c r="F13" s="62" t="str">
        <f t="shared" si="4"/>
        <v>Vegetable Soup-Training</v>
      </c>
      <c r="G13" s="42" t="s">
        <v>35</v>
      </c>
      <c r="H13" s="44">
        <f>IF($G13 = "Training",VLOOKUP($B13,test_training!B5:E5,4,0),"Ignore")</f>
        <v>3</v>
      </c>
      <c r="I13" s="43">
        <f>IF($H13 = "Ignore",0,VLOOKUP(B13,Initialweight!$F:$I,2,0))</f>
        <v>-0.65855041801030101</v>
      </c>
      <c r="J13" s="43">
        <f>IF($H13 = "Ignore",0,VLOOKUP($B13,Initialweight!$F:$I,3,0))</f>
        <v>-0.55591097208679596</v>
      </c>
      <c r="K13" s="43">
        <f>IF($H13 = "Ignore",0,VLOOKUP($B13,Initialweight!$F:$I,4,0))</f>
        <v>0.1</v>
      </c>
      <c r="L13" s="45">
        <f>IF($H13 = "Ignore",0,VLOOKUP($C13,Initialweight!$K:$N,2,0))</f>
        <v>0.60793976535137362</v>
      </c>
      <c r="M13" s="45">
        <f>IF($H13 = "Ignore",0,VLOOKUP($C13,Initialweight!$K:$N,3,0))</f>
        <v>0.62701844162690035</v>
      </c>
      <c r="N13" s="45">
        <f>IF($H13 = "Ignore",0,VLOOKUP($C13,Initialweight!$K:$N,4,0))</f>
        <v>0.1</v>
      </c>
      <c r="O13" s="46">
        <f t="shared" si="5"/>
        <v>-0.54892541799838956</v>
      </c>
      <c r="P13" s="47">
        <f t="shared" si="6"/>
        <v>-3.5489254179983893</v>
      </c>
      <c r="Q13" s="47">
        <f t="shared" si="7"/>
        <v>0.3</v>
      </c>
      <c r="R13" s="47">
        <f t="shared" si="8"/>
        <v>0.74272566194802869</v>
      </c>
      <c r="S13" s="47">
        <f t="shared" si="9"/>
        <v>0.76274288443570981</v>
      </c>
      <c r="T13" s="47">
        <f t="shared" si="10"/>
        <v>13.046512186430164</v>
      </c>
      <c r="U13" s="43">
        <f t="shared" si="11"/>
        <v>-0.44027669024076999</v>
      </c>
      <c r="V13" s="43">
        <f t="shared" si="12"/>
        <v>-0.45250485641485816</v>
      </c>
      <c r="W13" s="43">
        <f t="shared" si="13"/>
        <v>0.46500397527449044</v>
      </c>
      <c r="X13" s="45">
        <f>IF($H13="Ignore",0,$L13-$H$3*((SUMPRODUCT($P$52:$P$56,$I$52:$I$56)+SUMPRODUCT($Q$52:$Q$56,$L$52:$L$56))/5))</f>
        <v>0.47570840811058945</v>
      </c>
      <c r="Y13" s="45">
        <f>IF($H13="Ignore",0,$L13-$H$3*((SUMPRODUCT($P$52:$P$56,$J$52:$J$56)+SUMPRODUCT($Q$52:$Q$56,$M$52:$M$56))/5))</f>
        <v>0.61561139831918166</v>
      </c>
      <c r="Z13" s="45">
        <f>IF($H13="Ignore",0,N13-$H$3*((SUM($P$52:$P$56)))/5)</f>
        <v>0.39679384093813452</v>
      </c>
      <c r="AA13" s="46">
        <f t="shared" si="14"/>
        <v>0.37378734536621783</v>
      </c>
      <c r="AB13" s="47">
        <f t="shared" si="15"/>
        <v>-2.6262126546337821</v>
      </c>
      <c r="AC13" s="47">
        <f t="shared" si="16"/>
        <v>0.3</v>
      </c>
      <c r="AD13" s="47">
        <f t="shared" si="17"/>
        <v>0.39860420904839833</v>
      </c>
      <c r="AE13" s="47">
        <f t="shared" si="18"/>
        <v>0.60527588328760928</v>
      </c>
      <c r="AF13" s="98">
        <f t="shared" si="19"/>
        <v>7.1981569350594192</v>
      </c>
      <c r="AG13"/>
    </row>
    <row r="14" spans="1:33" s="53" customFormat="1" x14ac:dyDescent="0.25">
      <c r="A14"/>
      <c r="B14" s="97" t="s">
        <v>3</v>
      </c>
      <c r="C14" s="62" t="s">
        <v>11</v>
      </c>
      <c r="D14" s="62" t="str">
        <f t="shared" si="2"/>
        <v>user1-Khichdi</v>
      </c>
      <c r="E14" s="62" t="str">
        <f t="shared" si="3"/>
        <v>user1-Training</v>
      </c>
      <c r="F14" s="62" t="str">
        <f t="shared" si="4"/>
        <v>Khichdi-Training</v>
      </c>
      <c r="G14" s="42" t="s">
        <v>34</v>
      </c>
      <c r="H14" s="44" t="str">
        <f>IF($G14 = "Training",VLOOKUP($B14,test_training!B6:E6,4,0),"Ignore")</f>
        <v>Ignore</v>
      </c>
      <c r="I14" s="43">
        <f>IF($H14 = "Ignore",0,VLOOKUP(B14,Initialweight!$F:$I,2,0))</f>
        <v>0</v>
      </c>
      <c r="J14" s="43">
        <f>IF($H14 = "Ignore",0,VLOOKUP($B14,Initialweight!$F:$I,3,0))</f>
        <v>0</v>
      </c>
      <c r="K14" s="43">
        <f>IF($H14 = "Ignore",0,VLOOKUP($B14,Initialweight!$F:$I,4,0))</f>
        <v>0</v>
      </c>
      <c r="L14" s="45">
        <f>IF($H14 = "Ignore",0,VLOOKUP($C14,Initialweight!$K:$N,2,0))</f>
        <v>0</v>
      </c>
      <c r="M14" s="45">
        <f>IF($H14 = "Ignore",0,VLOOKUP($C14,Initialweight!$K:$N,3,0))</f>
        <v>0</v>
      </c>
      <c r="N14" s="45">
        <f>IF($H14 = "Ignore",0,VLOOKUP($C14,Initialweight!$K:$N,4,0))</f>
        <v>0</v>
      </c>
      <c r="O14" s="46">
        <f t="shared" si="5"/>
        <v>0</v>
      </c>
      <c r="P14" s="47">
        <f t="shared" si="6"/>
        <v>0</v>
      </c>
      <c r="Q14" s="47">
        <f t="shared" si="7"/>
        <v>0.3</v>
      </c>
      <c r="R14" s="47">
        <f t="shared" si="8"/>
        <v>0</v>
      </c>
      <c r="S14" s="47">
        <f t="shared" si="9"/>
        <v>0</v>
      </c>
      <c r="T14" s="47">
        <f t="shared" si="10"/>
        <v>0</v>
      </c>
      <c r="U14" s="43">
        <f t="shared" si="11"/>
        <v>0</v>
      </c>
      <c r="V14" s="43">
        <f t="shared" si="12"/>
        <v>0</v>
      </c>
      <c r="W14" s="43">
        <f t="shared" si="13"/>
        <v>0</v>
      </c>
      <c r="X14" s="45">
        <f>IF($H14="Ignore",0,$L14-$H$3*((SUMPRODUCT($P$57:$P$61,$I$57:$I$61)+SUMPRODUCT($Q$57:$Q$61,$L$57:$L$61))/5))</f>
        <v>0</v>
      </c>
      <c r="Y14" s="45">
        <f>IF($H14="Ignore",0,$L14-$H$3*((SUMPRODUCT($P$57:$P$61,$J$57:$J$61)+SUMPRODUCT($Q$57:$Q$61,$M$57:$M$61))/5))</f>
        <v>0</v>
      </c>
      <c r="Z14" s="45">
        <f>IF($H14="Ignore",0,N14-$H$3*((SUM($P$57:$P$61)))/5)</f>
        <v>0</v>
      </c>
      <c r="AA14" s="46">
        <f t="shared" si="14"/>
        <v>0</v>
      </c>
      <c r="AB14" s="47">
        <f t="shared" si="15"/>
        <v>0</v>
      </c>
      <c r="AC14" s="47">
        <f t="shared" si="16"/>
        <v>0.3</v>
      </c>
      <c r="AD14" s="47">
        <f t="shared" si="17"/>
        <v>0</v>
      </c>
      <c r="AE14" s="47">
        <f t="shared" si="18"/>
        <v>0</v>
      </c>
      <c r="AF14" s="98">
        <f t="shared" si="19"/>
        <v>0</v>
      </c>
      <c r="AG14"/>
    </row>
    <row r="15" spans="1:33" s="53" customFormat="1" x14ac:dyDescent="0.25">
      <c r="A15"/>
      <c r="B15" s="97" t="s">
        <v>3</v>
      </c>
      <c r="C15" s="62" t="s">
        <v>12</v>
      </c>
      <c r="D15" s="62" t="str">
        <f t="shared" si="2"/>
        <v>user1-Biryani</v>
      </c>
      <c r="E15" s="62" t="str">
        <f t="shared" si="3"/>
        <v>user1-Training</v>
      </c>
      <c r="F15" s="62" t="str">
        <f t="shared" si="4"/>
        <v>Biryani-Training</v>
      </c>
      <c r="G15" s="42" t="s">
        <v>35</v>
      </c>
      <c r="H15" s="44">
        <f>IF($G15 = "Training",VLOOKUP($B15,test_training!B7:E7,4,0),"Ignore")</f>
        <v>5</v>
      </c>
      <c r="I15" s="43">
        <f>IF($H15 = "Ignore",0,VLOOKUP(B15,Initialweight!$F:$I,2,0))</f>
        <v>-0.65855041801030101</v>
      </c>
      <c r="J15" s="43">
        <f>IF($H15 = "Ignore",0,VLOOKUP($B15,Initialweight!$F:$I,3,0))</f>
        <v>-0.55591097208679596</v>
      </c>
      <c r="K15" s="43">
        <f>IF($H15 = "Ignore",0,VLOOKUP($B15,Initialweight!$F:$I,4,0))</f>
        <v>0.1</v>
      </c>
      <c r="L15" s="45">
        <f>IF($H15 = "Ignore",0,VLOOKUP($C15,Initialweight!$K:$N,2,0))</f>
        <v>0.72572398734242127</v>
      </c>
      <c r="M15" s="45">
        <f>IF($H15 = "Ignore",0,VLOOKUP($C15,Initialweight!$K:$N,3,0))</f>
        <v>-0.6249363825980645</v>
      </c>
      <c r="N15" s="45">
        <f>IF($H15 = "Ignore",0,VLOOKUP($C15,Initialweight!$K:$N,4,0))</f>
        <v>0.1</v>
      </c>
      <c r="O15" s="46">
        <f t="shared" si="5"/>
        <v>6.948315671804195E-2</v>
      </c>
      <c r="P15" s="47">
        <f t="shared" si="6"/>
        <v>-4.9305168432819579</v>
      </c>
      <c r="Q15" s="47">
        <f t="shared" si="7"/>
        <v>0.3</v>
      </c>
      <c r="R15" s="47">
        <f t="shared" si="8"/>
        <v>0.74272566194802869</v>
      </c>
      <c r="S15" s="47">
        <f t="shared" si="9"/>
        <v>0.91722078809893737</v>
      </c>
      <c r="T15" s="47">
        <f t="shared" si="10"/>
        <v>24.807980276901169</v>
      </c>
      <c r="U15" s="43">
        <f t="shared" si="11"/>
        <v>-0.44027669024076999</v>
      </c>
      <c r="V15" s="43">
        <f t="shared" si="12"/>
        <v>-0.45250485641485816</v>
      </c>
      <c r="W15" s="43">
        <f t="shared" si="13"/>
        <v>0.46500397527449044</v>
      </c>
      <c r="X15" s="45">
        <f>IF($H15="Ignore",0,$L15-$H$3*((SUMPRODUCT($P$62:$P$66,$I$62:$I$66)+SUMPRODUCT($Q$62:$Q$66,$L$62:$L$66))/5))</f>
        <v>0.692555421427832</v>
      </c>
      <c r="Y15" s="45">
        <f>IF($H15="Ignore",0,$L15-$H$3*((SUMPRODUCT($P$62:$P$66,$J$62:$J$66)+SUMPRODUCT($Q$62:$Q$66,$M$62:$M$66))/5))</f>
        <v>0.91807206643385819</v>
      </c>
      <c r="Z15" s="45">
        <f>IF($H15="Ignore",0,N15-$H$3*((SUM($P$62:$P$66)))/5)</f>
        <v>0.42073468683411752</v>
      </c>
      <c r="AA15" s="46">
        <f t="shared" si="14"/>
        <v>0.16539058475391533</v>
      </c>
      <c r="AB15" s="47">
        <f t="shared" si="15"/>
        <v>-4.834609415246085</v>
      </c>
      <c r="AC15" s="47">
        <f t="shared" si="16"/>
        <v>0.3</v>
      </c>
      <c r="AD15" s="47">
        <f t="shared" si="17"/>
        <v>0.39860420904839833</v>
      </c>
      <c r="AE15" s="47">
        <f t="shared" si="18"/>
        <v>1.3224893309152166</v>
      </c>
      <c r="AF15" s="98">
        <f t="shared" si="19"/>
        <v>23.889776259975175</v>
      </c>
      <c r="AG15"/>
    </row>
    <row r="16" spans="1:33" s="53" customFormat="1" ht="15" customHeight="1" x14ac:dyDescent="0.25">
      <c r="A16" s="111"/>
      <c r="B16" s="130" t="s">
        <v>3</v>
      </c>
      <c r="C16" s="63" t="s">
        <v>13</v>
      </c>
      <c r="D16" s="63" t="str">
        <f t="shared" si="2"/>
        <v>user1-Fruit Salad</v>
      </c>
      <c r="E16" s="63" t="str">
        <f t="shared" si="3"/>
        <v>user1-Training</v>
      </c>
      <c r="F16" s="63" t="str">
        <f t="shared" si="4"/>
        <v>Fruit Salad-Training</v>
      </c>
      <c r="G16" s="48" t="s">
        <v>35</v>
      </c>
      <c r="H16" s="64">
        <f>IF($G16 = "Training",VLOOKUP($B16,test_training!B8:E8,4,0),"Ignore")</f>
        <v>1.5</v>
      </c>
      <c r="I16" s="49">
        <f>IF($H16 = "Ignore",0,VLOOKUP(B16,Initialweight!$F:$I,2,0))</f>
        <v>-0.65855041801030101</v>
      </c>
      <c r="J16" s="49">
        <f>IF($H16 = "Ignore",0,VLOOKUP($B16,Initialweight!$F:$I,3,0))</f>
        <v>-0.55591097208679596</v>
      </c>
      <c r="K16" s="49">
        <f>IF($H16 = "Ignore",0,VLOOKUP($B16,Initialweight!$F:$I,4,0))</f>
        <v>0.1</v>
      </c>
      <c r="L16" s="65">
        <f>IF($H16 = "Ignore",0,VLOOKUP($C16,Initialweight!$K:$N,2,0))</f>
        <v>1.0692803455337927</v>
      </c>
      <c r="M16" s="65">
        <f>IF($H16 = "Ignore",0,VLOOKUP($C16,Initialweight!$K:$N,3,0))</f>
        <v>0.63717442611924779</v>
      </c>
      <c r="N16" s="65">
        <f>IF($H16 = "Ignore",0,VLOOKUP($C16,Initialweight!$K:$N,4,0))</f>
        <v>0.1</v>
      </c>
      <c r="O16" s="95">
        <f t="shared" si="5"/>
        <v>-0.85838727313427565</v>
      </c>
      <c r="P16" s="96">
        <f t="shared" si="6"/>
        <v>-2.3583872731342757</v>
      </c>
      <c r="Q16" s="96">
        <f t="shared" si="7"/>
        <v>0.3</v>
      </c>
      <c r="R16" s="96">
        <f t="shared" si="8"/>
        <v>0.74272566194802869</v>
      </c>
      <c r="S16" s="96">
        <f t="shared" si="9"/>
        <v>1.5493517066452598</v>
      </c>
      <c r="T16" s="96">
        <f t="shared" si="10"/>
        <v>6.2496137406597114</v>
      </c>
      <c r="U16" s="49">
        <f t="shared" si="11"/>
        <v>-0.44027669024076999</v>
      </c>
      <c r="V16" s="49">
        <f t="shared" si="12"/>
        <v>-0.45250485641485816</v>
      </c>
      <c r="W16" s="43">
        <f t="shared" si="13"/>
        <v>0.46500397527449044</v>
      </c>
      <c r="X16" s="65">
        <f>IF($H16="Ignore",0,$L16-$H$3*((SUMPRODUCT($P$67:$P$71,$I$67:$I$71)+SUMPRODUCT($Q$67:$Q$71,$L$67:$L$71))/5))</f>
        <v>0.92487251678154836</v>
      </c>
      <c r="Y16" s="65">
        <f>IF($H16="Ignore",0,$L16-$H$3*((SUMPRODUCT($P$67:$P$71,$J$67:$J$71)+SUMPRODUCT($Q$67:$Q$71,$M$67:$M$71))/5))</f>
        <v>1.1010518580241582</v>
      </c>
      <c r="Z16" s="45">
        <f>IF($H16="Ignore",0,N16-$H$3*((SUM($P$67:$P$71)))/5)</f>
        <v>0.39031069877657565</v>
      </c>
      <c r="AA16" s="95">
        <f t="shared" si="14"/>
        <v>-5.0116449452699441E-2</v>
      </c>
      <c r="AB16" s="96">
        <f t="shared" si="15"/>
        <v>-1.5501164494526996</v>
      </c>
      <c r="AC16" s="96">
        <f t="shared" si="16"/>
        <v>0.3</v>
      </c>
      <c r="AD16" s="96">
        <f t="shared" si="17"/>
        <v>0.39860420904839833</v>
      </c>
      <c r="AE16" s="96">
        <f t="shared" si="18"/>
        <v>2.0677043663562862</v>
      </c>
      <c r="AF16" s="131">
        <f t="shared" si="19"/>
        <v>3.1427535794852495</v>
      </c>
    </row>
    <row r="17" spans="1:33" s="53" customFormat="1" x14ac:dyDescent="0.25">
      <c r="A17"/>
      <c r="B17" s="97" t="s">
        <v>4</v>
      </c>
      <c r="C17" s="62" t="s">
        <v>8</v>
      </c>
      <c r="D17" s="62" t="str">
        <f t="shared" si="2"/>
        <v>user2-Aloo Paratha</v>
      </c>
      <c r="E17" s="62" t="str">
        <f t="shared" si="3"/>
        <v>user2-Training</v>
      </c>
      <c r="F17" s="62" t="str">
        <f t="shared" si="4"/>
        <v>Aloo Paratha-Training</v>
      </c>
      <c r="G17" s="42" t="s">
        <v>35</v>
      </c>
      <c r="H17" s="44">
        <f>IF($G17 = "Training",VLOOKUP($B17,test_training!B9:E9,4,0),"Ignore")</f>
        <v>4</v>
      </c>
      <c r="I17" s="43">
        <f>IF($H17 = "Ignore",0,VLOOKUP(B17,Initialweight!$F:$I,2,0))</f>
        <v>1.1003686519786173</v>
      </c>
      <c r="J17" s="43">
        <f>IF($H17 = "Ignore",0,VLOOKUP($B17,Initialweight!$F:$I,3,0))</f>
        <v>1.1491812482100716</v>
      </c>
      <c r="K17" s="43">
        <f>IF($H17 = "Ignore",0,VLOOKUP($B17,Initialweight!$F:$I,4,0))</f>
        <v>0.1</v>
      </c>
      <c r="L17" s="45">
        <f>IF($H17 = "Ignore",0,VLOOKUP($C17,Initialweight!$K:$N,2,0))</f>
        <v>0.56298525725053339</v>
      </c>
      <c r="M17" s="45">
        <f>IF($H17 = "Ignore",0,VLOOKUP($C17,Initialweight!$K:$N,3,0))</f>
        <v>-0.14020780478012193</v>
      </c>
      <c r="N17" s="45">
        <f>IF($H17 = "Ignore",0,VLOOKUP($C17,Initialweight!$K:$N,4,0))</f>
        <v>0.1</v>
      </c>
      <c r="O17" s="46">
        <f t="shared" si="5"/>
        <v>0.6583671484985899</v>
      </c>
      <c r="P17" s="47">
        <f t="shared" si="6"/>
        <v>-3.34163285150141</v>
      </c>
      <c r="Q17" s="47">
        <f t="shared" si="7"/>
        <v>0.3</v>
      </c>
      <c r="R17" s="47">
        <f t="shared" si="8"/>
        <v>2.5314287114948977</v>
      </c>
      <c r="S17" s="47">
        <f t="shared" si="9"/>
        <v>0.33661062840271</v>
      </c>
      <c r="T17" s="47">
        <f t="shared" si="10"/>
        <v>12.026921916202726</v>
      </c>
      <c r="U17" s="43">
        <f>IF($H17="Ignore",0,$I17-$H$3*((SUMPRODUCT($P$17:$P$22,$L$17:$L$22)+SUMPRODUCT($Q$17:$Q$22,$I$17:$I$22))/5))</f>
        <v>1.1708869077388366</v>
      </c>
      <c r="V17" s="43">
        <f>IF($H17="Ignore",0,$I17-$H$3*((SUMPRODUCT($P$17:$P$22,$M$17:$M$22)+SUMPRODUCT($Q$17:$Q$22,$J$17:$J$22))/5))</f>
        <v>1.1283531745750053</v>
      </c>
      <c r="W17" s="43">
        <f>IF($H17="Ignore",0,$K17-$H$3*((SUM($P$17:$P$22))/5))</f>
        <v>0.39010677999423105</v>
      </c>
      <c r="X17" s="45">
        <f>IF($H17="Ignore",0,L17-$H$3*((SUMPRODUCT($P$42:$P$46,$I$42:$I$46)+SUMPRODUCT($Q$42:$Q$46,$L$42:$L$46))/5))</f>
        <v>0.5179108468478516</v>
      </c>
      <c r="Y17" s="45">
        <f>IF($H17="Ignore",0,$L17-$H$3*((SUMPRODUCT($P$42:$P$46,$J$42:$J$46)+SUMPRODUCT($Q$42:$Q$46,$M$42:$M$46))/5))</f>
        <v>0.66548807659841303</v>
      </c>
      <c r="Z17" s="45">
        <f>IF($H17="Ignore",0,N17-$H$3*((SUM($P$42:$P$46)))/5)</f>
        <v>0.41110574287906165</v>
      </c>
      <c r="AA17" s="46">
        <f t="shared" si="14"/>
        <v>2.1585331366950093</v>
      </c>
      <c r="AB17" s="47">
        <f t="shared" si="15"/>
        <v>-1.8414668633049907</v>
      </c>
      <c r="AC17" s="47">
        <f t="shared" si="16"/>
        <v>0.3</v>
      </c>
      <c r="AD17" s="47">
        <f t="shared" si="17"/>
        <v>2.644157037287707</v>
      </c>
      <c r="AE17" s="47">
        <f t="shared" si="18"/>
        <v>0.71110602537731404</v>
      </c>
      <c r="AF17" s="110">
        <f t="shared" si="19"/>
        <v>4.397579127449827</v>
      </c>
      <c r="AG17" s="112"/>
    </row>
    <row r="18" spans="1:33" s="53" customFormat="1" x14ac:dyDescent="0.25">
      <c r="A18"/>
      <c r="B18" s="97" t="s">
        <v>4</v>
      </c>
      <c r="C18" s="62" t="s">
        <v>9</v>
      </c>
      <c r="D18" s="62" t="str">
        <f t="shared" si="2"/>
        <v>user2-Tandoori Chicken</v>
      </c>
      <c r="E18" s="62" t="str">
        <f t="shared" si="3"/>
        <v>user2-Training</v>
      </c>
      <c r="F18" s="62" t="str">
        <f t="shared" si="4"/>
        <v>Tandoori Chicken-Training</v>
      </c>
      <c r="G18" s="42" t="s">
        <v>35</v>
      </c>
      <c r="H18" s="44">
        <f>IF($G18 = "Training",VLOOKUP($B18,test_training!B10:E10,4,0),"Ignore")</f>
        <v>5</v>
      </c>
      <c r="I18" s="43">
        <f>IF($H18 = "Ignore",0,VLOOKUP(B18,Initialweight!$F:$I,2,0))</f>
        <v>1.1003686519786173</v>
      </c>
      <c r="J18" s="43">
        <f>IF($H18 = "Ignore",0,VLOOKUP($B18,Initialweight!$F:$I,3,0))</f>
        <v>1.1491812482100716</v>
      </c>
      <c r="K18" s="43">
        <f>IF($H18 = "Ignore",0,VLOOKUP($B18,Initialweight!$F:$I,4,0))</f>
        <v>0.1</v>
      </c>
      <c r="L18" s="45">
        <f>IF($H18 = "Ignore",0,VLOOKUP($C18,Initialweight!$K:$N,2,0))</f>
        <v>-1.6865310697866495E-2</v>
      </c>
      <c r="M18" s="45">
        <f>IF($H18 = "Ignore",0,VLOOKUP($C18,Initialweight!$K:$N,3,0))</f>
        <v>0.95458588500479291</v>
      </c>
      <c r="N18" s="45">
        <f>IF($H18 = "Ignore",0,VLOOKUP($C18,Initialweight!$K:$N,4,0))</f>
        <v>0.1</v>
      </c>
      <c r="O18" s="46">
        <f t="shared" si="5"/>
        <v>1.2784341396557122</v>
      </c>
      <c r="P18" s="47">
        <f t="shared" si="6"/>
        <v>-3.7215658603442878</v>
      </c>
      <c r="Q18" s="47">
        <f t="shared" si="7"/>
        <v>0.3</v>
      </c>
      <c r="R18" s="47">
        <f t="shared" si="8"/>
        <v>2.5314287114948977</v>
      </c>
      <c r="S18" s="47">
        <f t="shared" si="9"/>
        <v>0.91151865055531922</v>
      </c>
      <c r="T18" s="47">
        <f t="shared" si="10"/>
        <v>14.882936661495183</v>
      </c>
      <c r="U18" s="43">
        <f t="shared" ref="U18:U22" si="20">IF($H18="Ignore",0,$I18-$H$3*((SUMPRODUCT($P$17:$P$22,$L$17:$L$22)+SUMPRODUCT($Q$17:$Q$22,$I$17:$I$22))/5))</f>
        <v>1.1708869077388366</v>
      </c>
      <c r="V18" s="43">
        <f t="shared" ref="V18:V22" si="21">IF($H18="Ignore",0,$I18-$H$3*((SUMPRODUCT($P$17:$P$22,$M$17:$M$22)+SUMPRODUCT($Q$17:$Q$22,$J$17:$J$22))/5))</f>
        <v>1.1283531745750053</v>
      </c>
      <c r="W18" s="43">
        <f t="shared" ref="W18:W40" si="22">IF($H18="Ignore",0,$K18-$H$3*((SUM($P$17:$P$22))/5))</f>
        <v>0.39010677999423105</v>
      </c>
      <c r="X18" s="45">
        <f>IF($H18="Ignore",0,$L18-$H$3*((SUMPRODUCT($P$47:$P$51,$I$47:$I$51)+SUMPRODUCT($Q$47:$Q$51,$L$47:$L$51))/5))</f>
        <v>-6.9037757170058639E-2</v>
      </c>
      <c r="Y18" s="45">
        <f>IF($H18="Ignore",0,$L18-$H$3*((SUMPRODUCT($P$47:$P$51,$J$47:$J$51)+SUMPRODUCT($Q$47:$Q$51,$M$47:$M$51))/5))</f>
        <v>-6.5134530548967784E-2</v>
      </c>
      <c r="Z18" s="45">
        <f>IF($H18="Ignore",0,N18-$H$3*((SUM($P$47:$P$51)))/5)</f>
        <v>0.38167583004248373</v>
      </c>
      <c r="AA18" s="46">
        <f t="shared" si="14"/>
        <v>0.61745244970725965</v>
      </c>
      <c r="AB18" s="47">
        <f t="shared" si="15"/>
        <v>-4.38254755029274</v>
      </c>
      <c r="AC18" s="47">
        <f t="shared" si="16"/>
        <v>0.3</v>
      </c>
      <c r="AD18" s="47">
        <f t="shared" si="17"/>
        <v>2.644157037287707</v>
      </c>
      <c r="AE18" s="47">
        <f t="shared" si="18"/>
        <v>9.0087189849064001E-3</v>
      </c>
      <c r="AF18" s="98">
        <f t="shared" si="19"/>
        <v>20.002672757458679</v>
      </c>
      <c r="AG18"/>
    </row>
    <row r="19" spans="1:33" s="53" customFormat="1" x14ac:dyDescent="0.25">
      <c r="A19"/>
      <c r="B19" s="97" t="s">
        <v>4</v>
      </c>
      <c r="C19" s="62" t="s">
        <v>10</v>
      </c>
      <c r="D19" s="62" t="str">
        <f t="shared" si="2"/>
        <v>user2-Vegetable Soup</v>
      </c>
      <c r="E19" s="62" t="str">
        <f t="shared" si="3"/>
        <v>user2-Training</v>
      </c>
      <c r="F19" s="62" t="str">
        <f t="shared" si="4"/>
        <v>Vegetable Soup-Training</v>
      </c>
      <c r="G19" s="42" t="s">
        <v>34</v>
      </c>
      <c r="H19" s="44" t="str">
        <f>IF($G19 = "Training",VLOOKUP($B19,test_training!B11:E11,4,0),"Ignore")</f>
        <v>Ignore</v>
      </c>
      <c r="I19" s="43">
        <f>IF($H19 = "Ignore",0,VLOOKUP(B19,Initialweight!$F:$I,2,0))</f>
        <v>0</v>
      </c>
      <c r="J19" s="43">
        <f>IF($H19 = "Ignore",0,VLOOKUP($B19,Initialweight!$F:$I,3,0))</f>
        <v>0</v>
      </c>
      <c r="K19" s="43">
        <f>IF($H19 = "Ignore",0,VLOOKUP($B19,Initialweight!$F:$I,4,0))</f>
        <v>0</v>
      </c>
      <c r="L19" s="45">
        <f>IF($H19 = "Ignore",0,VLOOKUP($C19,Initialweight!$K:$N,2,0))</f>
        <v>0</v>
      </c>
      <c r="M19" s="45">
        <f>IF($H19 = "Ignore",0,VLOOKUP($C19,Initialweight!$K:$N,3,0))</f>
        <v>0</v>
      </c>
      <c r="N19" s="45">
        <f>IF($H19 = "Ignore",0,VLOOKUP($C19,Initialweight!$K:$N,4,0))</f>
        <v>0</v>
      </c>
      <c r="O19" s="46">
        <f t="shared" si="5"/>
        <v>0</v>
      </c>
      <c r="P19" s="47">
        <f t="shared" si="6"/>
        <v>0</v>
      </c>
      <c r="Q19" s="47">
        <f t="shared" si="7"/>
        <v>0.3</v>
      </c>
      <c r="R19" s="47">
        <f t="shared" si="8"/>
        <v>0</v>
      </c>
      <c r="S19" s="47">
        <f t="shared" si="9"/>
        <v>0</v>
      </c>
      <c r="T19" s="47">
        <f t="shared" si="10"/>
        <v>0</v>
      </c>
      <c r="U19" s="43">
        <f t="shared" si="20"/>
        <v>0</v>
      </c>
      <c r="V19" s="43">
        <f t="shared" si="21"/>
        <v>0</v>
      </c>
      <c r="W19" s="43">
        <f t="shared" si="22"/>
        <v>0</v>
      </c>
      <c r="X19" s="45">
        <f>IF($H19="Ignore",0,$L19-$H$3*((SUMPRODUCT($P$52:$P$56,$I$52:$I$56)+SUMPRODUCT($Q$52:$Q$56,$L$52:$L$56))/5))</f>
        <v>0</v>
      </c>
      <c r="Y19" s="45">
        <f>IF($H19="Ignore",0,$L19-$H$3*((SUMPRODUCT($P$52:$P$56,$J$52:$J$56)+SUMPRODUCT($Q$52:$Q$56,$M$52:$M$56))/5))</f>
        <v>0</v>
      </c>
      <c r="Z19" s="45">
        <f>IF($H19="Ignore",0,N19-$H$3*((SUM($P$52:$P$56)))/5)</f>
        <v>0</v>
      </c>
      <c r="AA19" s="46">
        <f t="shared" si="14"/>
        <v>0</v>
      </c>
      <c r="AB19" s="47">
        <f t="shared" si="15"/>
        <v>0</v>
      </c>
      <c r="AC19" s="47">
        <f t="shared" si="16"/>
        <v>0.3</v>
      </c>
      <c r="AD19" s="47">
        <f t="shared" si="17"/>
        <v>0</v>
      </c>
      <c r="AE19" s="47">
        <f t="shared" si="18"/>
        <v>0</v>
      </c>
      <c r="AF19" s="98">
        <f t="shared" si="19"/>
        <v>0</v>
      </c>
      <c r="AG19"/>
    </row>
    <row r="20" spans="1:33" s="53" customFormat="1" x14ac:dyDescent="0.25">
      <c r="A20"/>
      <c r="B20" s="97" t="s">
        <v>4</v>
      </c>
      <c r="C20" s="62" t="s">
        <v>11</v>
      </c>
      <c r="D20" s="62" t="str">
        <f t="shared" si="2"/>
        <v>user2-Khichdi</v>
      </c>
      <c r="E20" s="62" t="str">
        <f t="shared" si="3"/>
        <v>user2-Training</v>
      </c>
      <c r="F20" s="62" t="str">
        <f t="shared" si="4"/>
        <v>Khichdi-Training</v>
      </c>
      <c r="G20" s="42" t="s">
        <v>35</v>
      </c>
      <c r="H20" s="44">
        <f>IF($G20 = "Training",VLOOKUP($B20,test_training!B12:E12,4,0),"Ignore")</f>
        <v>3</v>
      </c>
      <c r="I20" s="43">
        <f>IF($H20 = "Ignore",0,VLOOKUP(B20,Initialweight!$F:$I,2,0))</f>
        <v>1.1003686519786173</v>
      </c>
      <c r="J20" s="43">
        <f>IF($H20 = "Ignore",0,VLOOKUP($B20,Initialweight!$F:$I,3,0))</f>
        <v>1.1491812482100716</v>
      </c>
      <c r="K20" s="43">
        <f>IF($H20 = "Ignore",0,VLOOKUP($B20,Initialweight!$F:$I,4,0))</f>
        <v>0.1</v>
      </c>
      <c r="L20" s="45">
        <f>IF($H20 = "Ignore",0,VLOOKUP($C20,Initialweight!$K:$N,2,0))</f>
        <v>-0.22530717587291313</v>
      </c>
      <c r="M20" s="45">
        <f>IF($H20 = "Ignore",0,VLOOKUP($C20,Initialweight!$K:$N,3,0))</f>
        <v>0.18843888870943978</v>
      </c>
      <c r="N20" s="45">
        <f>IF($H20 = "Ignore",0,VLOOKUP($C20,Initialweight!$K:$N,4,0))</f>
        <v>0.1</v>
      </c>
      <c r="O20" s="46">
        <f t="shared" si="5"/>
        <v>0.16862948394204613</v>
      </c>
      <c r="P20" s="47">
        <f t="shared" si="6"/>
        <v>-2.8313705160579539</v>
      </c>
      <c r="Q20" s="47">
        <f t="shared" si="7"/>
        <v>0.3</v>
      </c>
      <c r="R20" s="47">
        <f t="shared" si="8"/>
        <v>2.5314287114948977</v>
      </c>
      <c r="S20" s="47">
        <f t="shared" si="9"/>
        <v>8.627253827787644E-2</v>
      </c>
      <c r="T20" s="47">
        <f t="shared" si="10"/>
        <v>8.8019693741341154</v>
      </c>
      <c r="U20" s="43">
        <f t="shared" si="20"/>
        <v>1.1708869077388366</v>
      </c>
      <c r="V20" s="43">
        <f t="shared" si="21"/>
        <v>1.1283531745750053</v>
      </c>
      <c r="W20" s="43">
        <f t="shared" si="22"/>
        <v>0.39010677999423105</v>
      </c>
      <c r="X20" s="45">
        <f>IF($H20="Ignore",0,$L20-$H$3*((SUMPRODUCT($P$57:$P$61,$I$57:$I$61)+SUMPRODUCT($Q$57:$Q$61,$L$57:$L$61))/5))</f>
        <v>-0.2522270011183807</v>
      </c>
      <c r="Y20" s="45">
        <f>IF($H20="Ignore",0,$L20-$H$3*((SUMPRODUCT($P$57:$P$61,$J$57:$J$61)+SUMPRODUCT($Q$57:$Q$61,$M$57:$M$61))/5))</f>
        <v>-0.11448405975899148</v>
      </c>
      <c r="Z20" s="45">
        <f>IF($H20="Ignore",0,N20-$H$3*((SUM($P$57:$P$61)))/5)</f>
        <v>0.36583990059786542</v>
      </c>
      <c r="AA20" s="46">
        <f t="shared" si="14"/>
        <v>0.33143893493706289</v>
      </c>
      <c r="AB20" s="47">
        <f t="shared" si="15"/>
        <v>-2.6685610650629372</v>
      </c>
      <c r="AC20" s="47">
        <f t="shared" si="16"/>
        <v>0.3</v>
      </c>
      <c r="AD20" s="47">
        <f t="shared" si="17"/>
        <v>2.644157037287707</v>
      </c>
      <c r="AE20" s="47">
        <f t="shared" si="18"/>
        <v>7.6725060032071954E-2</v>
      </c>
      <c r="AF20" s="98">
        <f t="shared" si="19"/>
        <v>7.9374827871657709</v>
      </c>
      <c r="AG20"/>
    </row>
    <row r="21" spans="1:33" s="53" customFormat="1" x14ac:dyDescent="0.25">
      <c r="A21"/>
      <c r="B21" s="97" t="s">
        <v>4</v>
      </c>
      <c r="C21" s="62" t="s">
        <v>12</v>
      </c>
      <c r="D21" s="62" t="str">
        <f t="shared" si="2"/>
        <v>user2-Biryani</v>
      </c>
      <c r="E21" s="62" t="str">
        <f t="shared" si="3"/>
        <v>user2-Training</v>
      </c>
      <c r="F21" s="62" t="str">
        <f t="shared" si="4"/>
        <v>Biryani-Training</v>
      </c>
      <c r="G21" s="42" t="s">
        <v>35</v>
      </c>
      <c r="H21" s="44">
        <f>IF($G21 = "Training",VLOOKUP($B21,test_training!B13:E13,4,0),"Ignore")</f>
        <v>3</v>
      </c>
      <c r="I21" s="43">
        <f>IF($H21 = "Ignore",0,VLOOKUP(B21,Initialweight!$F:$I,2,0))</f>
        <v>1.1003686519786173</v>
      </c>
      <c r="J21" s="43">
        <f>IF($H21 = "Ignore",0,VLOOKUP($B21,Initialweight!$F:$I,3,0))</f>
        <v>1.1491812482100716</v>
      </c>
      <c r="K21" s="43">
        <f>IF($H21 = "Ignore",0,VLOOKUP($B21,Initialweight!$F:$I,4,0))</f>
        <v>0.1</v>
      </c>
      <c r="L21" s="45">
        <f>IF($H21 = "Ignore",0,VLOOKUP($C21,Initialweight!$K:$N,2,0))</f>
        <v>0.72572398734242127</v>
      </c>
      <c r="M21" s="45">
        <f>IF($H21 = "Ignore",0,VLOOKUP($C21,Initialweight!$K:$N,3,0))</f>
        <v>-0.6249363825980645</v>
      </c>
      <c r="N21" s="45">
        <f>IF($H21 = "Ignore",0,VLOOKUP($C21,Initialweight!$K:$N,4,0))</f>
        <v>0.1</v>
      </c>
      <c r="O21" s="46">
        <f t="shared" si="5"/>
        <v>0.28039875345459658</v>
      </c>
      <c r="P21" s="47">
        <f t="shared" si="6"/>
        <v>-2.7196012465454036</v>
      </c>
      <c r="Q21" s="47">
        <f t="shared" si="7"/>
        <v>0.3</v>
      </c>
      <c r="R21" s="47">
        <f t="shared" si="8"/>
        <v>2.5314287114948977</v>
      </c>
      <c r="S21" s="47">
        <f t="shared" si="9"/>
        <v>0.91722078809893737</v>
      </c>
      <c r="T21" s="47">
        <f t="shared" si="10"/>
        <v>8.4308257900894645</v>
      </c>
      <c r="U21" s="43">
        <f t="shared" si="20"/>
        <v>1.1708869077388366</v>
      </c>
      <c r="V21" s="43">
        <f t="shared" si="21"/>
        <v>1.1283531745750053</v>
      </c>
      <c r="W21" s="43">
        <f t="shared" si="22"/>
        <v>0.39010677999423105</v>
      </c>
      <c r="X21" s="45">
        <f>IF($H21="Ignore",0,$L21-$H$3*((SUMPRODUCT($P$62:$P$66,$I$62:$I$66)+SUMPRODUCT($Q$62:$Q$66,$L$62:$L$66))/5))</f>
        <v>0.692555421427832</v>
      </c>
      <c r="Y21" s="45">
        <f>IF($H21="Ignore",0,$L21-$H$3*((SUMPRODUCT($P$62:$P$66,$J$62:$J$66)+SUMPRODUCT($Q$62:$Q$66,$M$62:$M$66))/5))</f>
        <v>0.91807206643385819</v>
      </c>
      <c r="Z21" s="45">
        <f>IF($H21="Ignore",0,N21-$H$3*((SUM($P$62:$P$66)))/5)</f>
        <v>0.42073468683411752</v>
      </c>
      <c r="AA21" s="46">
        <f t="shared" si="14"/>
        <v>2.6576550733110289</v>
      </c>
      <c r="AB21" s="47">
        <f t="shared" si="15"/>
        <v>-0.3423449266889711</v>
      </c>
      <c r="AC21" s="47">
        <f t="shared" si="16"/>
        <v>0.3</v>
      </c>
      <c r="AD21" s="47">
        <f t="shared" si="17"/>
        <v>2.644157037287707</v>
      </c>
      <c r="AE21" s="47">
        <f t="shared" si="18"/>
        <v>1.3224893309152166</v>
      </c>
      <c r="AF21" s="98">
        <f t="shared" si="19"/>
        <v>1.3071939592905542</v>
      </c>
      <c r="AG21"/>
    </row>
    <row r="22" spans="1:33" s="53" customFormat="1" x14ac:dyDescent="0.25">
      <c r="A22" s="111"/>
      <c r="B22" s="130" t="s">
        <v>4</v>
      </c>
      <c r="C22" s="63" t="s">
        <v>13</v>
      </c>
      <c r="D22" s="63" t="str">
        <f t="shared" si="2"/>
        <v>user2-Fruit Salad</v>
      </c>
      <c r="E22" s="63" t="str">
        <f t="shared" si="3"/>
        <v>user2-Training</v>
      </c>
      <c r="F22" s="63" t="str">
        <f t="shared" si="4"/>
        <v>Fruit Salad-Training</v>
      </c>
      <c r="G22" s="48" t="s">
        <v>35</v>
      </c>
      <c r="H22" s="64">
        <f>IF($G22 = "Training",VLOOKUP($B22,test_training!B14:E14,4,0),"Ignore")</f>
        <v>4</v>
      </c>
      <c r="I22" s="49">
        <f>IF($H22 = "Ignore",0,VLOOKUP(B22,Initialweight!$F:$I,2,0))</f>
        <v>1.1003686519786173</v>
      </c>
      <c r="J22" s="49">
        <f>IF($H22 = "Ignore",0,VLOOKUP($B22,Initialweight!$F:$I,3,0))</f>
        <v>1.1491812482100716</v>
      </c>
      <c r="K22" s="49">
        <f>IF($H22 = "Ignore",0,VLOOKUP($B22,Initialweight!$F:$I,4,0))</f>
        <v>0.1</v>
      </c>
      <c r="L22" s="65">
        <f>IF($H22 = "Ignore",0,VLOOKUP($C22,Initialweight!$K:$N,2,0))</f>
        <v>1.0692803455337927</v>
      </c>
      <c r="M22" s="65">
        <f>IF($H22 = "Ignore",0,VLOOKUP($C22,Initialweight!$K:$N,3,0))</f>
        <v>0.63717442611924779</v>
      </c>
      <c r="N22" s="65">
        <f>IF($H22 = "Ignore",0,VLOOKUP($C22,Initialweight!$K:$N,4,0))</f>
        <v>0.1</v>
      </c>
      <c r="O22" s="95">
        <f t="shared" si="5"/>
        <v>2.108831474737503</v>
      </c>
      <c r="P22" s="96">
        <f t="shared" si="6"/>
        <v>-1.891168525262497</v>
      </c>
      <c r="Q22" s="96">
        <f t="shared" si="7"/>
        <v>0.3</v>
      </c>
      <c r="R22" s="96">
        <f t="shared" si="8"/>
        <v>2.5314287114948977</v>
      </c>
      <c r="S22" s="96">
        <f t="shared" si="9"/>
        <v>1.5493517066452598</v>
      </c>
      <c r="T22" s="96">
        <f t="shared" si="10"/>
        <v>4.8007525163855753</v>
      </c>
      <c r="U22" s="49">
        <f t="shared" si="20"/>
        <v>1.1708869077388366</v>
      </c>
      <c r="V22" s="49">
        <f t="shared" si="21"/>
        <v>1.1283531745750053</v>
      </c>
      <c r="W22" s="43">
        <f t="shared" si="22"/>
        <v>0.39010677999423105</v>
      </c>
      <c r="X22" s="65">
        <f>IF($H22="Ignore",0,$L22-$H$3*((SUMPRODUCT($P$67:$P$71,$I$67:$I$71)+SUMPRODUCT($Q$67:$Q$71,$L$67:$L$71))/5))</f>
        <v>0.92487251678154836</v>
      </c>
      <c r="Y22" s="65">
        <f>IF($H22="Ignore",0,$L22-$H$3*((SUMPRODUCT($P$67:$P$71,$J$67:$J$71)+SUMPRODUCT($Q$67:$Q$71,$M$67:$M$71))/5))</f>
        <v>1.1010518580241582</v>
      </c>
      <c r="Z22" s="45">
        <f>IF($H22="Ignore",0,N22-$H$3*((SUM($P$67:$P$71)))/5)</f>
        <v>0.39031069877657565</v>
      </c>
      <c r="AA22" s="95">
        <f t="shared" si="14"/>
        <v>3.1057139593710561</v>
      </c>
      <c r="AB22" s="96">
        <f t="shared" si="15"/>
        <v>-0.8942860406289439</v>
      </c>
      <c r="AC22" s="96">
        <f t="shared" si="16"/>
        <v>0.3</v>
      </c>
      <c r="AD22" s="96">
        <f t="shared" si="17"/>
        <v>2.644157037287707</v>
      </c>
      <c r="AE22" s="96">
        <f t="shared" si="18"/>
        <v>2.0677043663562862</v>
      </c>
      <c r="AF22" s="131">
        <f t="shared" si="19"/>
        <v>2.2133059435569913</v>
      </c>
    </row>
    <row r="23" spans="1:33" s="53" customFormat="1" x14ac:dyDescent="0.25">
      <c r="A23"/>
      <c r="B23" s="97" t="s">
        <v>5</v>
      </c>
      <c r="C23" s="62" t="s">
        <v>8</v>
      </c>
      <c r="D23" s="62" t="str">
        <f t="shared" si="2"/>
        <v>user3-Aloo Paratha</v>
      </c>
      <c r="E23" s="62" t="str">
        <f t="shared" si="3"/>
        <v>user3-Training</v>
      </c>
      <c r="F23" s="62" t="str">
        <f t="shared" si="4"/>
        <v>Aloo Paratha-Training</v>
      </c>
      <c r="G23" s="42" t="s">
        <v>35</v>
      </c>
      <c r="H23" s="44">
        <f>IF($G23 = "Training",VLOOKUP($B23,test_training!B15:E15,4,0),"Ignore")</f>
        <v>2.5</v>
      </c>
      <c r="I23" s="43">
        <f>IF($H23 = "Ignore",0,VLOOKUP(B23,Initialweight!$F:$I,2,0))</f>
        <v>-0.22053509857539327</v>
      </c>
      <c r="J23" s="43">
        <f>IF($H23 = "Ignore",0,VLOOKUP($B23,Initialweight!$F:$I,3,0))</f>
        <v>1.6177372266729149</v>
      </c>
      <c r="K23" s="43">
        <f>IF($H23 = "Ignore",0,VLOOKUP($B23,Initialweight!$F:$I,4,0))</f>
        <v>0.1</v>
      </c>
      <c r="L23" s="45">
        <f>IF($H23 = "Ignore",0,VLOOKUP($C23,Initialweight!$K:$N,2,0))</f>
        <v>0.56298525725053339</v>
      </c>
      <c r="M23" s="45">
        <f>IF($H23 = "Ignore",0,VLOOKUP($C23,Initialweight!$K:$N,3,0))</f>
        <v>-0.14020780478012193</v>
      </c>
      <c r="N23" s="45">
        <f>IF($H23 = "Ignore",0,VLOOKUP($C23,Initialweight!$K:$N,4,0))</f>
        <v>0.1</v>
      </c>
      <c r="O23" s="46">
        <f t="shared" si="5"/>
        <v>-0.1509773944671314</v>
      </c>
      <c r="P23" s="47">
        <f t="shared" si="6"/>
        <v>-2.6509773944671315</v>
      </c>
      <c r="Q23" s="47">
        <f t="shared" si="7"/>
        <v>0.3</v>
      </c>
      <c r="R23" s="47">
        <f t="shared" si="8"/>
        <v>2.6657094642670325</v>
      </c>
      <c r="S23" s="47">
        <f t="shared" si="9"/>
        <v>0.33661062840271</v>
      </c>
      <c r="T23" s="47">
        <f t="shared" si="10"/>
        <v>7.9283771737766635</v>
      </c>
      <c r="U23" s="43">
        <f>IF($H23="Ignore",0,$I23-$H$3*((SUMPRODUCT($P$23:$P$28,$L$23:$L$28)+SUMPRODUCT($Q$23:$Q$28,$I$23:$I$28))/5))</f>
        <v>-1.3550558268509122E-2</v>
      </c>
      <c r="V23" s="43">
        <f>IF($H23="Ignore",0,$I23-$H$3*((SUMPRODUCT($P$23:$P$28,$M$23:$M$28)+SUMPRODUCT($Q$23:$Q$28,$J$23:$J$28))/5))</f>
        <v>-0.23174549065552191</v>
      </c>
      <c r="W23" s="43">
        <f>IF($H23="Ignore",0,$K23-$H$3*((SUM($P$23:$P$28))/5))</f>
        <v>0.44984458298331531</v>
      </c>
      <c r="X23" s="45">
        <f>IF($H23="Ignore",0,L23-$H$3*((SUMPRODUCT($P$42:$P$46,$I$42:$I$46)+SUMPRODUCT($Q$42:$Q$46,$L$42:$L$46))/5))</f>
        <v>0.5179108468478516</v>
      </c>
      <c r="Y23" s="45">
        <f>IF($H23="Ignore",0,$L23-$H$3*((SUMPRODUCT($P$42:$P$46,$J$42:$J$46)+SUMPRODUCT($Q$42:$Q$46,$M$42:$M$46))/5))</f>
        <v>0.66548807659841303</v>
      </c>
      <c r="Z23" s="45">
        <f>IF($H23="Ignore",0,N23-$H$3*((SUM($P$42:$P$46)))/5)</f>
        <v>0.41110574287906165</v>
      </c>
      <c r="AA23" s="46">
        <f t="shared" si="14"/>
        <v>0.69970848391757345</v>
      </c>
      <c r="AB23" s="47">
        <f t="shared" si="15"/>
        <v>-1.8002915160824267</v>
      </c>
      <c r="AC23" s="47">
        <f t="shared" si="16"/>
        <v>0.3</v>
      </c>
      <c r="AD23" s="47">
        <f t="shared" si="17"/>
        <v>5.3889590068556856E-2</v>
      </c>
      <c r="AE23" s="47">
        <f t="shared" si="18"/>
        <v>0.71110602537731404</v>
      </c>
      <c r="AF23" s="110">
        <f t="shared" si="19"/>
        <v>3.4705482275121233</v>
      </c>
      <c r="AG23" s="112"/>
    </row>
    <row r="24" spans="1:33" s="53" customFormat="1" x14ac:dyDescent="0.25">
      <c r="A24"/>
      <c r="B24" s="97" t="s">
        <v>5</v>
      </c>
      <c r="C24" s="62" t="s">
        <v>9</v>
      </c>
      <c r="D24" s="62" t="str">
        <f t="shared" si="2"/>
        <v>user3-Tandoori Chicken</v>
      </c>
      <c r="E24" s="62" t="str">
        <f t="shared" si="3"/>
        <v>user3-Training</v>
      </c>
      <c r="F24" s="62" t="str">
        <f t="shared" si="4"/>
        <v>Tandoori Chicken-Training</v>
      </c>
      <c r="G24" s="42" t="s">
        <v>34</v>
      </c>
      <c r="H24" s="44" t="str">
        <f>IF($G24 = "Training",VLOOKUP($B24,test_training!B16:E16,4,0),"Ignore")</f>
        <v>Ignore</v>
      </c>
      <c r="I24" s="43">
        <f>IF($H24 = "Ignore",0,VLOOKUP(B24,Initialweight!$F:$I,2,0))</f>
        <v>0</v>
      </c>
      <c r="J24" s="43">
        <f>IF($H24 = "Ignore",0,VLOOKUP($B24,Initialweight!$F:$I,3,0))</f>
        <v>0</v>
      </c>
      <c r="K24" s="43">
        <f>IF($H24 = "Ignore",0,VLOOKUP($B24,Initialweight!$F:$I,4,0))</f>
        <v>0</v>
      </c>
      <c r="L24" s="45">
        <f>IF($H24 = "Ignore",0,VLOOKUP($C24,Initialweight!$K:$N,2,0))</f>
        <v>0</v>
      </c>
      <c r="M24" s="45">
        <f>IF($H24 = "Ignore",0,VLOOKUP($C24,Initialweight!$K:$N,3,0))</f>
        <v>0</v>
      </c>
      <c r="N24" s="45">
        <f>IF($H24 = "Ignore",0,VLOOKUP($C24,Initialweight!$K:$N,4,0))</f>
        <v>0</v>
      </c>
      <c r="O24" s="46">
        <f t="shared" si="5"/>
        <v>0</v>
      </c>
      <c r="P24" s="47">
        <f t="shared" si="6"/>
        <v>0</v>
      </c>
      <c r="Q24" s="47">
        <f t="shared" si="7"/>
        <v>0.3</v>
      </c>
      <c r="R24" s="47">
        <f t="shared" si="8"/>
        <v>0</v>
      </c>
      <c r="S24" s="47">
        <f t="shared" si="9"/>
        <v>0</v>
      </c>
      <c r="T24" s="47">
        <f t="shared" si="10"/>
        <v>0</v>
      </c>
      <c r="U24" s="43">
        <f t="shared" ref="U24:U28" si="23">IF($H24="Ignore",0,$I24-$H$3*((SUMPRODUCT($P$23:$P$28,$L$23:$L$28)+SUMPRODUCT($Q$23:$Q$28,$I$23:$I$28))/5))</f>
        <v>0</v>
      </c>
      <c r="V24" s="43">
        <f t="shared" ref="V24:V28" si="24">IF($H24="Ignore",0,$I24-$H$3*((SUMPRODUCT($P$23:$P$28,$M$23:$M$28)+SUMPRODUCT($Q$23:$Q$28,$J$23:$J$28))/5))</f>
        <v>0</v>
      </c>
      <c r="W24" s="43">
        <f t="shared" ref="W24:W40" si="25">IF($H24="Ignore",0,$K24-$H$3*((SUM($P$23:$P$28))/5))</f>
        <v>0</v>
      </c>
      <c r="X24" s="45">
        <f>IF($H24="Ignore",0,$L24-$H$3*((SUMPRODUCT($P$42:$P$46,$I$42:$I$46)+SUMPRODUCT($Q$42:$Q$46,$L$42:$L$46))/5))</f>
        <v>0</v>
      </c>
      <c r="Y24" s="45">
        <f>IF($H24="Ignore",0,$L24-$H$3*((SUMPRODUCT($P$47:$P$51,$J$47:$J$51)+SUMPRODUCT($Q$47:$Q$51,$M$47:$M$51))/5))</f>
        <v>0</v>
      </c>
      <c r="Z24" s="45">
        <f>IF($H24="Ignore",0,N24-$H$3*((SUM($P$47:$P$51)))/5)</f>
        <v>0</v>
      </c>
      <c r="AA24" s="46">
        <f t="shared" si="14"/>
        <v>0</v>
      </c>
      <c r="AB24" s="47">
        <f t="shared" si="15"/>
        <v>0</v>
      </c>
      <c r="AC24" s="47">
        <f t="shared" si="16"/>
        <v>0.3</v>
      </c>
      <c r="AD24" s="47">
        <f t="shared" si="17"/>
        <v>0</v>
      </c>
      <c r="AE24" s="47">
        <f t="shared" si="18"/>
        <v>0</v>
      </c>
      <c r="AF24" s="98">
        <f t="shared" si="19"/>
        <v>0</v>
      </c>
      <c r="AG24"/>
    </row>
    <row r="25" spans="1:33" s="53" customFormat="1" x14ac:dyDescent="0.25">
      <c r="A25"/>
      <c r="B25" s="97" t="s">
        <v>5</v>
      </c>
      <c r="C25" s="62" t="s">
        <v>10</v>
      </c>
      <c r="D25" s="62" t="str">
        <f t="shared" si="2"/>
        <v>user3-Vegetable Soup</v>
      </c>
      <c r="E25" s="62" t="str">
        <f t="shared" si="3"/>
        <v>user3-Training</v>
      </c>
      <c r="F25" s="62" t="str">
        <f t="shared" si="4"/>
        <v>Vegetable Soup-Training</v>
      </c>
      <c r="G25" s="42" t="s">
        <v>35</v>
      </c>
      <c r="H25" s="44">
        <f>IF($G25 = "Training",VLOOKUP($B25,test_training!B17:E17,4,0),"Ignore")</f>
        <v>4</v>
      </c>
      <c r="I25" s="43">
        <f>IF($H25 = "Ignore",0,VLOOKUP(B25,Initialweight!$F:$I,2,0))</f>
        <v>-0.22053509857539327</v>
      </c>
      <c r="J25" s="43">
        <f>IF($H25 = "Ignore",0,VLOOKUP($B25,Initialweight!$F:$I,3,0))</f>
        <v>1.6177372266729149</v>
      </c>
      <c r="K25" s="43">
        <f>IF($H25 = "Ignore",0,VLOOKUP($B25,Initialweight!$F:$I,4,0))</f>
        <v>0.1</v>
      </c>
      <c r="L25" s="45">
        <f>IF($H25 = "Ignore",0,VLOOKUP($C25,Initialweight!$K:$N,2,0))</f>
        <v>0.60793976535137362</v>
      </c>
      <c r="M25" s="45">
        <f>IF($H25 = "Ignore",0,VLOOKUP($C25,Initialweight!$K:$N,3,0))</f>
        <v>0.62701844162690035</v>
      </c>
      <c r="N25" s="45">
        <f>IF($H25 = "Ignore",0,VLOOKUP($C25,Initialweight!$K:$N,4,0))</f>
        <v>0.1</v>
      </c>
      <c r="O25" s="46">
        <f t="shared" si="5"/>
        <v>1.0802790187506079</v>
      </c>
      <c r="P25" s="47">
        <f t="shared" si="6"/>
        <v>-2.9197209812493918</v>
      </c>
      <c r="Q25" s="47">
        <f t="shared" si="7"/>
        <v>0.3</v>
      </c>
      <c r="R25" s="47">
        <f t="shared" si="8"/>
        <v>2.6657094642670325</v>
      </c>
      <c r="S25" s="47">
        <f t="shared" si="9"/>
        <v>0.76274288443570981</v>
      </c>
      <c r="T25" s="47">
        <f t="shared" si="10"/>
        <v>9.5533063129587337</v>
      </c>
      <c r="U25" s="43">
        <f t="shared" si="23"/>
        <v>-1.3550558268509122E-2</v>
      </c>
      <c r="V25" s="43">
        <f t="shared" si="24"/>
        <v>-0.23174549065552191</v>
      </c>
      <c r="W25" s="43">
        <f t="shared" si="25"/>
        <v>0.44984458298331531</v>
      </c>
      <c r="X25" s="45">
        <f>IF($H25="Ignore",0,$L25-$H$3*((SUMPRODUCT($P$52:$P$56,$I$52:$I$56)+SUMPRODUCT($Q$52:$Q$56,$L$52:$L$56))/5))</f>
        <v>0.47570840811058945</v>
      </c>
      <c r="Y25" s="45">
        <f>IF($H25="Ignore",0,$L25-$H$3*((SUMPRODUCT($P$52:$P$56,$J$52:$J$56)+SUMPRODUCT($Q$52:$Q$56,$M$52:$M$56))/5))</f>
        <v>0.61561139831918166</v>
      </c>
      <c r="Z25" s="45">
        <f>IF($H25="Ignore",0,N25-$H$3*((SUM($P$52:$P$56)))/5)</f>
        <v>0.39679384093813452</v>
      </c>
      <c r="AA25" s="46">
        <f t="shared" si="14"/>
        <v>0.69752714386191683</v>
      </c>
      <c r="AB25" s="47">
        <f t="shared" si="15"/>
        <v>-3.3024728561380829</v>
      </c>
      <c r="AC25" s="47">
        <f t="shared" si="16"/>
        <v>0.3</v>
      </c>
      <c r="AD25" s="47">
        <f t="shared" si="17"/>
        <v>5.3889590068556856E-2</v>
      </c>
      <c r="AE25" s="47">
        <f t="shared" si="18"/>
        <v>0.60527588328760928</v>
      </c>
      <c r="AF25" s="98">
        <f t="shared" si="19"/>
        <v>11.104076607535676</v>
      </c>
      <c r="AG25"/>
    </row>
    <row r="26" spans="1:33" s="53" customFormat="1" x14ac:dyDescent="0.25">
      <c r="A26"/>
      <c r="B26" s="97" t="s">
        <v>5</v>
      </c>
      <c r="C26" s="62" t="s">
        <v>11</v>
      </c>
      <c r="D26" s="62" t="str">
        <f t="shared" si="2"/>
        <v>user3-Khichdi</v>
      </c>
      <c r="E26" s="62" t="str">
        <f t="shared" si="3"/>
        <v>user3-Training</v>
      </c>
      <c r="F26" s="62" t="str">
        <f t="shared" si="4"/>
        <v>Khichdi-Training</v>
      </c>
      <c r="G26" s="42" t="s">
        <v>35</v>
      </c>
      <c r="H26" s="44">
        <f>IF($G26 = "Training",VLOOKUP($B26,test_training!B18:E18,4,0),"Ignore")</f>
        <v>4</v>
      </c>
      <c r="I26" s="43">
        <f>IF($H26 = "Ignore",0,VLOOKUP(B26,Initialweight!$F:$I,2,0))</f>
        <v>-0.22053509857539327</v>
      </c>
      <c r="J26" s="43">
        <f>IF($H26 = "Ignore",0,VLOOKUP($B26,Initialweight!$F:$I,3,0))</f>
        <v>1.6177372266729149</v>
      </c>
      <c r="K26" s="43">
        <f>IF($H26 = "Ignore",0,VLOOKUP($B26,Initialweight!$F:$I,4,0))</f>
        <v>0.1</v>
      </c>
      <c r="L26" s="45">
        <f>IF($H26 = "Ignore",0,VLOOKUP($C26,Initialweight!$K:$N,2,0))</f>
        <v>-0.22530717587291313</v>
      </c>
      <c r="M26" s="45">
        <f>IF($H26 = "Ignore",0,VLOOKUP($C26,Initialweight!$K:$N,3,0))</f>
        <v>0.18843888870943978</v>
      </c>
      <c r="N26" s="45">
        <f>IF($H26 = "Ignore",0,VLOOKUP($C26,Initialweight!$K:$N,4,0))</f>
        <v>0.1</v>
      </c>
      <c r="O26" s="46">
        <f t="shared" si="5"/>
        <v>0.55453274545901154</v>
      </c>
      <c r="P26" s="47">
        <f t="shared" si="6"/>
        <v>-3.4454672545409886</v>
      </c>
      <c r="Q26" s="47">
        <f t="shared" si="7"/>
        <v>0.3</v>
      </c>
      <c r="R26" s="47">
        <f t="shared" si="8"/>
        <v>2.6657094642670325</v>
      </c>
      <c r="S26" s="47">
        <f t="shared" si="9"/>
        <v>8.627253827787644E-2</v>
      </c>
      <c r="T26" s="47">
        <f t="shared" si="10"/>
        <v>12.69683920287769</v>
      </c>
      <c r="U26" s="43">
        <f t="shared" si="23"/>
        <v>-1.3550558268509122E-2</v>
      </c>
      <c r="V26" s="43">
        <f t="shared" si="24"/>
        <v>-0.23174549065552191</v>
      </c>
      <c r="W26" s="43">
        <f t="shared" si="25"/>
        <v>0.44984458298331531</v>
      </c>
      <c r="X26" s="45">
        <f>IF($H26="Ignore",0,$L26-$H$3*((SUMPRODUCT($P$57:$P$61,$I$57:$I$61)+SUMPRODUCT($Q$57:$Q$61,$L$57:$L$61))/5))</f>
        <v>-0.2522270011183807</v>
      </c>
      <c r="Y26" s="45">
        <f>IF($H26="Ignore",0,$L26-$H$3*((SUMPRODUCT($P$57:$P$61,$J$57:$J$61)+SUMPRODUCT($Q$57:$Q$61,$M$57:$M$61))/5))</f>
        <v>-0.11448405975899148</v>
      </c>
      <c r="Z26" s="45">
        <f>IF($H26="Ignore",0,N26-$H$3*((SUM($P$57:$P$61)))/5)</f>
        <v>0.36583990059786542</v>
      </c>
      <c r="AA26" s="46">
        <f t="shared" si="14"/>
        <v>0.84563346485781021</v>
      </c>
      <c r="AB26" s="47">
        <f t="shared" si="15"/>
        <v>-3.1543665351421897</v>
      </c>
      <c r="AC26" s="47">
        <f t="shared" si="16"/>
        <v>0.3</v>
      </c>
      <c r="AD26" s="47">
        <f t="shared" si="17"/>
        <v>5.3889590068556856E-2</v>
      </c>
      <c r="AE26" s="47">
        <f t="shared" si="18"/>
        <v>7.6725060032071954E-2</v>
      </c>
      <c r="AF26" s="98">
        <f t="shared" si="19"/>
        <v>9.9892126330551321</v>
      </c>
      <c r="AG26"/>
    </row>
    <row r="27" spans="1:33" s="53" customFormat="1" x14ac:dyDescent="0.25">
      <c r="A27"/>
      <c r="B27" s="97" t="s">
        <v>5</v>
      </c>
      <c r="C27" s="62" t="s">
        <v>12</v>
      </c>
      <c r="D27" s="62" t="str">
        <f t="shared" si="2"/>
        <v>user3-Biryani</v>
      </c>
      <c r="E27" s="62" t="str">
        <f t="shared" si="3"/>
        <v>user3-Training</v>
      </c>
      <c r="F27" s="62" t="str">
        <f t="shared" si="4"/>
        <v>Biryani-Training</v>
      </c>
      <c r="G27" s="42" t="s">
        <v>35</v>
      </c>
      <c r="H27" s="44">
        <f>IF($G27 = "Training",VLOOKUP($B27,test_training!B19:E19,4,0),"Ignore")</f>
        <v>3.5</v>
      </c>
      <c r="I27" s="43">
        <f>IF($H27 = "Ignore",0,VLOOKUP(B27,Initialweight!$F:$I,2,0))</f>
        <v>-0.22053509857539327</v>
      </c>
      <c r="J27" s="43">
        <f>IF($H27 = "Ignore",0,VLOOKUP($B27,Initialweight!$F:$I,3,0))</f>
        <v>1.6177372266729149</v>
      </c>
      <c r="K27" s="43">
        <f>IF($H27 = "Ignore",0,VLOOKUP($B27,Initialweight!$F:$I,4,0))</f>
        <v>0.1</v>
      </c>
      <c r="L27" s="45">
        <f>IF($H27 = "Ignore",0,VLOOKUP($C27,Initialweight!$K:$N,2,0))</f>
        <v>0.72572398734242127</v>
      </c>
      <c r="M27" s="45">
        <f>IF($H27 = "Ignore",0,VLOOKUP($C27,Initialweight!$K:$N,3,0))</f>
        <v>-0.6249363825980645</v>
      </c>
      <c r="N27" s="45">
        <f>IF($H27 = "Ignore",0,VLOOKUP($C27,Initialweight!$K:$N,4,0))</f>
        <v>0.1</v>
      </c>
      <c r="O27" s="46">
        <f t="shared" si="5"/>
        <v>-0.97103046151828487</v>
      </c>
      <c r="P27" s="47">
        <f t="shared" si="6"/>
        <v>-4.4710304615182848</v>
      </c>
      <c r="Q27" s="47">
        <f t="shared" si="7"/>
        <v>0.3</v>
      </c>
      <c r="R27" s="47">
        <f t="shared" si="8"/>
        <v>2.6657094642670325</v>
      </c>
      <c r="S27" s="47">
        <f t="shared" si="9"/>
        <v>0.91722078809893737</v>
      </c>
      <c r="T27" s="47">
        <f t="shared" si="10"/>
        <v>21.064992463534196</v>
      </c>
      <c r="U27" s="43">
        <f t="shared" si="23"/>
        <v>-1.3550558268509122E-2</v>
      </c>
      <c r="V27" s="43">
        <f t="shared" si="24"/>
        <v>-0.23174549065552191</v>
      </c>
      <c r="W27" s="43">
        <f t="shared" si="25"/>
        <v>0.44984458298331531</v>
      </c>
      <c r="X27" s="45">
        <f>IF($H27="Ignore",0,$L27-$H$3*((SUMPRODUCT($P$62:$P$66,$I$62:$I$66)+SUMPRODUCT($Q$62:$Q$66,$L$62:$L$66))/5))</f>
        <v>0.692555421427832</v>
      </c>
      <c r="Y27" s="45">
        <f>IF($H27="Ignore",0,$L27-$H$3*((SUMPRODUCT($P$62:$P$66,$J$62:$J$66)+SUMPRODUCT($Q$62:$Q$66,$M$62:$M$66))/5))</f>
        <v>0.91807206643385819</v>
      </c>
      <c r="Z27" s="45">
        <f>IF($H27="Ignore",0,N27-$H$3*((SUM($P$62:$P$66)))/5)</f>
        <v>0.42073468683411752</v>
      </c>
      <c r="AA27" s="46">
        <f t="shared" si="14"/>
        <v>0.64843569573235971</v>
      </c>
      <c r="AB27" s="47">
        <f t="shared" si="15"/>
        <v>-2.8515643042676402</v>
      </c>
      <c r="AC27" s="47">
        <f t="shared" si="16"/>
        <v>0.3</v>
      </c>
      <c r="AD27" s="47">
        <f t="shared" si="17"/>
        <v>5.3889590068556856E-2</v>
      </c>
      <c r="AE27" s="47">
        <f t="shared" si="18"/>
        <v>1.3224893309152166</v>
      </c>
      <c r="AF27" s="98">
        <f t="shared" si="19"/>
        <v>8.544332657668523</v>
      </c>
      <c r="AG27"/>
    </row>
    <row r="28" spans="1:33" s="53" customFormat="1" x14ac:dyDescent="0.25">
      <c r="A28" s="111"/>
      <c r="B28" s="130" t="s">
        <v>5</v>
      </c>
      <c r="C28" s="63" t="s">
        <v>13</v>
      </c>
      <c r="D28" s="63" t="str">
        <f t="shared" si="2"/>
        <v>user3-Fruit Salad</v>
      </c>
      <c r="E28" s="63" t="str">
        <f t="shared" si="3"/>
        <v>user3-Training</v>
      </c>
      <c r="F28" s="63" t="str">
        <f t="shared" si="4"/>
        <v>Fruit Salad-Training</v>
      </c>
      <c r="G28" s="48" t="s">
        <v>35</v>
      </c>
      <c r="H28" s="64">
        <f>IF($G28 = "Training",VLOOKUP($B28,test_training!B20:E20,4,0),"Ignore")</f>
        <v>5</v>
      </c>
      <c r="I28" s="49">
        <f>IF($H28 = "Ignore",0,VLOOKUP(B28,Initialweight!$F:$I,2,0))</f>
        <v>-0.22053509857539327</v>
      </c>
      <c r="J28" s="49">
        <f>IF($H28 = "Ignore",0,VLOOKUP($B28,Initialweight!$F:$I,3,0))</f>
        <v>1.6177372266729149</v>
      </c>
      <c r="K28" s="49">
        <f>IF($H28 = "Ignore",0,VLOOKUP($B28,Initialweight!$F:$I,4,0))</f>
        <v>0.1</v>
      </c>
      <c r="L28" s="65">
        <f>IF($H28 = "Ignore",0,VLOOKUP($C28,Initialweight!$K:$N,2,0))</f>
        <v>1.0692803455337927</v>
      </c>
      <c r="M28" s="65">
        <f>IF($H28 = "Ignore",0,VLOOKUP($C28,Initialweight!$K:$N,3,0))</f>
        <v>0.63717442611924779</v>
      </c>
      <c r="N28" s="65">
        <f>IF($H28 = "Ignore",0,VLOOKUP($C28,Initialweight!$K:$N,4,0))</f>
        <v>0.1</v>
      </c>
      <c r="O28" s="95">
        <f t="shared" si="5"/>
        <v>0.99496694261003238</v>
      </c>
      <c r="P28" s="96">
        <f t="shared" si="6"/>
        <v>-4.0050330573899675</v>
      </c>
      <c r="Q28" s="96">
        <f t="shared" si="7"/>
        <v>0.3</v>
      </c>
      <c r="R28" s="96">
        <f t="shared" si="8"/>
        <v>2.6657094642670325</v>
      </c>
      <c r="S28" s="96">
        <f t="shared" si="9"/>
        <v>1.5493517066452598</v>
      </c>
      <c r="T28" s="96">
        <f t="shared" si="10"/>
        <v>17.304808142060118</v>
      </c>
      <c r="U28" s="49">
        <f t="shared" si="23"/>
        <v>-1.3550558268509122E-2</v>
      </c>
      <c r="V28" s="49">
        <f t="shared" si="24"/>
        <v>-0.23174549065552191</v>
      </c>
      <c r="W28" s="43">
        <f t="shared" si="25"/>
        <v>0.44984458298331531</v>
      </c>
      <c r="X28" s="65">
        <f>IF($H28="Ignore",0,$L28-$H$3*((SUMPRODUCT($P$67:$P$71,$I$67:$I$71)+SUMPRODUCT($Q$67:$Q$71,$L$67:$L$71))/5))</f>
        <v>0.92487251678154836</v>
      </c>
      <c r="Y28" s="65">
        <f>IF($H28="Ignore",0,$L28-$H$3*((SUMPRODUCT($P$67:$P$71,$J$67:$J$71)+SUMPRODUCT($Q$67:$Q$71,$M$67:$M$71))/5))</f>
        <v>1.1010518580241582</v>
      </c>
      <c r="Z28" s="45">
        <f>IF($H28="Ignore",0,N28-$H$3*((SUM($P$67:$P$71)))/5)</f>
        <v>0.39031069877657565</v>
      </c>
      <c r="AA28" s="95">
        <f t="shared" si="14"/>
        <v>0.57245893975531725</v>
      </c>
      <c r="AB28" s="96">
        <f t="shared" si="15"/>
        <v>-4.4275410602446827</v>
      </c>
      <c r="AC28" s="96">
        <f t="shared" si="16"/>
        <v>0.3</v>
      </c>
      <c r="AD28" s="96">
        <f t="shared" si="17"/>
        <v>5.3889590068556856E-2</v>
      </c>
      <c r="AE28" s="96">
        <f t="shared" si="18"/>
        <v>2.0677043663562862</v>
      </c>
      <c r="AF28" s="131">
        <f t="shared" si="19"/>
        <v>20.23959802708006</v>
      </c>
    </row>
    <row r="29" spans="1:33" s="53" customFormat="1" x14ac:dyDescent="0.25">
      <c r="A29"/>
      <c r="B29" s="97" t="s">
        <v>6</v>
      </c>
      <c r="C29" s="62" t="s">
        <v>8</v>
      </c>
      <c r="D29" s="62" t="str">
        <f t="shared" si="2"/>
        <v>user4-Aloo Paratha</v>
      </c>
      <c r="E29" s="62" t="str">
        <f t="shared" si="3"/>
        <v>user4-Training</v>
      </c>
      <c r="F29" s="62" t="str">
        <f t="shared" si="4"/>
        <v>Aloo Paratha-Training</v>
      </c>
      <c r="G29" s="42" t="s">
        <v>35</v>
      </c>
      <c r="H29" s="44">
        <f>IF($G29 = "Training",VLOOKUP($B29,test_training!B21:E21,4,0),"Ignore")</f>
        <v>3</v>
      </c>
      <c r="I29" s="43">
        <f>IF($H29 = "Ignore",0,VLOOKUP(B29,Initialweight!$F:$I,2,0))</f>
        <v>-0.89153783231512851</v>
      </c>
      <c r="J29" s="43">
        <f>IF($H29 = "Ignore",0,VLOOKUP($B29,Initialweight!$F:$I,3,0))</f>
        <v>-0.7967083750355437</v>
      </c>
      <c r="K29" s="43">
        <f>IF($H29 = "Ignore",0,VLOOKUP($B29,Initialweight!$F:$I,4,0))</f>
        <v>0.1</v>
      </c>
      <c r="L29" s="45">
        <f>IF($H29 = "Ignore",0,VLOOKUP($C29,Initialweight!$K:$N,2,0))</f>
        <v>0.56298525725053339</v>
      </c>
      <c r="M29" s="45">
        <f>IF($H29 = "Ignore",0,VLOOKUP($C29,Initialweight!$K:$N,3,0))</f>
        <v>-0.14020780478012193</v>
      </c>
      <c r="N29" s="45">
        <f>IF($H29 = "Ignore",0,VLOOKUP($C29,Initialweight!$K:$N,4,0))</f>
        <v>0.1</v>
      </c>
      <c r="O29" s="46">
        <f t="shared" si="5"/>
        <v>-0.19021792356084385</v>
      </c>
      <c r="P29" s="47">
        <f t="shared" si="6"/>
        <v>-3.1902179235608439</v>
      </c>
      <c r="Q29" s="47">
        <f t="shared" si="7"/>
        <v>0.3</v>
      </c>
      <c r="R29" s="47">
        <f t="shared" si="8"/>
        <v>1.4295839413009348</v>
      </c>
      <c r="S29" s="47">
        <f t="shared" si="9"/>
        <v>0.33661062840271</v>
      </c>
      <c r="T29" s="47">
        <f t="shared" si="10"/>
        <v>10.707348770719955</v>
      </c>
      <c r="U29" s="43">
        <f>IF($H29="Ignore",0,$I29-$H$3*((SUMPRODUCT($P$29:$P$34,$L$29:$L$34)+SUMPRODUCT($Q29:$Q34,$I$29:$I$34))/5))</f>
        <v>-0.67120207989749425</v>
      </c>
      <c r="V29" s="43">
        <f>IF($H29="Ignore",0,$I29-$H$3*((SUMPRODUCT($P$29:$P$34,$M$29:$M$34)+SUMPRODUCT($Q29:$Q34,$J$29:$J$34))/5))</f>
        <v>-0.64394154402373482</v>
      </c>
      <c r="W29" s="43">
        <f>IF($H29="Ignore",0,$K29-$H$3*((SUM($P$29:$P$34))/5))</f>
        <v>0.55174935254591728</v>
      </c>
      <c r="X29" s="45">
        <f>IF($H29="Ignore",0,L29-$H$3*((SUMPRODUCT($P$42:$P$46,$I$42:$I$46)+SUMPRODUCT($Q$42:$Q$46,$L$42:$L$46))/5))</f>
        <v>0.5179108468478516</v>
      </c>
      <c r="Y29" s="45">
        <f>IF($H29="Ignore",0,$L29-$H$3*((SUMPRODUCT($P$42:$P$46,$J$42:$J$46)+SUMPRODUCT($Q$42:$Q$46,$M$42:$M$46))/5))</f>
        <v>0.66548807659841303</v>
      </c>
      <c r="Z29" s="45">
        <f>IF($H29="Ignore",0,N29-$H$3*((SUM($P$42:$P$46)))/5)</f>
        <v>0.41110574287906165</v>
      </c>
      <c r="AA29" s="46">
        <f t="shared" si="14"/>
        <v>0.18669683824506078</v>
      </c>
      <c r="AB29" s="47">
        <f t="shared" si="15"/>
        <v>-2.8133031617549391</v>
      </c>
      <c r="AC29" s="47">
        <f t="shared" si="16"/>
        <v>0.3</v>
      </c>
      <c r="AD29" s="47">
        <f t="shared" si="17"/>
        <v>0.86517294417839385</v>
      </c>
      <c r="AE29" s="47">
        <f t="shared" si="18"/>
        <v>0.71110602537731404</v>
      </c>
      <c r="AF29" s="110">
        <f t="shared" si="19"/>
        <v>8.3875583708070494</v>
      </c>
      <c r="AG29" s="112"/>
    </row>
    <row r="30" spans="1:33" s="53" customFormat="1" x14ac:dyDescent="0.25">
      <c r="A30"/>
      <c r="B30" s="97" t="s">
        <v>6</v>
      </c>
      <c r="C30" s="62" t="s">
        <v>9</v>
      </c>
      <c r="D30" s="62" t="str">
        <f t="shared" si="2"/>
        <v>user4-Tandoori Chicken</v>
      </c>
      <c r="E30" s="62" t="str">
        <f t="shared" si="3"/>
        <v>user4-Training</v>
      </c>
      <c r="F30" s="62" t="str">
        <f t="shared" si="4"/>
        <v>Tandoori Chicken-Training</v>
      </c>
      <c r="G30" s="42" t="s">
        <v>35</v>
      </c>
      <c r="H30" s="44">
        <f>IF($G30 = "Training",VLOOKUP($B30,test_training!B22:E22,4,0),"Ignore")</f>
        <v>4</v>
      </c>
      <c r="I30" s="43">
        <f>IF($H30 = "Ignore",0,VLOOKUP(B30,Initialweight!$F:$I,2,0))</f>
        <v>-0.89153783231512851</v>
      </c>
      <c r="J30" s="43">
        <f>IF($H30 = "Ignore",0,VLOOKUP($B30,Initialweight!$F:$I,3,0))</f>
        <v>-0.7967083750355437</v>
      </c>
      <c r="K30" s="43">
        <f>IF($H30 = "Ignore",0,VLOOKUP($B30,Initialweight!$F:$I,4,0))</f>
        <v>0.1</v>
      </c>
      <c r="L30" s="45">
        <f>IF($H30 = "Ignore",0,VLOOKUP($C30,Initialweight!$K:$N,2,0))</f>
        <v>-1.6865310697866495E-2</v>
      </c>
      <c r="M30" s="45">
        <f>IF($H30 = "Ignore",0,VLOOKUP($C30,Initialweight!$K:$N,3,0))</f>
        <v>0.95458588500479291</v>
      </c>
      <c r="N30" s="45">
        <f>IF($H30 = "Ignore",0,VLOOKUP($C30,Initialweight!$K:$N,4,0))</f>
        <v>0.1</v>
      </c>
      <c r="O30" s="46">
        <f t="shared" si="5"/>
        <v>-0.54549050673313793</v>
      </c>
      <c r="P30" s="47">
        <f t="shared" si="6"/>
        <v>-4.5454905067331381</v>
      </c>
      <c r="Q30" s="47">
        <f t="shared" si="7"/>
        <v>0.3</v>
      </c>
      <c r="R30" s="47">
        <f t="shared" si="8"/>
        <v>1.4295839413009348</v>
      </c>
      <c r="S30" s="47">
        <f t="shared" si="9"/>
        <v>0.91151865055531922</v>
      </c>
      <c r="T30" s="47">
        <f t="shared" si="10"/>
        <v>21.363814724357958</v>
      </c>
      <c r="U30" s="43">
        <f t="shared" ref="U30:U34" si="26">IF($H30="Ignore",0,$I30-$H$3*((SUMPRODUCT($P$29:$P$34,$L$29:$L$34)+SUMPRODUCT($Q30:$Q35,$I$29:$I$34))/5))</f>
        <v>-0.67120207989749425</v>
      </c>
      <c r="V30" s="43">
        <f t="shared" ref="V30:V34" si="27">IF($H30="Ignore",0,$I30-$H$3*((SUMPRODUCT($P$29:$P$34,$M$29:$M$34)+SUMPRODUCT($Q30:$Q35,$J$29:$J$34))/5))</f>
        <v>-0.64394154402373482</v>
      </c>
      <c r="W30" s="43">
        <f t="shared" ref="W30:W40" si="28">IF($H30="Ignore",0,$K30-$H$3*((SUM($P$29:$P$34))/5))</f>
        <v>0.55174935254591728</v>
      </c>
      <c r="X30" s="45">
        <f>IF($H30="Ignore",0,$L30-$H$3*((SUMPRODUCT($P$47:$P$51,$I$47:$I$51)+SUMPRODUCT($Q$47:$Q$51,$L$47:$L$51))/5))</f>
        <v>-6.9037757170058639E-2</v>
      </c>
      <c r="Y30" s="45">
        <f>IF($H30="Ignore",0,$L30-$H$3*((SUMPRODUCT($P$47:$P$51,$J$47:$J$51)+SUMPRODUCT($Q$47:$Q$51,$M$47:$M$51))/5))</f>
        <v>-6.5134530548967784E-2</v>
      </c>
      <c r="Z30" s="45">
        <f>IF($H30="Ignore",0,N30-$H$3*((SUM($P$47:$P$51)))/5)</f>
        <v>0.38167583004248373</v>
      </c>
      <c r="AA30" s="46">
        <f t="shared" si="14"/>
        <v>1.0217062989633661</v>
      </c>
      <c r="AB30" s="47">
        <f t="shared" si="15"/>
        <v>-2.9782937010366339</v>
      </c>
      <c r="AC30" s="47">
        <f t="shared" si="16"/>
        <v>0.3</v>
      </c>
      <c r="AD30" s="47">
        <f t="shared" si="17"/>
        <v>0.86517294417839385</v>
      </c>
      <c r="AE30" s="47">
        <f t="shared" si="18"/>
        <v>9.0087189849064001E-3</v>
      </c>
      <c r="AF30" s="98">
        <f t="shared" si="19"/>
        <v>9.1324878685834818</v>
      </c>
      <c r="AG30"/>
    </row>
    <row r="31" spans="1:33" s="53" customFormat="1" x14ac:dyDescent="0.25">
      <c r="A31"/>
      <c r="B31" s="97" t="s">
        <v>6</v>
      </c>
      <c r="C31" s="62" t="s">
        <v>10</v>
      </c>
      <c r="D31" s="62" t="str">
        <f t="shared" si="2"/>
        <v>user4-Vegetable Soup</v>
      </c>
      <c r="E31" s="62" t="str">
        <f t="shared" si="3"/>
        <v>user4-Training</v>
      </c>
      <c r="F31" s="62" t="str">
        <f t="shared" si="4"/>
        <v>Vegetable Soup-Training</v>
      </c>
      <c r="G31" s="42" t="s">
        <v>35</v>
      </c>
      <c r="H31" s="44">
        <f>IF($G31 = "Training",VLOOKUP($B31,test_training!B23:E23,4,0),"Ignore")</f>
        <v>3</v>
      </c>
      <c r="I31" s="43">
        <f>IF($H31 = "Ignore",0,VLOOKUP(B31,Initialweight!$F:$I,2,0))</f>
        <v>-0.89153783231512851</v>
      </c>
      <c r="J31" s="43">
        <f>IF($H31 = "Ignore",0,VLOOKUP($B31,Initialweight!$F:$I,3,0))</f>
        <v>-0.7967083750355437</v>
      </c>
      <c r="K31" s="43">
        <f>IF($H31 = "Ignore",0,VLOOKUP($B31,Initialweight!$F:$I,4,0))</f>
        <v>0.1</v>
      </c>
      <c r="L31" s="45">
        <f>IF($H31 = "Ignore",0,VLOOKUP($C31,Initialweight!$K:$N,2,0))</f>
        <v>0.60793976535137362</v>
      </c>
      <c r="M31" s="45">
        <f>IF($H31 = "Ignore",0,VLOOKUP($C31,Initialweight!$K:$N,3,0))</f>
        <v>0.62701844162690035</v>
      </c>
      <c r="N31" s="45">
        <f>IF($H31 = "Ignore",0,VLOOKUP($C31,Initialweight!$K:$N,4,0))</f>
        <v>0.1</v>
      </c>
      <c r="O31" s="46">
        <f t="shared" si="5"/>
        <v>-0.84155214432541836</v>
      </c>
      <c r="P31" s="47">
        <f t="shared" si="6"/>
        <v>-3.8415521443254184</v>
      </c>
      <c r="Q31" s="47">
        <f t="shared" si="7"/>
        <v>0.3</v>
      </c>
      <c r="R31" s="47">
        <f t="shared" si="8"/>
        <v>1.4295839413009348</v>
      </c>
      <c r="S31" s="47">
        <f t="shared" si="9"/>
        <v>0.76274288443570981</v>
      </c>
      <c r="T31" s="47">
        <f t="shared" si="10"/>
        <v>15.415220925292212</v>
      </c>
      <c r="U31" s="43">
        <f t="shared" si="26"/>
        <v>-0.67120207989749425</v>
      </c>
      <c r="V31" s="43">
        <f t="shared" si="27"/>
        <v>-0.64394154402373482</v>
      </c>
      <c r="W31" s="43">
        <f t="shared" si="28"/>
        <v>0.55174935254591728</v>
      </c>
      <c r="X31" s="45">
        <f>IF($H31="Ignore",0,$L31-$H$3*((SUMPRODUCT($P$52:$P$56,$I$52:$I$56)+SUMPRODUCT($Q$52:$Q$56,$L$52:$L$56))/5))</f>
        <v>0.47570840811058945</v>
      </c>
      <c r="Y31" s="45">
        <f>IF($H31="Ignore",0,$L31-$H$3*((SUMPRODUCT($P$52:$P$56,$J$52:$J$56)+SUMPRODUCT($Q$52:$Q$56,$M$52:$M$56))/5))</f>
        <v>0.61561139831918166</v>
      </c>
      <c r="Z31" s="45">
        <f>IF($H31="Ignore",0,N31-$H$3*((SUM($P$52:$P$56)))/5)</f>
        <v>0.39679384093813452</v>
      </c>
      <c r="AA31" s="46">
        <f t="shared" si="14"/>
        <v>0.2328289661832339</v>
      </c>
      <c r="AB31" s="47">
        <f t="shared" si="15"/>
        <v>-2.7671710338167661</v>
      </c>
      <c r="AC31" s="47">
        <f t="shared" si="16"/>
        <v>0.3</v>
      </c>
      <c r="AD31" s="47">
        <f t="shared" si="17"/>
        <v>0.86517294417839385</v>
      </c>
      <c r="AE31" s="47">
        <f t="shared" si="18"/>
        <v>0.60527588328760928</v>
      </c>
      <c r="AF31" s="98">
        <f t="shared" si="19"/>
        <v>8.0983701786343509</v>
      </c>
      <c r="AG31"/>
    </row>
    <row r="32" spans="1:33" s="53" customFormat="1" x14ac:dyDescent="0.25">
      <c r="A32"/>
      <c r="B32" s="97" t="s">
        <v>6</v>
      </c>
      <c r="C32" s="62" t="s">
        <v>11</v>
      </c>
      <c r="D32" s="62" t="str">
        <f t="shared" si="2"/>
        <v>user4-Khichdi</v>
      </c>
      <c r="E32" s="62" t="str">
        <f t="shared" si="3"/>
        <v>user4-Training</v>
      </c>
      <c r="F32" s="62" t="str">
        <f t="shared" si="4"/>
        <v>Khichdi-Training</v>
      </c>
      <c r="G32" s="42" t="s">
        <v>35</v>
      </c>
      <c r="H32" s="44">
        <f>IF($G32 = "Training",VLOOKUP($B32,test_training!B24:E24,4,0),"Ignore")</f>
        <v>5</v>
      </c>
      <c r="I32" s="43">
        <f>IF($H32 = "Ignore",0,VLOOKUP(B32,Initialweight!$F:$I,2,0))</f>
        <v>-0.89153783231512851</v>
      </c>
      <c r="J32" s="43">
        <f>IF($H32 = "Ignore",0,VLOOKUP($B32,Initialweight!$F:$I,3,0))</f>
        <v>-0.7967083750355437</v>
      </c>
      <c r="K32" s="43">
        <f>IF($H32 = "Ignore",0,VLOOKUP($B32,Initialweight!$F:$I,4,0))</f>
        <v>0.1</v>
      </c>
      <c r="L32" s="45">
        <f>IF($H32 = "Ignore",0,VLOOKUP($C32,Initialweight!$K:$N,2,0))</f>
        <v>-0.22530717587291313</v>
      </c>
      <c r="M32" s="45">
        <f>IF($H32 = "Ignore",0,VLOOKUP($C32,Initialweight!$K:$N,3,0))</f>
        <v>0.18843888870943978</v>
      </c>
      <c r="N32" s="45">
        <f>IF($H32 = "Ignore",0,VLOOKUP($C32,Initialweight!$K:$N,4,0))</f>
        <v>0.1</v>
      </c>
      <c r="O32" s="46">
        <f t="shared" si="5"/>
        <v>0.25073903036557899</v>
      </c>
      <c r="P32" s="47">
        <f t="shared" si="6"/>
        <v>-4.7492609696344212</v>
      </c>
      <c r="Q32" s="47">
        <f t="shared" si="7"/>
        <v>0.3</v>
      </c>
      <c r="R32" s="47">
        <f t="shared" si="8"/>
        <v>1.4295839413009348</v>
      </c>
      <c r="S32" s="47">
        <f t="shared" si="9"/>
        <v>8.627253827787644E-2</v>
      </c>
      <c r="T32" s="47">
        <f t="shared" si="10"/>
        <v>23.010236701566527</v>
      </c>
      <c r="U32" s="43">
        <f t="shared" si="26"/>
        <v>-0.67120207989749425</v>
      </c>
      <c r="V32" s="43">
        <f t="shared" si="27"/>
        <v>-0.64394154402373482</v>
      </c>
      <c r="W32" s="43">
        <f t="shared" si="28"/>
        <v>0.55174935254591728</v>
      </c>
      <c r="X32" s="45">
        <f>IF($H32="Ignore",0,$L32-$H$3*((SUMPRODUCT($P$57:$P$61,$I$57:$I$61)+SUMPRODUCT($Q$57:$Q$61,$L$57:$L$61))/5))</f>
        <v>-0.2522270011183807</v>
      </c>
      <c r="Y32" s="45">
        <f>IF($H32="Ignore",0,$L32-$H$3*((SUMPRODUCT($P$57:$P$61,$J$57:$J$61)+SUMPRODUCT($Q$57:$Q$61,$M$57:$M$61))/5))</f>
        <v>-0.11448405975899148</v>
      </c>
      <c r="Z32" s="45">
        <f>IF($H32="Ignore",0,N32-$H$3*((SUM($P$57:$P$61)))/5)</f>
        <v>0.36583990059786542</v>
      </c>
      <c r="AA32" s="46">
        <f t="shared" si="14"/>
        <v>1.1606055831080579</v>
      </c>
      <c r="AB32" s="47">
        <f t="shared" si="15"/>
        <v>-3.8393944168919418</v>
      </c>
      <c r="AC32" s="47">
        <f t="shared" si="16"/>
        <v>0.3</v>
      </c>
      <c r="AD32" s="47">
        <f t="shared" si="17"/>
        <v>0.86517294417839385</v>
      </c>
      <c r="AE32" s="47">
        <f t="shared" si="18"/>
        <v>7.6725060032071954E-2</v>
      </c>
      <c r="AF32" s="98">
        <f t="shared" si="19"/>
        <v>15.023518889724155</v>
      </c>
      <c r="AG32"/>
    </row>
    <row r="33" spans="1:33" s="53" customFormat="1" x14ac:dyDescent="0.25">
      <c r="A33"/>
      <c r="B33" s="97" t="s">
        <v>6</v>
      </c>
      <c r="C33" s="62" t="s">
        <v>12</v>
      </c>
      <c r="D33" s="62" t="str">
        <f t="shared" si="2"/>
        <v>user4-Biryani</v>
      </c>
      <c r="E33" s="62" t="str">
        <f t="shared" si="3"/>
        <v>user4-Training</v>
      </c>
      <c r="F33" s="62" t="str">
        <f t="shared" si="4"/>
        <v>Biryani-Training</v>
      </c>
      <c r="G33" s="42" t="s">
        <v>34</v>
      </c>
      <c r="H33" s="44" t="str">
        <f>IF($G33 = "Training",VLOOKUP($B33,test_training!B25:E25,4,0),"Ignore")</f>
        <v>Ignore</v>
      </c>
      <c r="I33" s="43">
        <f>IF($H33 = "Ignore",0,VLOOKUP(B33,Initialweight!$F:$I,2,0))</f>
        <v>0</v>
      </c>
      <c r="J33" s="43">
        <f>IF($H33 = "Ignore",0,VLOOKUP($B33,Initialweight!$F:$I,3,0))</f>
        <v>0</v>
      </c>
      <c r="K33" s="43">
        <f>IF($H33 = "Ignore",0,VLOOKUP($B33,Initialweight!$F:$I,4,0))</f>
        <v>0</v>
      </c>
      <c r="L33" s="45">
        <f>IF($H33 = "Ignore",0,VLOOKUP($C33,Initialweight!$K:$N,2,0))</f>
        <v>0</v>
      </c>
      <c r="M33" s="45">
        <f>IF($H33 = "Ignore",0,VLOOKUP($C33,Initialweight!$K:$N,3,0))</f>
        <v>0</v>
      </c>
      <c r="N33" s="45">
        <f>IF($H33 = "Ignore",0,VLOOKUP($C33,Initialweight!$K:$N,4,0))</f>
        <v>0</v>
      </c>
      <c r="O33" s="46">
        <f t="shared" si="5"/>
        <v>0</v>
      </c>
      <c r="P33" s="47">
        <f t="shared" si="6"/>
        <v>0</v>
      </c>
      <c r="Q33" s="47">
        <f t="shared" si="7"/>
        <v>0.3</v>
      </c>
      <c r="R33" s="47">
        <f t="shared" si="8"/>
        <v>0</v>
      </c>
      <c r="S33" s="47">
        <f t="shared" si="9"/>
        <v>0</v>
      </c>
      <c r="T33" s="47">
        <f t="shared" si="10"/>
        <v>0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5">
        <f>IF($H33="Ignore",0,$L33-$H$3*((SUMPRODUCT($P$62:$P$66,$I$62:$I$66)+SUMPRODUCT($Q$62:$Q$66,$L$62:$L$66))/5))</f>
        <v>0</v>
      </c>
      <c r="Y33" s="45">
        <f>IF($H33="Ignore",0,$L33-$H$3*((SUMPRODUCT($P$62:$P$66,$J$62:$J$66)+SUMPRODUCT($Q$62:$Q$66,$M$62:$M$66))/5))</f>
        <v>0</v>
      </c>
      <c r="Z33" s="45">
        <f>IF($H33="Ignore",0,N33-$H$3*((SUM($P$62:$P$66)))/5)</f>
        <v>0</v>
      </c>
      <c r="AA33" s="46">
        <f t="shared" si="14"/>
        <v>0</v>
      </c>
      <c r="AB33" s="47">
        <f t="shared" si="15"/>
        <v>0</v>
      </c>
      <c r="AC33" s="47">
        <f t="shared" si="16"/>
        <v>0.3</v>
      </c>
      <c r="AD33" s="47">
        <f t="shared" si="17"/>
        <v>0</v>
      </c>
      <c r="AE33" s="47">
        <f t="shared" si="18"/>
        <v>0</v>
      </c>
      <c r="AF33" s="98">
        <f t="shared" si="19"/>
        <v>0</v>
      </c>
      <c r="AG33"/>
    </row>
    <row r="34" spans="1:33" s="53" customFormat="1" x14ac:dyDescent="0.25">
      <c r="A34" s="111"/>
      <c r="B34" s="130" t="s">
        <v>6</v>
      </c>
      <c r="C34" s="63" t="s">
        <v>13</v>
      </c>
      <c r="D34" s="63" t="str">
        <f t="shared" si="2"/>
        <v>user4-Fruit Salad</v>
      </c>
      <c r="E34" s="63" t="str">
        <f t="shared" si="3"/>
        <v>user4-Training</v>
      </c>
      <c r="F34" s="63" t="str">
        <f t="shared" si="4"/>
        <v>Fruit Salad-Training</v>
      </c>
      <c r="G34" s="48" t="s">
        <v>35</v>
      </c>
      <c r="H34" s="64">
        <f>IF($G34 = "Training",VLOOKUP($B34,test_training!B26:E26,4,0),"Ignore")</f>
        <v>5</v>
      </c>
      <c r="I34" s="49">
        <f>IF($H34 = "Ignore",0,VLOOKUP(B34,Initialweight!$F:$I,2,0))</f>
        <v>-0.89153783231512851</v>
      </c>
      <c r="J34" s="49">
        <f>IF($H34 = "Ignore",0,VLOOKUP($B34,Initialweight!$F:$I,3,0))</f>
        <v>-0.7967083750355437</v>
      </c>
      <c r="K34" s="49">
        <f>IF($H34 = "Ignore",0,VLOOKUP($B34,Initialweight!$F:$I,4,0))</f>
        <v>0.1</v>
      </c>
      <c r="L34" s="65">
        <f>IF($H34 = "Ignore",0,VLOOKUP($C34,Initialweight!$K:$N,2,0))</f>
        <v>1.0692803455337927</v>
      </c>
      <c r="M34" s="65">
        <f>IF($H34 = "Ignore",0,VLOOKUP($C34,Initialweight!$K:$N,3,0))</f>
        <v>0.63717442611924779</v>
      </c>
      <c r="N34" s="65">
        <f>IF($H34 = "Ignore",0,VLOOKUP($C34,Initialweight!$K:$N,4,0))</f>
        <v>0.1</v>
      </c>
      <c r="O34" s="95">
        <f t="shared" si="5"/>
        <v>-1.26094608304204</v>
      </c>
      <c r="P34" s="96">
        <f t="shared" si="6"/>
        <v>-6.2609460830420396</v>
      </c>
      <c r="Q34" s="96">
        <f t="shared" si="7"/>
        <v>0.3</v>
      </c>
      <c r="R34" s="96">
        <f t="shared" si="8"/>
        <v>1.4295839413009348</v>
      </c>
      <c r="S34" s="96">
        <f t="shared" si="9"/>
        <v>1.5493517066452598</v>
      </c>
      <c r="T34" s="96">
        <f t="shared" si="10"/>
        <v>40.093126549143314</v>
      </c>
      <c r="U34" s="49">
        <f t="shared" si="26"/>
        <v>-0.67120207989749425</v>
      </c>
      <c r="V34" s="49">
        <f t="shared" si="27"/>
        <v>-0.64394154402373482</v>
      </c>
      <c r="W34" s="43">
        <f t="shared" si="28"/>
        <v>0.55174935254591728</v>
      </c>
      <c r="X34" s="65">
        <f>IF($H34="Ignore",0,$L34-$H$3*((SUMPRODUCT($P$67:$P$71,$I$67:$I$71)+SUMPRODUCT($Q$67:$Q$71,$L$67:$L$71))/5))</f>
        <v>0.92487251678154836</v>
      </c>
      <c r="Y34" s="65">
        <f>IF($H34="Ignore",0,$L34-$H$3*((SUMPRODUCT($P$67:$P$71,$J$67:$J$71)+SUMPRODUCT($Q$67:$Q$71,$M$67:$M$71))/5))</f>
        <v>1.1010518580241582</v>
      </c>
      <c r="Z34" s="45">
        <f>IF($H34="Ignore",0,N34-$H$3*((SUM($P$67:$P$71)))/5)</f>
        <v>0.39031069877657565</v>
      </c>
      <c r="AA34" s="95">
        <f t="shared" si="14"/>
        <v>-0.38772933908759077</v>
      </c>
      <c r="AB34" s="96">
        <f t="shared" si="15"/>
        <v>-5.3877293390875911</v>
      </c>
      <c r="AC34" s="96">
        <f t="shared" si="16"/>
        <v>0.3</v>
      </c>
      <c r="AD34" s="96">
        <f t="shared" si="17"/>
        <v>0.86517294417839385</v>
      </c>
      <c r="AE34" s="96">
        <f t="shared" si="18"/>
        <v>2.0677043663562862</v>
      </c>
      <c r="AF34" s="131">
        <f t="shared" si="19"/>
        <v>29.907490624425616</v>
      </c>
    </row>
    <row r="35" spans="1:33" s="53" customFormat="1" x14ac:dyDescent="0.25">
      <c r="A35"/>
      <c r="B35" s="97" t="s">
        <v>7</v>
      </c>
      <c r="C35" s="62" t="s">
        <v>8</v>
      </c>
      <c r="D35" s="62" t="str">
        <f t="shared" si="2"/>
        <v>user5-Aloo Paratha</v>
      </c>
      <c r="E35" s="62" t="str">
        <f t="shared" si="3"/>
        <v>user5-Training</v>
      </c>
      <c r="F35" s="62" t="str">
        <f t="shared" si="4"/>
        <v>Aloo Paratha-Training</v>
      </c>
      <c r="G35" s="42" t="s">
        <v>35</v>
      </c>
      <c r="H35" s="44">
        <f>IF($G35 = "Training",VLOOKUP($B35,test_training!B27:E27,4,0),"Ignore")</f>
        <v>3.5</v>
      </c>
      <c r="I35" s="43">
        <f>IF($H35 = "Ignore",0,VLOOKUP(B35,Initialweight!$F:$I,2,0))</f>
        <v>0.11566330747510577</v>
      </c>
      <c r="J35" s="43">
        <f>IF($H35 = "Ignore",0,VLOOKUP($B35,Initialweight!$F:$I,3,0))</f>
        <v>0.31927318140893735</v>
      </c>
      <c r="K35" s="43">
        <f>IF($H35 = "Ignore",0,VLOOKUP($B35,Initialweight!$F:$I,4,0))</f>
        <v>0.1</v>
      </c>
      <c r="L35" s="45">
        <f>IF($H35 = "Ignore",0,VLOOKUP($C35,Initialweight!$K:$N,2,0))</f>
        <v>0.56298525725053339</v>
      </c>
      <c r="M35" s="45">
        <f>IF($H35 = "Ignore",0,VLOOKUP($C35,Initialweight!$K:$N,3,0))</f>
        <v>-0.14020780478012193</v>
      </c>
      <c r="N35" s="45">
        <f>IF($H35 = "Ignore",0,VLOOKUP($C35,Initialweight!$K:$N,4,0))</f>
        <v>0.1</v>
      </c>
      <c r="O35" s="46">
        <f t="shared" si="5"/>
        <v>0.22035214502280723</v>
      </c>
      <c r="P35" s="47">
        <f t="shared" si="6"/>
        <v>-3.2796478549771928</v>
      </c>
      <c r="Q35" s="47">
        <f t="shared" si="7"/>
        <v>0.3</v>
      </c>
      <c r="R35" s="47">
        <f t="shared" si="8"/>
        <v>0.11531336506306508</v>
      </c>
      <c r="S35" s="47">
        <f t="shared" si="9"/>
        <v>0.33661062840271</v>
      </c>
      <c r="T35" s="47">
        <f t="shared" si="10"/>
        <v>10.891667250696234</v>
      </c>
      <c r="U35" s="43">
        <f>IF($H35="Ignore",0,$I35-$H$3*((SUMPRODUCT($P$35:$P$40,$L$35:$L$40)+SUMPRODUCT($Q$35:$Q$40,I$35:I$40))/5))</f>
        <v>0.2503116900892644</v>
      </c>
      <c r="V35" s="43">
        <f>IF($H35="Ignore",0,$I35-$H$3*((SUMPRODUCT($P$35:$P$40,$M$35:$M$40)+SUMPRODUCT($Q$35:$Q$40,J$35:J$40))/5))</f>
        <v>0.14187348696061614</v>
      </c>
      <c r="W35" s="43">
        <f>IF($H35="Ignore",0,$K35-$H$3*((SUM($P$35:$P$40))/5))</f>
        <v>0.40975600927028455</v>
      </c>
      <c r="X35" s="45">
        <f>IF($H35="Ignore",0,L35-$H$3*((SUMPRODUCT($P$42:$P$46,$I$42:$I$46)+SUMPRODUCT($Q$42:$Q$46,$L$42:$L$46))/5))</f>
        <v>0.5179108468478516</v>
      </c>
      <c r="Y35" s="45">
        <f>IF($H35="Ignore",0,$L35-$H$3*((SUMPRODUCT($P$42:$P$46,$J$42:$J$46)+SUMPRODUCT($Q$42:$Q$46,$M$42:$M$46))/5))</f>
        <v>0.66548807659841303</v>
      </c>
      <c r="Z35" s="45">
        <f>IF($H35="Ignore",0,N35-$H$3*((SUM($P$42:$P$46)))/5)</f>
        <v>0.41110574287906165</v>
      </c>
      <c r="AA35" s="46">
        <f t="shared" si="14"/>
        <v>1.0449160054971245</v>
      </c>
      <c r="AB35" s="47">
        <f t="shared" si="15"/>
        <v>-2.4550839945028757</v>
      </c>
      <c r="AC35" s="47">
        <f t="shared" si="16"/>
        <v>0.3</v>
      </c>
      <c r="AD35" s="47">
        <f t="shared" si="17"/>
        <v>8.2784028497708051E-2</v>
      </c>
      <c r="AE35" s="47">
        <f t="shared" si="18"/>
        <v>0.71110602537731404</v>
      </c>
      <c r="AF35" s="110">
        <f t="shared" si="19"/>
        <v>6.2656044362267034</v>
      </c>
      <c r="AG35" s="112"/>
    </row>
    <row r="36" spans="1:33" s="53" customFormat="1" x14ac:dyDescent="0.25">
      <c r="A36"/>
      <c r="B36" s="97" t="s">
        <v>7</v>
      </c>
      <c r="C36" s="62" t="s">
        <v>9</v>
      </c>
      <c r="D36" s="62" t="str">
        <f t="shared" si="2"/>
        <v>user5-Tandoori Chicken</v>
      </c>
      <c r="E36" s="62" t="str">
        <f t="shared" si="3"/>
        <v>user5-Training</v>
      </c>
      <c r="F36" s="62" t="str">
        <f t="shared" si="4"/>
        <v>Tandoori Chicken-Training</v>
      </c>
      <c r="G36" s="42" t="s">
        <v>35</v>
      </c>
      <c r="H36" s="44">
        <f>IF($G36 = "Training",VLOOKUP($B36,test_training!B28:E28,4,0),"Ignore")</f>
        <v>2</v>
      </c>
      <c r="I36" s="43">
        <f>IF($H36 = "Ignore",0,VLOOKUP(B36,Initialweight!$F:$I,2,0))</f>
        <v>0.11566330747510577</v>
      </c>
      <c r="J36" s="43">
        <f>IF($H36 = "Ignore",0,VLOOKUP($B36,Initialweight!$F:$I,3,0))</f>
        <v>0.31927318140893735</v>
      </c>
      <c r="K36" s="43">
        <f>IF($H36 = "Ignore",0,VLOOKUP($B36,Initialweight!$F:$I,4,0))</f>
        <v>0.1</v>
      </c>
      <c r="L36" s="45">
        <f>IF($H36 = "Ignore",0,VLOOKUP($C36,Initialweight!$K:$N,2,0))</f>
        <v>-1.6865310697866495E-2</v>
      </c>
      <c r="M36" s="45">
        <f>IF($H36 = "Ignore",0,VLOOKUP($C36,Initialweight!$K:$N,3,0))</f>
        <v>0.95458588500479291</v>
      </c>
      <c r="N36" s="45">
        <f>IF($H36 = "Ignore",0,VLOOKUP($C36,Initialweight!$K:$N,4,0))</f>
        <v>0.1</v>
      </c>
      <c r="O36" s="46">
        <f t="shared" si="5"/>
        <v>0.50282297481663574</v>
      </c>
      <c r="P36" s="47">
        <f t="shared" si="6"/>
        <v>-1.4971770251833643</v>
      </c>
      <c r="Q36" s="47">
        <f t="shared" si="7"/>
        <v>0.3</v>
      </c>
      <c r="R36" s="47">
        <f t="shared" si="8"/>
        <v>0.11531336506306508</v>
      </c>
      <c r="S36" s="47">
        <f t="shared" si="9"/>
        <v>0.91151865055531922</v>
      </c>
      <c r="T36" s="47">
        <f t="shared" si="10"/>
        <v>2.5495886494224238</v>
      </c>
      <c r="U36" s="43">
        <f t="shared" ref="U36:U40" si="29">IF($H36="Ignore",0,$I36-$H$3*((SUMPRODUCT($P$35:$P$40,$L$35:$L$40)+SUMPRODUCT($Q$35:$Q$40,I$35:I$40))/5))</f>
        <v>0.2503116900892644</v>
      </c>
      <c r="V36" s="43">
        <f t="shared" ref="V36:V40" si="30">IF($H36="Ignore",0,$I36-$H$3*((SUMPRODUCT($P$35:$P$40,$M$35:$M$40)+SUMPRODUCT($Q$35:$Q$40,J$35:J$40))/5))</f>
        <v>0.14187348696061614</v>
      </c>
      <c r="W36" s="43">
        <f t="shared" ref="W36:W40" si="31">IF($H36="Ignore",0,$K36-$H$3*((SUM($P$35:$P$40))/5))</f>
        <v>0.40975600927028455</v>
      </c>
      <c r="X36" s="45">
        <f>IF($H36="Ignore",0,$L36-$H$3*((SUMPRODUCT($P$47:$P$51,$I$47:$I$51)+SUMPRODUCT($Q$47:$Q$51,$L$47:$L$51))/5))</f>
        <v>-6.9037757170058639E-2</v>
      </c>
      <c r="Y36" s="45">
        <f>IF($H36="Ignore",0,$L36-$H$3*((SUMPRODUCT($P$47:$P$51,$J$47:$J$51)+SUMPRODUCT($Q$47:$Q$51,$M$47:$M$51))/5))</f>
        <v>-6.5134530548967784E-2</v>
      </c>
      <c r="Z36" s="45">
        <f>IF($H36="Ignore",0,N36-$H$3*((SUM($P$47:$P$51)))/5)</f>
        <v>0.38167583004248373</v>
      </c>
      <c r="AA36" s="46">
        <f t="shared" si="14"/>
        <v>0.76491001866503383</v>
      </c>
      <c r="AB36" s="47">
        <f t="shared" si="15"/>
        <v>-1.2350899813349661</v>
      </c>
      <c r="AC36" s="47">
        <f t="shared" si="16"/>
        <v>0.3</v>
      </c>
      <c r="AD36" s="47">
        <f t="shared" si="17"/>
        <v>8.2784028497708051E-2</v>
      </c>
      <c r="AE36" s="47">
        <f t="shared" si="18"/>
        <v>9.0087189849064001E-3</v>
      </c>
      <c r="AF36" s="98">
        <f t="shared" si="19"/>
        <v>1.5529850862387911</v>
      </c>
      <c r="AG36"/>
    </row>
    <row r="37" spans="1:33" x14ac:dyDescent="0.25">
      <c r="B37" s="97" t="s">
        <v>7</v>
      </c>
      <c r="C37" s="62" t="s">
        <v>10</v>
      </c>
      <c r="D37" s="62" t="str">
        <f t="shared" si="2"/>
        <v>user5-Vegetable Soup</v>
      </c>
      <c r="E37" s="62" t="str">
        <f t="shared" si="3"/>
        <v>user5-Training</v>
      </c>
      <c r="F37" s="62" t="str">
        <f t="shared" si="4"/>
        <v>Vegetable Soup-Training</v>
      </c>
      <c r="G37" s="42" t="s">
        <v>35</v>
      </c>
      <c r="H37" s="44">
        <f>IF($G37 = "Training",VLOOKUP($B37,test_training!B29:E29,4,0),"Ignore")</f>
        <v>5</v>
      </c>
      <c r="I37" s="43">
        <f>IF($H37 = "Ignore",0,VLOOKUP(B37,Initialweight!$F:$I,2,0))</f>
        <v>0.11566330747510577</v>
      </c>
      <c r="J37" s="43">
        <f>IF($H37 = "Ignore",0,VLOOKUP($B37,Initialweight!$F:$I,3,0))</f>
        <v>0.31927318140893735</v>
      </c>
      <c r="K37" s="43">
        <f>IF($H37 = "Ignore",0,VLOOKUP($B37,Initialweight!$F:$I,4,0))</f>
        <v>0.1</v>
      </c>
      <c r="L37" s="45">
        <f>IF($H37 = "Ignore",0,VLOOKUP($C37,Initialweight!$K:$N,2,0))</f>
        <v>0.60793976535137362</v>
      </c>
      <c r="M37" s="45">
        <f>IF($H37 = "Ignore",0,VLOOKUP($C37,Initialweight!$K:$N,3,0))</f>
        <v>0.62701844162690035</v>
      </c>
      <c r="N37" s="45">
        <f>IF($H37 = "Ignore",0,VLOOKUP($C37,Initialweight!$K:$N,4,0))</f>
        <v>0.1</v>
      </c>
      <c r="O37" s="46">
        <f t="shared" si="5"/>
        <v>0.47050649666647415</v>
      </c>
      <c r="P37" s="47">
        <f t="shared" si="6"/>
        <v>-4.5294935033335255</v>
      </c>
      <c r="Q37" s="47">
        <f t="shared" si="7"/>
        <v>0.3</v>
      </c>
      <c r="R37" s="47">
        <f t="shared" si="8"/>
        <v>0.11531336506306508</v>
      </c>
      <c r="S37" s="47">
        <f t="shared" si="9"/>
        <v>0.76274288443570981</v>
      </c>
      <c r="T37" s="47">
        <f t="shared" si="10"/>
        <v>20.779728271590248</v>
      </c>
      <c r="U37" s="43">
        <f t="shared" si="29"/>
        <v>0.2503116900892644</v>
      </c>
      <c r="V37" s="43">
        <f t="shared" si="30"/>
        <v>0.14187348696061614</v>
      </c>
      <c r="W37" s="43">
        <f t="shared" si="31"/>
        <v>0.40975600927028455</v>
      </c>
      <c r="X37" s="45">
        <f>IF($H37="Ignore",0,$L37-$H$3*((SUMPRODUCT($P$52:$P$56,$I$52:$I$56)+SUMPRODUCT($Q$52:$Q$56,$L$52:$L$56))/5))</f>
        <v>0.47570840811058945</v>
      </c>
      <c r="Y37" s="45">
        <f>IF($H37="Ignore",0,$L37-$H$3*((SUMPRODUCT($P$52:$P$56,$J$52:$J$56)+SUMPRODUCT($Q$52:$Q$56,$M$52:$M$56))/5))</f>
        <v>0.61561139831918166</v>
      </c>
      <c r="Z37" s="45">
        <f>IF($H37="Ignore",0,N37-$H$3*((SUM($P$52:$P$56)))/5)</f>
        <v>0.39679384093813452</v>
      </c>
      <c r="AA37" s="46">
        <f t="shared" si="14"/>
        <v>1.0129641615244973</v>
      </c>
      <c r="AB37" s="47">
        <f t="shared" si="15"/>
        <v>-3.9870358384755029</v>
      </c>
      <c r="AC37" s="47">
        <f t="shared" si="16"/>
        <v>0.3</v>
      </c>
      <c r="AD37" s="47">
        <f t="shared" si="17"/>
        <v>8.2784028497708051E-2</v>
      </c>
      <c r="AE37" s="47">
        <f t="shared" si="18"/>
        <v>0.60527588328760928</v>
      </c>
      <c r="AF37" s="98">
        <f t="shared" si="19"/>
        <v>16.10287275082365</v>
      </c>
    </row>
    <row r="38" spans="1:33" x14ac:dyDescent="0.25">
      <c r="B38" s="97" t="s">
        <v>7</v>
      </c>
      <c r="C38" s="62" t="s">
        <v>11</v>
      </c>
      <c r="D38" s="62" t="str">
        <f t="shared" si="2"/>
        <v>user5-Khichdi</v>
      </c>
      <c r="E38" s="62" t="str">
        <f t="shared" si="3"/>
        <v>user5-Training</v>
      </c>
      <c r="F38" s="62" t="str">
        <f t="shared" si="4"/>
        <v>Khichdi-Training</v>
      </c>
      <c r="G38" s="42" t="s">
        <v>35</v>
      </c>
      <c r="H38" s="44">
        <f>IF($G38 = "Training",VLOOKUP($B38,test_training!B30:E30,4,0),"Ignore")</f>
        <v>2.5</v>
      </c>
      <c r="I38" s="43">
        <f>IF($H38 = "Ignore",0,VLOOKUP(B38,Initialweight!$F:$I,2,0))</f>
        <v>0.11566330747510577</v>
      </c>
      <c r="J38" s="43">
        <f>IF($H38 = "Ignore",0,VLOOKUP($B38,Initialweight!$F:$I,3,0))</f>
        <v>0.31927318140893735</v>
      </c>
      <c r="K38" s="43">
        <f>IF($H38 = "Ignore",0,VLOOKUP($B38,Initialweight!$F:$I,4,0))</f>
        <v>0.1</v>
      </c>
      <c r="L38" s="45">
        <f>IF($H38 = "Ignore",0,VLOOKUP($C38,Initialweight!$K:$N,2,0))</f>
        <v>-0.22530717587291313</v>
      </c>
      <c r="M38" s="45">
        <f>IF($H38 = "Ignore",0,VLOOKUP($C38,Initialweight!$K:$N,3,0))</f>
        <v>0.18843888870943978</v>
      </c>
      <c r="N38" s="45">
        <f>IF($H38 = "Ignore",0,VLOOKUP($C38,Initialweight!$K:$N,4,0))</f>
        <v>0.1</v>
      </c>
      <c r="O38" s="46">
        <f t="shared" si="5"/>
        <v>0.23410371034009106</v>
      </c>
      <c r="P38" s="47">
        <f t="shared" si="6"/>
        <v>-2.2658962896599091</v>
      </c>
      <c r="Q38" s="47">
        <f t="shared" si="7"/>
        <v>0.3</v>
      </c>
      <c r="R38" s="47">
        <f t="shared" si="8"/>
        <v>0.11531336506306508</v>
      </c>
      <c r="S38" s="47">
        <f t="shared" si="9"/>
        <v>8.627253827787644E-2</v>
      </c>
      <c r="T38" s="47">
        <f t="shared" si="10"/>
        <v>5.1947617664968249</v>
      </c>
      <c r="U38" s="43">
        <f t="shared" si="29"/>
        <v>0.2503116900892644</v>
      </c>
      <c r="V38" s="43">
        <f t="shared" si="30"/>
        <v>0.14187348696061614</v>
      </c>
      <c r="W38" s="43">
        <f t="shared" si="31"/>
        <v>0.40975600927028455</v>
      </c>
      <c r="X38" s="45">
        <f>IF($H38="Ignore",0,$L38-$H$3*((SUMPRODUCT($P$57:$P$61,$I$57:$I$61)+SUMPRODUCT($Q$57:$Q$61,$L$57:$L$61))/5))</f>
        <v>-0.2522270011183807</v>
      </c>
      <c r="Y38" s="45">
        <f>IF($H38="Ignore",0,$L38-$H$3*((SUMPRODUCT($P$57:$P$61,$J$57:$J$61)+SUMPRODUCT($Q$57:$Q$61,$M$57:$M$61))/5))</f>
        <v>-0.11448405975899148</v>
      </c>
      <c r="Z38" s="45">
        <f>IF($H38="Ignore",0,N38-$H$3*((SUM($P$57:$P$61)))/5)</f>
        <v>0.36583990059786542</v>
      </c>
      <c r="AA38" s="46">
        <f t="shared" si="14"/>
        <v>0.69621829017264569</v>
      </c>
      <c r="AB38" s="47">
        <f t="shared" si="15"/>
        <v>-1.8037817098273543</v>
      </c>
      <c r="AC38" s="47">
        <f t="shared" si="16"/>
        <v>0.3</v>
      </c>
      <c r="AD38" s="47">
        <f t="shared" si="17"/>
        <v>8.2784028497708051E-2</v>
      </c>
      <c r="AE38" s="47">
        <f t="shared" si="18"/>
        <v>7.6725060032071954E-2</v>
      </c>
      <c r="AF38" s="98">
        <f t="shared" si="19"/>
        <v>3.301481183266628</v>
      </c>
    </row>
    <row r="39" spans="1:33" x14ac:dyDescent="0.25">
      <c r="B39" s="97" t="s">
        <v>7</v>
      </c>
      <c r="C39" s="62" t="s">
        <v>12</v>
      </c>
      <c r="D39" s="62" t="str">
        <f t="shared" si="2"/>
        <v>user5-Biryani</v>
      </c>
      <c r="E39" s="62" t="str">
        <f t="shared" si="3"/>
        <v>user5-Training</v>
      </c>
      <c r="F39" s="62" t="str">
        <f t="shared" si="4"/>
        <v>Biryani-Training</v>
      </c>
      <c r="G39" s="42" t="s">
        <v>35</v>
      </c>
      <c r="H39" s="44">
        <f>IF($G39 = "Training",VLOOKUP($B39,test_training!B31:E31,4,0),"Ignore")</f>
        <v>4</v>
      </c>
      <c r="I39" s="43">
        <f>IF($H39 = "Ignore",0,VLOOKUP(B39,Initialweight!$F:$I,2,0))</f>
        <v>0.11566330747510577</v>
      </c>
      <c r="J39" s="43">
        <f>IF($H39 = "Ignore",0,VLOOKUP($B39,Initialweight!$F:$I,3,0))</f>
        <v>0.31927318140893735</v>
      </c>
      <c r="K39" s="43">
        <f>IF($H39 = "Ignore",0,VLOOKUP($B39,Initialweight!$F:$I,4,0))</f>
        <v>0.1</v>
      </c>
      <c r="L39" s="45">
        <f>IF($H39 = "Ignore",0,VLOOKUP($C39,Initialweight!$K:$N,2,0))</f>
        <v>0.72572398734242127</v>
      </c>
      <c r="M39" s="45">
        <f>IF($H39 = "Ignore",0,VLOOKUP($C39,Initialweight!$K:$N,3,0))</f>
        <v>-0.6249363825980645</v>
      </c>
      <c r="N39" s="45">
        <f>IF($H39 = "Ignore",0,VLOOKUP($C39,Initialweight!$K:$N,4,0))</f>
        <v>0.1</v>
      </c>
      <c r="O39" s="46">
        <f t="shared" si="5"/>
        <v>8.4414209639769325E-2</v>
      </c>
      <c r="P39" s="47">
        <f t="shared" si="6"/>
        <v>-3.9155857903602307</v>
      </c>
      <c r="Q39" s="47">
        <f t="shared" si="7"/>
        <v>0.3</v>
      </c>
      <c r="R39" s="47">
        <f t="shared" si="8"/>
        <v>0.11531336506306508</v>
      </c>
      <c r="S39" s="47">
        <f t="shared" si="9"/>
        <v>0.91722078809893737</v>
      </c>
      <c r="T39" s="47">
        <f t="shared" si="10"/>
        <v>15.641572327619553</v>
      </c>
      <c r="U39" s="43">
        <f t="shared" si="29"/>
        <v>0.2503116900892644</v>
      </c>
      <c r="V39" s="43">
        <f t="shared" si="30"/>
        <v>0.14187348696061614</v>
      </c>
      <c r="W39" s="43">
        <f t="shared" si="31"/>
        <v>0.40975600927028455</v>
      </c>
      <c r="X39" s="45">
        <f>IF($H39="Ignore",0,$L39-$H$3*((SUMPRODUCT($P$62:$P$66,$I$62:$I$66)+SUMPRODUCT($Q$62:$Q$66,$L$62:$L$66))/5))</f>
        <v>0.692555421427832</v>
      </c>
      <c r="Y39" s="45">
        <f>IF($H39="Ignore",0,$L39-$H$3*((SUMPRODUCT($P$62:$P$66,$J$62:$J$66)+SUMPRODUCT($Q$62:$Q$66,$M$62:$M$66))/5))</f>
        <v>0.91807206643385819</v>
      </c>
      <c r="Z39" s="45">
        <f>IF($H39="Ignore",0,N39-$H$3*((SUM($P$62:$P$66)))/5)</f>
        <v>0.42073468683411752</v>
      </c>
      <c r="AA39" s="46">
        <f t="shared" si="14"/>
        <v>1.1340954994685952</v>
      </c>
      <c r="AB39" s="47">
        <f t="shared" si="15"/>
        <v>-2.8659045005314048</v>
      </c>
      <c r="AC39" s="47">
        <f t="shared" si="16"/>
        <v>0.3</v>
      </c>
      <c r="AD39" s="47">
        <f t="shared" si="17"/>
        <v>8.2784028497708051E-2</v>
      </c>
      <c r="AE39" s="47">
        <f t="shared" si="18"/>
        <v>1.3224893309152166</v>
      </c>
      <c r="AF39" s="98">
        <f t="shared" si="19"/>
        <v>8.6349906139900376</v>
      </c>
    </row>
    <row r="40" spans="1:33" ht="15.75" thickBot="1" x14ac:dyDescent="0.3">
      <c r="B40" s="99" t="s">
        <v>7</v>
      </c>
      <c r="C40" s="100" t="s">
        <v>13</v>
      </c>
      <c r="D40" s="100" t="str">
        <f t="shared" si="2"/>
        <v>user5-Fruit Salad</v>
      </c>
      <c r="E40" s="100" t="str">
        <f t="shared" si="3"/>
        <v>user5-Training</v>
      </c>
      <c r="F40" s="100" t="str">
        <f t="shared" si="4"/>
        <v>Fruit Salad-Training</v>
      </c>
      <c r="G40" s="101" t="s">
        <v>34</v>
      </c>
      <c r="H40" s="102" t="str">
        <f>IF($G40 = "Training",VLOOKUP($B40,test_training!B32:E32,4,0),"Ignore")</f>
        <v>Ignore</v>
      </c>
      <c r="I40" s="103">
        <f>IF($H40 = "Ignore",0,VLOOKUP(B40,Initialweight!$F:$I,2,0))</f>
        <v>0</v>
      </c>
      <c r="J40" s="103">
        <f>IF($H40 = "Ignore",0,VLOOKUP($B40,Initialweight!$F:$I,3,0))</f>
        <v>0</v>
      </c>
      <c r="K40" s="103">
        <f>IF($H40 = "Ignore",0,VLOOKUP($B40,Initialweight!$F:$I,4,0))</f>
        <v>0</v>
      </c>
      <c r="L40" s="104">
        <f>IF($H40 = "Ignore",0,VLOOKUP($C40,Initialweight!$K:$N,2,0))</f>
        <v>0</v>
      </c>
      <c r="M40" s="104">
        <f>IF($H40 = "Ignore",0,VLOOKUP($C40,Initialweight!$K:$N,3,0))</f>
        <v>0</v>
      </c>
      <c r="N40" s="104">
        <f>IF($H40 = "Ignore",0,VLOOKUP($C40,Initialweight!$K:$N,4,0))</f>
        <v>0</v>
      </c>
      <c r="O40" s="105">
        <f t="shared" si="5"/>
        <v>0</v>
      </c>
      <c r="P40" s="106">
        <f t="shared" si="6"/>
        <v>0</v>
      </c>
      <c r="Q40" s="106">
        <f t="shared" si="7"/>
        <v>0.3</v>
      </c>
      <c r="R40" s="106">
        <f t="shared" si="8"/>
        <v>0</v>
      </c>
      <c r="S40" s="106">
        <f t="shared" si="9"/>
        <v>0</v>
      </c>
      <c r="T40" s="106">
        <f t="shared" si="10"/>
        <v>0</v>
      </c>
      <c r="U40" s="103">
        <f t="shared" si="29"/>
        <v>0</v>
      </c>
      <c r="V40" s="103">
        <f t="shared" si="30"/>
        <v>0</v>
      </c>
      <c r="W40" s="43">
        <f t="shared" si="31"/>
        <v>0</v>
      </c>
      <c r="X40" s="104">
        <f>IF($H40="Ignore",0,$L40-$H$3*((SUMPRODUCT($P$67:$P$71,$I$67:$I$71)+SUMPRODUCT($Q$67:$Q$71,$L$67:$L$71))/5))</f>
        <v>0</v>
      </c>
      <c r="Y40" s="104">
        <f>IF($H40="Ignore",0,$L40-$H$3*((SUMPRODUCT($P$67:$P$71,$J$67:$J$71)+SUMPRODUCT($Q$67:$Q$71,$M$67:$M$71))/5))</f>
        <v>0</v>
      </c>
      <c r="Z40" s="45">
        <f>IF($H40="Ignore",0,N40-$H$3*((SUM($P$67:$P$71)))/5)</f>
        <v>0</v>
      </c>
      <c r="AA40" s="105">
        <f t="shared" si="14"/>
        <v>0</v>
      </c>
      <c r="AB40" s="106">
        <f t="shared" si="15"/>
        <v>0</v>
      </c>
      <c r="AC40" s="106">
        <f t="shared" si="16"/>
        <v>0.3</v>
      </c>
      <c r="AD40" s="106">
        <f t="shared" si="17"/>
        <v>0</v>
      </c>
      <c r="AE40" s="106">
        <f t="shared" si="18"/>
        <v>0</v>
      </c>
      <c r="AF40" s="107">
        <f t="shared" si="19"/>
        <v>0</v>
      </c>
    </row>
    <row r="41" spans="1:33" s="53" customFormat="1" ht="15.75" thickBot="1" x14ac:dyDescent="0.3"/>
    <row r="42" spans="1:33" s="53" customFormat="1" x14ac:dyDescent="0.25">
      <c r="B42" s="113" t="s">
        <v>3</v>
      </c>
      <c r="C42" s="114" t="s">
        <v>8</v>
      </c>
      <c r="D42" s="114" t="str">
        <f>B42&amp;"-"&amp;C42</f>
        <v>user1-Aloo Paratha</v>
      </c>
      <c r="E42" s="114"/>
      <c r="F42" s="114"/>
      <c r="G42" s="115" t="s">
        <v>35</v>
      </c>
      <c r="H42" s="116">
        <f>IF($G42 = "Training", VLOOKUP($D42,test_training!$F:$G,2,0),"Ignore")</f>
        <v>3</v>
      </c>
      <c r="I42" s="117">
        <f>IF($G42 = "test", 0, VLOOKUP($B42,Initialweight!$F:$G,2,0))</f>
        <v>-0.65855041801030101</v>
      </c>
      <c r="J42" s="117">
        <f>IF($H42 = "Ignore", 0, VLOOKUP($B42,Initialweight!$F:$I,3,0))</f>
        <v>-0.55591097208679596</v>
      </c>
      <c r="K42" s="117">
        <f>IF($H42 = "Ignore", 0, VLOOKUP($B42,Initialweight!$F:$I,4,0))</f>
        <v>0.1</v>
      </c>
      <c r="L42" s="118">
        <f>IF($H42 = "Ignore", 0, VLOOKUP($C42,Initialweight!$K:$N,2,0))</f>
        <v>0.56298525725053339</v>
      </c>
      <c r="M42" s="118">
        <f>IF($H42 = "Ignore", 0, VLOOKUP($C42,Initialweight!$K:$N,3,0))</f>
        <v>-0.14020780478012193</v>
      </c>
      <c r="N42" s="118">
        <f>IF($H42 = "Ignore", 0, VLOOKUP($C42,Initialweight!$K:$N,4,0))</f>
        <v>0.1</v>
      </c>
      <c r="O42" s="119">
        <f>IF($H42="Ignore",0,SUMPRODUCT(I42:J42,L42:M42)+K42+N42)</f>
        <v>-9.2811119446502277E-2</v>
      </c>
      <c r="P42" s="120">
        <f t="shared" si="6"/>
        <v>-3.0928111194465022</v>
      </c>
      <c r="Q42" s="120">
        <f t="shared" si="7"/>
        <v>0.3</v>
      </c>
      <c r="R42" s="120">
        <f>SUMPRODUCT(I42:J42,I42:J42)</f>
        <v>0.74272566194802869</v>
      </c>
      <c r="S42" s="120">
        <f>SUMPRODUCT(L42:M42,L42:M42)</f>
        <v>0.33661062840271</v>
      </c>
      <c r="T42" s="121">
        <f t="shared" si="10"/>
        <v>9.889281507677147</v>
      </c>
    </row>
    <row r="43" spans="1:33" x14ac:dyDescent="0.25">
      <c r="B43" s="122" t="s">
        <v>4</v>
      </c>
      <c r="C43" s="50" t="s">
        <v>8</v>
      </c>
      <c r="D43" s="50" t="str">
        <f t="shared" ref="D43:D71" si="32">B43&amp;"-"&amp;C43</f>
        <v>user2-Aloo Paratha</v>
      </c>
      <c r="E43" s="50"/>
      <c r="F43" s="50"/>
      <c r="G43" s="54" t="s">
        <v>35</v>
      </c>
      <c r="H43" s="108">
        <f>IF($G43 = "Training", VLOOKUP($D43,test_training!$F:$G,2,0),"Ignore")</f>
        <v>4</v>
      </c>
      <c r="I43" s="109">
        <f>IF($G43 = "test", 0, VLOOKUP($B43,Initialweight!$F:$G,2,0))</f>
        <v>1.1003686519786173</v>
      </c>
      <c r="J43" s="109">
        <f>IF($H43 = "Ignore", 0, VLOOKUP($B43,Initialweight!$F:$I,3,0))</f>
        <v>1.1491812482100716</v>
      </c>
      <c r="K43" s="109">
        <f>IF($H43 = "Ignore", 0, VLOOKUP($B43,Initialweight!$F:$I,4,0))</f>
        <v>0.1</v>
      </c>
      <c r="L43" s="59">
        <f>IF($H43 = "Ignore", 0, VLOOKUP($C43,Initialweight!$K:$N,2,0))</f>
        <v>0.56298525725053339</v>
      </c>
      <c r="M43" s="59">
        <f>IF($H43 = "Ignore", 0, VLOOKUP($C43,Initialweight!$K:$N,3,0))</f>
        <v>-0.14020780478012193</v>
      </c>
      <c r="N43" s="59">
        <f>IF($H43 = "Ignore", 0, VLOOKUP($C43,Initialweight!$K:$N,4,0))</f>
        <v>0.1</v>
      </c>
      <c r="O43" s="46">
        <f t="shared" ref="O43:O71" si="33">IF($H43="Ignore",0,SUMPRODUCT(I43:J43,L43:M43)+K43+N43)</f>
        <v>0.6583671484985899</v>
      </c>
      <c r="P43" s="47">
        <f t="shared" si="6"/>
        <v>-3.34163285150141</v>
      </c>
      <c r="Q43" s="47">
        <f t="shared" si="7"/>
        <v>0.3</v>
      </c>
      <c r="R43" s="47">
        <f t="shared" ref="R43:R71" si="34">SUMPRODUCT(I43:J43,I43:J43)</f>
        <v>2.5314287114948977</v>
      </c>
      <c r="S43" s="47">
        <f t="shared" ref="S43:S71" si="35">SUMPRODUCT(L43:M43,L43:M43)</f>
        <v>0.33661062840271</v>
      </c>
      <c r="T43" s="98">
        <f t="shared" si="10"/>
        <v>12.026921916202726</v>
      </c>
    </row>
    <row r="44" spans="1:33" x14ac:dyDescent="0.25">
      <c r="B44" s="122" t="s">
        <v>5</v>
      </c>
      <c r="C44" s="50" t="s">
        <v>8</v>
      </c>
      <c r="D44" s="50" t="str">
        <f t="shared" si="32"/>
        <v>user3-Aloo Paratha</v>
      </c>
      <c r="E44" s="50"/>
      <c r="F44" s="50"/>
      <c r="G44" s="54" t="s">
        <v>35</v>
      </c>
      <c r="H44" s="108">
        <f>IF($G44 = "Training", VLOOKUP($D44,test_training!$F:$G,2,0),"Ignore")</f>
        <v>2.5</v>
      </c>
      <c r="I44" s="109">
        <f>IF($G44 = "test", 0, VLOOKUP($B44,Initialweight!$F:$G,2,0))</f>
        <v>-0.22053509857539327</v>
      </c>
      <c r="J44" s="109">
        <f>IF($H44 = "Ignore", 0, VLOOKUP($B44,Initialweight!$F:$I,3,0))</f>
        <v>1.6177372266729149</v>
      </c>
      <c r="K44" s="109">
        <f>IF($H44 = "Ignore", 0, VLOOKUP($B44,Initialweight!$F:$I,4,0))</f>
        <v>0.1</v>
      </c>
      <c r="L44" s="59">
        <f>IF($H44 = "Ignore", 0, VLOOKUP($C44,Initialweight!$K:$N,2,0))</f>
        <v>0.56298525725053339</v>
      </c>
      <c r="M44" s="59">
        <f>IF($H44 = "Ignore", 0, VLOOKUP($C44,Initialweight!$K:$N,3,0))</f>
        <v>-0.14020780478012193</v>
      </c>
      <c r="N44" s="59">
        <f>IF($H44 = "Ignore", 0, VLOOKUP($C44,Initialweight!$K:$N,4,0))</f>
        <v>0.1</v>
      </c>
      <c r="O44" s="46">
        <f t="shared" si="33"/>
        <v>-0.1509773944671314</v>
      </c>
      <c r="P44" s="47">
        <f t="shared" si="6"/>
        <v>-2.6509773944671315</v>
      </c>
      <c r="Q44" s="47">
        <f t="shared" si="7"/>
        <v>0.3</v>
      </c>
      <c r="R44" s="47">
        <f t="shared" si="34"/>
        <v>2.6657094642670325</v>
      </c>
      <c r="S44" s="47">
        <f t="shared" si="35"/>
        <v>0.33661062840271</v>
      </c>
      <c r="T44" s="98">
        <f t="shared" si="10"/>
        <v>7.9283771737766635</v>
      </c>
    </row>
    <row r="45" spans="1:33" x14ac:dyDescent="0.25">
      <c r="B45" s="122" t="s">
        <v>6</v>
      </c>
      <c r="C45" s="50" t="s">
        <v>8</v>
      </c>
      <c r="D45" s="50" t="str">
        <f t="shared" si="32"/>
        <v>user4-Aloo Paratha</v>
      </c>
      <c r="E45" s="50"/>
      <c r="F45" s="50"/>
      <c r="G45" s="54" t="s">
        <v>35</v>
      </c>
      <c r="H45" s="108">
        <f>IF($G45 = "Training", VLOOKUP($D45,test_training!$F:$G,2,0),"Ignore")</f>
        <v>3</v>
      </c>
      <c r="I45" s="109">
        <f>IF($G45 = "test", 0, VLOOKUP($B45,Initialweight!$F:$G,2,0))</f>
        <v>-0.89153783231512851</v>
      </c>
      <c r="J45" s="109">
        <f>IF($H45 = "Ignore", 0, VLOOKUP($B45,Initialweight!$F:$I,3,0))</f>
        <v>-0.7967083750355437</v>
      </c>
      <c r="K45" s="109">
        <f>IF($H45 = "Ignore", 0, VLOOKUP($B45,Initialweight!$F:$I,4,0))</f>
        <v>0.1</v>
      </c>
      <c r="L45" s="59">
        <f>IF($H45 = "Ignore", 0, VLOOKUP($C45,Initialweight!$K:$N,2,0))</f>
        <v>0.56298525725053339</v>
      </c>
      <c r="M45" s="59">
        <f>IF($H45 = "Ignore", 0, VLOOKUP($C45,Initialweight!$K:$N,3,0))</f>
        <v>-0.14020780478012193</v>
      </c>
      <c r="N45" s="59">
        <f>IF($H45 = "Ignore", 0, VLOOKUP($C45,Initialweight!$K:$N,4,0))</f>
        <v>0.1</v>
      </c>
      <c r="O45" s="46">
        <f t="shared" si="33"/>
        <v>-0.19021792356084385</v>
      </c>
      <c r="P45" s="47">
        <f t="shared" si="6"/>
        <v>-3.1902179235608439</v>
      </c>
      <c r="Q45" s="47">
        <f t="shared" si="7"/>
        <v>0.3</v>
      </c>
      <c r="R45" s="47">
        <f t="shared" si="34"/>
        <v>1.4295839413009348</v>
      </c>
      <c r="S45" s="47">
        <f t="shared" si="35"/>
        <v>0.33661062840271</v>
      </c>
      <c r="T45" s="98">
        <f t="shared" si="10"/>
        <v>10.707348770719955</v>
      </c>
    </row>
    <row r="46" spans="1:33" s="53" customFormat="1" x14ac:dyDescent="0.25">
      <c r="B46" s="122" t="s">
        <v>7</v>
      </c>
      <c r="C46" s="50" t="s">
        <v>8</v>
      </c>
      <c r="D46" s="50" t="str">
        <f t="shared" si="32"/>
        <v>user5-Aloo Paratha</v>
      </c>
      <c r="E46" s="50"/>
      <c r="F46" s="50"/>
      <c r="G46" s="54" t="s">
        <v>35</v>
      </c>
      <c r="H46" s="108">
        <f>IF($G46 = "Training", VLOOKUP($D46,test_training!$F:$G,2,0),"Ignore")</f>
        <v>3.5</v>
      </c>
      <c r="I46" s="109">
        <f>IF($G46 = "test", 0, VLOOKUP($B46,Initialweight!$F:$G,2,0))</f>
        <v>0.11566330747510577</v>
      </c>
      <c r="J46" s="109">
        <f>IF($H46 = "Ignore", 0, VLOOKUP($B46,Initialweight!$F:$I,3,0))</f>
        <v>0.31927318140893735</v>
      </c>
      <c r="K46" s="109">
        <f>IF($H46 = "Ignore", 0, VLOOKUP($B46,Initialweight!$F:$I,4,0))</f>
        <v>0.1</v>
      </c>
      <c r="L46" s="59">
        <f>IF($H46 = "Ignore", 0, VLOOKUP($C46,Initialweight!$K:$N,2,0))</f>
        <v>0.56298525725053339</v>
      </c>
      <c r="M46" s="59">
        <f>IF($H46 = "Ignore", 0, VLOOKUP($C46,Initialweight!$K:$N,3,0))</f>
        <v>-0.14020780478012193</v>
      </c>
      <c r="N46" s="59">
        <f>IF($H46 = "Ignore", 0, VLOOKUP($C46,Initialweight!$K:$N,4,0))</f>
        <v>0.1</v>
      </c>
      <c r="O46" s="60">
        <f t="shared" si="33"/>
        <v>0.22035214502280723</v>
      </c>
      <c r="P46" s="61">
        <f t="shared" si="6"/>
        <v>-3.2796478549771928</v>
      </c>
      <c r="Q46" s="61">
        <f t="shared" si="7"/>
        <v>0.3</v>
      </c>
      <c r="R46" s="61">
        <f t="shared" si="34"/>
        <v>0.11531336506306508</v>
      </c>
      <c r="S46" s="61">
        <f t="shared" si="35"/>
        <v>0.33661062840271</v>
      </c>
      <c r="T46" s="123">
        <f t="shared" si="10"/>
        <v>10.891667250696234</v>
      </c>
    </row>
    <row r="47" spans="1:33" x14ac:dyDescent="0.25">
      <c r="B47" s="122" t="s">
        <v>3</v>
      </c>
      <c r="C47" s="50" t="s">
        <v>9</v>
      </c>
      <c r="D47" s="50" t="str">
        <f t="shared" si="32"/>
        <v>user1-Tandoori Chicken</v>
      </c>
      <c r="E47" s="50"/>
      <c r="F47" s="50"/>
      <c r="G47" s="54" t="s">
        <v>35</v>
      </c>
      <c r="H47" s="108">
        <f>IF($G47 = "Training", VLOOKUP($D47,test_training!$F:$G,2,0),"Ignore")</f>
        <v>4</v>
      </c>
      <c r="I47" s="109">
        <f>IF($G47 = "test", 0, VLOOKUP($B47,Initialweight!$F:$G,2,0))</f>
        <v>-0.65855041801030101</v>
      </c>
      <c r="J47" s="109">
        <f>IF($H47 = "Ignore", 0, VLOOKUP($B47,Initialweight!$F:$I,3,0))</f>
        <v>-0.55591097208679596</v>
      </c>
      <c r="K47" s="109">
        <f>IF($H47 = "Ignore", 0, VLOOKUP($B47,Initialweight!$F:$I,4,0))</f>
        <v>0.1</v>
      </c>
      <c r="L47" s="59">
        <f>IF($H47 = "Ignore", 0, VLOOKUP($C47,Initialweight!$K:$N,2,0))</f>
        <v>-1.6865310697866495E-2</v>
      </c>
      <c r="M47" s="59">
        <f>IF($H47 = "Ignore", 0, VLOOKUP($C47,Initialweight!$K:$N,3,0))</f>
        <v>0.95458588500479291</v>
      </c>
      <c r="N47" s="59">
        <f>IF($H47 = "Ignore", 0, VLOOKUP($C47,Initialweight!$K:$N,4,0))</f>
        <v>0.1</v>
      </c>
      <c r="O47" s="46">
        <f t="shared" si="33"/>
        <v>-0.31955810986339539</v>
      </c>
      <c r="P47" s="47">
        <f t="shared" si="6"/>
        <v>-4.3195581098633955</v>
      </c>
      <c r="Q47" s="47">
        <f t="shared" si="7"/>
        <v>0.3</v>
      </c>
      <c r="R47" s="47">
        <f t="shared" si="34"/>
        <v>0.74272566194802869</v>
      </c>
      <c r="S47" s="47">
        <f t="shared" si="35"/>
        <v>0.91151865055531922</v>
      </c>
      <c r="T47" s="98">
        <f t="shared" si="10"/>
        <v>19.154855558237632</v>
      </c>
    </row>
    <row r="48" spans="1:33" x14ac:dyDescent="0.25">
      <c r="B48" s="122" t="s">
        <v>4</v>
      </c>
      <c r="C48" s="50" t="s">
        <v>9</v>
      </c>
      <c r="D48" s="50" t="str">
        <f t="shared" si="32"/>
        <v>user2-Tandoori Chicken</v>
      </c>
      <c r="E48" s="50"/>
      <c r="F48" s="50"/>
      <c r="G48" s="54" t="s">
        <v>35</v>
      </c>
      <c r="H48" s="108">
        <f>IF($G48 = "Training", VLOOKUP($D48,test_training!$F:$G,2,0),"Ignore")</f>
        <v>5</v>
      </c>
      <c r="I48" s="109">
        <f>IF($G48 = "test", 0, VLOOKUP($B48,Initialweight!$F:$G,2,0))</f>
        <v>1.1003686519786173</v>
      </c>
      <c r="J48" s="109">
        <f>IF($H48 = "Ignore", 0, VLOOKUP($B48,Initialweight!$F:$I,3,0))</f>
        <v>1.1491812482100716</v>
      </c>
      <c r="K48" s="109">
        <f>IF($H48 = "Ignore", 0, VLOOKUP($B48,Initialweight!$F:$I,4,0))</f>
        <v>0.1</v>
      </c>
      <c r="L48" s="59">
        <f>IF($H48 = "Ignore", 0, VLOOKUP($C48,Initialweight!$K:$N,2,0))</f>
        <v>-1.6865310697866495E-2</v>
      </c>
      <c r="M48" s="59">
        <f>IF($H48 = "Ignore", 0, VLOOKUP($C48,Initialweight!$K:$N,3,0))</f>
        <v>0.95458588500479291</v>
      </c>
      <c r="N48" s="59">
        <f>IF($H48 = "Ignore", 0, VLOOKUP($C48,Initialweight!$K:$N,4,0))</f>
        <v>0.1</v>
      </c>
      <c r="O48" s="46">
        <f t="shared" si="33"/>
        <v>1.2784341396557122</v>
      </c>
      <c r="P48" s="47">
        <f t="shared" si="6"/>
        <v>-3.7215658603442878</v>
      </c>
      <c r="Q48" s="47">
        <f t="shared" si="7"/>
        <v>0.3</v>
      </c>
      <c r="R48" s="47">
        <f t="shared" si="34"/>
        <v>2.5314287114948977</v>
      </c>
      <c r="S48" s="47">
        <f t="shared" si="35"/>
        <v>0.91151865055531922</v>
      </c>
      <c r="T48" s="98">
        <f t="shared" si="10"/>
        <v>14.882936661495183</v>
      </c>
    </row>
    <row r="49" spans="2:20" x14ac:dyDescent="0.25">
      <c r="B49" s="122" t="s">
        <v>5</v>
      </c>
      <c r="C49" s="50" t="s">
        <v>9</v>
      </c>
      <c r="D49" s="50" t="str">
        <f t="shared" si="32"/>
        <v>user3-Tandoori Chicken</v>
      </c>
      <c r="E49" s="50"/>
      <c r="F49" s="50"/>
      <c r="G49" s="124" t="s">
        <v>34</v>
      </c>
      <c r="H49" s="108" t="str">
        <f>IF($G49 = "Training", VLOOKUP($D49,test_training!$F:$G,2,0),"Ignore")</f>
        <v>Ignore</v>
      </c>
      <c r="I49" s="109">
        <f>IF($G49 = "test", 0, VLOOKUP($B49,Initialweight!$F:$G,2,0))</f>
        <v>0</v>
      </c>
      <c r="J49" s="109">
        <f>IF($H49 = "Ignore", 0, VLOOKUP($B49,Initialweight!$F:$I,3,0))</f>
        <v>0</v>
      </c>
      <c r="K49" s="109">
        <f>IF($H49 = "Ignore", 0, VLOOKUP($B49,Initialweight!$F:$I,4,0))</f>
        <v>0</v>
      </c>
      <c r="L49" s="59">
        <f>IF($H49 = "Ignore", 0, VLOOKUP($C49,Initialweight!$K:$N,2,0))</f>
        <v>0</v>
      </c>
      <c r="M49" s="59">
        <f>IF($H49 = "Ignore", 0, VLOOKUP($C49,Initialweight!$K:$N,3,0))</f>
        <v>0</v>
      </c>
      <c r="N49" s="59">
        <f>IF($H49 = "Ignore", 0, VLOOKUP($C49,Initialweight!$K:$N,4,0))</f>
        <v>0</v>
      </c>
      <c r="O49" s="46">
        <f t="shared" si="33"/>
        <v>0</v>
      </c>
      <c r="P49" s="47">
        <f t="shared" si="6"/>
        <v>0</v>
      </c>
      <c r="Q49" s="47">
        <f t="shared" si="7"/>
        <v>0.3</v>
      </c>
      <c r="R49" s="47">
        <f t="shared" si="34"/>
        <v>0</v>
      </c>
      <c r="S49" s="47">
        <f t="shared" si="35"/>
        <v>0</v>
      </c>
      <c r="T49" s="98">
        <f t="shared" si="10"/>
        <v>0</v>
      </c>
    </row>
    <row r="50" spans="2:20" x14ac:dyDescent="0.25">
      <c r="B50" s="122" t="s">
        <v>6</v>
      </c>
      <c r="C50" s="50" t="s">
        <v>9</v>
      </c>
      <c r="D50" s="50" t="str">
        <f t="shared" si="32"/>
        <v>user4-Tandoori Chicken</v>
      </c>
      <c r="E50" s="50"/>
      <c r="F50" s="50"/>
      <c r="G50" s="54" t="s">
        <v>35</v>
      </c>
      <c r="H50" s="108">
        <f>IF($G50 = "Training", VLOOKUP($D50,test_training!$F:$G,2,0),"Ignore")</f>
        <v>4</v>
      </c>
      <c r="I50" s="109">
        <f>IF($G50 = "test", 0, VLOOKUP($B50,Initialweight!$F:$G,2,0))</f>
        <v>-0.89153783231512851</v>
      </c>
      <c r="J50" s="109">
        <f>IF($H50 = "Ignore", 0, VLOOKUP($B50,Initialweight!$F:$I,3,0))</f>
        <v>-0.7967083750355437</v>
      </c>
      <c r="K50" s="109">
        <f>IF($H50 = "Ignore", 0, VLOOKUP($B50,Initialweight!$F:$I,4,0))</f>
        <v>0.1</v>
      </c>
      <c r="L50" s="59">
        <f>IF($H50 = "Ignore", 0, VLOOKUP($C50,Initialweight!$K:$N,2,0))</f>
        <v>-1.6865310697866495E-2</v>
      </c>
      <c r="M50" s="59">
        <f>IF($H50 = "Ignore", 0, VLOOKUP($C50,Initialweight!$K:$N,3,0))</f>
        <v>0.95458588500479291</v>
      </c>
      <c r="N50" s="59">
        <f>IF($H50 = "Ignore", 0, VLOOKUP($C50,Initialweight!$K:$N,4,0))</f>
        <v>0.1</v>
      </c>
      <c r="O50" s="46">
        <f t="shared" si="33"/>
        <v>-0.54549050673313793</v>
      </c>
      <c r="P50" s="47">
        <f t="shared" si="6"/>
        <v>-4.5454905067331381</v>
      </c>
      <c r="Q50" s="47">
        <f t="shared" si="7"/>
        <v>0.3</v>
      </c>
      <c r="R50" s="47">
        <f t="shared" si="34"/>
        <v>1.4295839413009348</v>
      </c>
      <c r="S50" s="47">
        <f t="shared" si="35"/>
        <v>0.91151865055531922</v>
      </c>
      <c r="T50" s="98">
        <f t="shared" si="10"/>
        <v>21.363814724357958</v>
      </c>
    </row>
    <row r="51" spans="2:20" s="53" customFormat="1" x14ac:dyDescent="0.25">
      <c r="B51" s="122" t="s">
        <v>7</v>
      </c>
      <c r="C51" s="50" t="s">
        <v>9</v>
      </c>
      <c r="D51" s="50" t="str">
        <f t="shared" si="32"/>
        <v>user5-Tandoori Chicken</v>
      </c>
      <c r="E51" s="50"/>
      <c r="F51" s="50"/>
      <c r="G51" s="54" t="s">
        <v>35</v>
      </c>
      <c r="H51" s="108">
        <f>IF($G51 = "Training", VLOOKUP($D51,test_training!$F:$G,2,0),"Ignore")</f>
        <v>2</v>
      </c>
      <c r="I51" s="109">
        <f>IF($G51 = "test", 0, VLOOKUP($B51,Initialweight!$F:$G,2,0))</f>
        <v>0.11566330747510577</v>
      </c>
      <c r="J51" s="109">
        <f>IF($H51 = "Ignore", 0, VLOOKUP($B51,Initialweight!$F:$I,3,0))</f>
        <v>0.31927318140893735</v>
      </c>
      <c r="K51" s="109">
        <f>IF($H51 = "Ignore", 0, VLOOKUP($B51,Initialweight!$F:$I,4,0))</f>
        <v>0.1</v>
      </c>
      <c r="L51" s="59">
        <f>IF($H51 = "Ignore", 0, VLOOKUP($C51,Initialweight!$K:$N,2,0))</f>
        <v>-1.6865310697866495E-2</v>
      </c>
      <c r="M51" s="59">
        <f>IF($H51 = "Ignore", 0, VLOOKUP($C51,Initialweight!$K:$N,3,0))</f>
        <v>0.95458588500479291</v>
      </c>
      <c r="N51" s="59">
        <f>IF($H51 = "Ignore", 0, VLOOKUP($C51,Initialweight!$K:$N,4,0))</f>
        <v>0.1</v>
      </c>
      <c r="O51" s="60">
        <f t="shared" si="33"/>
        <v>0.50282297481663574</v>
      </c>
      <c r="P51" s="61">
        <f t="shared" si="6"/>
        <v>-1.4971770251833643</v>
      </c>
      <c r="Q51" s="61">
        <f t="shared" si="7"/>
        <v>0.3</v>
      </c>
      <c r="R51" s="61">
        <f t="shared" si="34"/>
        <v>0.11531336506306508</v>
      </c>
      <c r="S51" s="61">
        <f t="shared" si="35"/>
        <v>0.91151865055531922</v>
      </c>
      <c r="T51" s="123">
        <f t="shared" si="10"/>
        <v>2.5495886494224238</v>
      </c>
    </row>
    <row r="52" spans="2:20" x14ac:dyDescent="0.25">
      <c r="B52" s="122" t="s">
        <v>3</v>
      </c>
      <c r="C52" s="50" t="s">
        <v>10</v>
      </c>
      <c r="D52" s="50" t="str">
        <f t="shared" si="32"/>
        <v>user1-Vegetable Soup</v>
      </c>
      <c r="E52" s="50"/>
      <c r="F52" s="50"/>
      <c r="G52" s="54" t="s">
        <v>35</v>
      </c>
      <c r="H52" s="108">
        <f>IF($G52 = "Training", VLOOKUP($D52,test_training!$F:$G,2,0),"Ignore")</f>
        <v>3</v>
      </c>
      <c r="I52" s="109">
        <f>IF($G52 = "test", 0, VLOOKUP($B52,Initialweight!$F:$G,2,0))</f>
        <v>-0.65855041801030101</v>
      </c>
      <c r="J52" s="109">
        <f>IF($H52 = "Ignore", 0, VLOOKUP($B52,Initialweight!$F:$I,3,0))</f>
        <v>-0.55591097208679596</v>
      </c>
      <c r="K52" s="109">
        <f>IF($H52 = "Ignore", 0, VLOOKUP($B52,Initialweight!$F:$I,4,0))</f>
        <v>0.1</v>
      </c>
      <c r="L52" s="59">
        <f>IF($H52 = "Ignore", 0, VLOOKUP($C52,Initialweight!$K:$N,2,0))</f>
        <v>0.60793976535137362</v>
      </c>
      <c r="M52" s="59">
        <f>IF($H52 = "Ignore", 0, VLOOKUP($C52,Initialweight!$K:$N,3,0))</f>
        <v>0.62701844162690035</v>
      </c>
      <c r="N52" s="59">
        <f>IF($H52 = "Ignore", 0, VLOOKUP($C52,Initialweight!$K:$N,4,0))</f>
        <v>0.1</v>
      </c>
      <c r="O52" s="46">
        <f t="shared" si="33"/>
        <v>-0.54892541799838956</v>
      </c>
      <c r="P52" s="47">
        <f t="shared" si="6"/>
        <v>-3.5489254179983893</v>
      </c>
      <c r="Q52" s="47">
        <f t="shared" si="7"/>
        <v>0.3</v>
      </c>
      <c r="R52" s="47">
        <f t="shared" si="34"/>
        <v>0.74272566194802869</v>
      </c>
      <c r="S52" s="47">
        <f t="shared" si="35"/>
        <v>0.76274288443570981</v>
      </c>
      <c r="T52" s="98">
        <f t="shared" si="10"/>
        <v>13.046512186430164</v>
      </c>
    </row>
    <row r="53" spans="2:20" x14ac:dyDescent="0.25">
      <c r="B53" s="122" t="s">
        <v>4</v>
      </c>
      <c r="C53" s="50" t="s">
        <v>10</v>
      </c>
      <c r="D53" s="50" t="str">
        <f t="shared" si="32"/>
        <v>user2-Vegetable Soup</v>
      </c>
      <c r="E53" s="50"/>
      <c r="F53" s="50"/>
      <c r="G53" s="124" t="s">
        <v>34</v>
      </c>
      <c r="H53" s="108" t="str">
        <f>IF($G53 = "Training", VLOOKUP($D53,test_training!$F:$G,2,0),"Ignore")</f>
        <v>Ignore</v>
      </c>
      <c r="I53" s="109">
        <f>IF($G53 = "test", 0, VLOOKUP($B53,Initialweight!$F:$G,2,0))</f>
        <v>0</v>
      </c>
      <c r="J53" s="109">
        <f>IF($H53 = "Ignore", 0, VLOOKUP($B53,Initialweight!$F:$I,3,0))</f>
        <v>0</v>
      </c>
      <c r="K53" s="109">
        <f>IF($H53 = "Ignore", 0, VLOOKUP($B53,Initialweight!$F:$I,4,0))</f>
        <v>0</v>
      </c>
      <c r="L53" s="59">
        <f>IF($H53 = "Ignore", 0, VLOOKUP($C53,Initialweight!$K:$N,2,0))</f>
        <v>0</v>
      </c>
      <c r="M53" s="59">
        <f>IF($H53 = "Ignore", 0, VLOOKUP($C53,Initialweight!$K:$N,3,0))</f>
        <v>0</v>
      </c>
      <c r="N53" s="59">
        <f>IF($H53 = "Ignore", 0, VLOOKUP($C53,Initialweight!$K:$N,4,0))</f>
        <v>0</v>
      </c>
      <c r="O53" s="46">
        <f t="shared" si="33"/>
        <v>0</v>
      </c>
      <c r="P53" s="47">
        <f t="shared" si="6"/>
        <v>0</v>
      </c>
      <c r="Q53" s="47">
        <f t="shared" si="7"/>
        <v>0.3</v>
      </c>
      <c r="R53" s="47">
        <f t="shared" si="34"/>
        <v>0</v>
      </c>
      <c r="S53" s="47">
        <f t="shared" si="35"/>
        <v>0</v>
      </c>
      <c r="T53" s="98">
        <f t="shared" si="10"/>
        <v>0</v>
      </c>
    </row>
    <row r="54" spans="2:20" x14ac:dyDescent="0.25">
      <c r="B54" s="122" t="s">
        <v>5</v>
      </c>
      <c r="C54" s="50" t="s">
        <v>10</v>
      </c>
      <c r="D54" s="50" t="str">
        <f t="shared" si="32"/>
        <v>user3-Vegetable Soup</v>
      </c>
      <c r="E54" s="50"/>
      <c r="F54" s="50"/>
      <c r="G54" s="54" t="s">
        <v>35</v>
      </c>
      <c r="H54" s="108">
        <f>IF($G54 = "Training", VLOOKUP($D54,test_training!$F:$G,2,0),"Ignore")</f>
        <v>4</v>
      </c>
      <c r="I54" s="109">
        <f>IF($G54 = "test", 0, VLOOKUP($B54,Initialweight!$F:$G,2,0))</f>
        <v>-0.22053509857539327</v>
      </c>
      <c r="J54" s="109">
        <f>IF($H54 = "Ignore", 0, VLOOKUP($B54,Initialweight!$F:$I,3,0))</f>
        <v>1.6177372266729149</v>
      </c>
      <c r="K54" s="109">
        <f>IF($H54 = "Ignore", 0, VLOOKUP($B54,Initialweight!$F:$I,4,0))</f>
        <v>0.1</v>
      </c>
      <c r="L54" s="59">
        <f>IF($H54 = "Ignore", 0, VLOOKUP($C54,Initialweight!$K:$N,2,0))</f>
        <v>0.60793976535137362</v>
      </c>
      <c r="M54" s="59">
        <f>IF($H54 = "Ignore", 0, VLOOKUP($C54,Initialweight!$K:$N,3,0))</f>
        <v>0.62701844162690035</v>
      </c>
      <c r="N54" s="59">
        <f>IF($H54 = "Ignore", 0, VLOOKUP($C54,Initialweight!$K:$N,4,0))</f>
        <v>0.1</v>
      </c>
      <c r="O54" s="46">
        <f t="shared" si="33"/>
        <v>1.0802790187506079</v>
      </c>
      <c r="P54" s="47">
        <f t="shared" si="6"/>
        <v>-2.9197209812493918</v>
      </c>
      <c r="Q54" s="47">
        <f t="shared" si="7"/>
        <v>0.3</v>
      </c>
      <c r="R54" s="47">
        <f t="shared" si="34"/>
        <v>2.6657094642670325</v>
      </c>
      <c r="S54" s="47">
        <f t="shared" si="35"/>
        <v>0.76274288443570981</v>
      </c>
      <c r="T54" s="98">
        <f t="shared" si="10"/>
        <v>9.5533063129587337</v>
      </c>
    </row>
    <row r="55" spans="2:20" x14ac:dyDescent="0.25">
      <c r="B55" s="122" t="s">
        <v>6</v>
      </c>
      <c r="C55" s="50" t="s">
        <v>10</v>
      </c>
      <c r="D55" s="50" t="str">
        <f t="shared" si="32"/>
        <v>user4-Vegetable Soup</v>
      </c>
      <c r="E55" s="50"/>
      <c r="F55" s="50"/>
      <c r="G55" s="54" t="s">
        <v>35</v>
      </c>
      <c r="H55" s="108">
        <f>IF($G55 = "Training", VLOOKUP($D55,test_training!$F:$G,2,0),"Ignore")</f>
        <v>3</v>
      </c>
      <c r="I55" s="109">
        <f>IF($G55 = "test", 0, VLOOKUP($B55,Initialweight!$F:$G,2,0))</f>
        <v>-0.89153783231512851</v>
      </c>
      <c r="J55" s="109">
        <f>IF($H55 = "Ignore", 0, VLOOKUP($B55,Initialweight!$F:$I,3,0))</f>
        <v>-0.7967083750355437</v>
      </c>
      <c r="K55" s="109">
        <f>IF($H55 = "Ignore", 0, VLOOKUP($B55,Initialweight!$F:$I,4,0))</f>
        <v>0.1</v>
      </c>
      <c r="L55" s="59">
        <f>IF($H55 = "Ignore", 0, VLOOKUP($C55,Initialweight!$K:$N,2,0))</f>
        <v>0.60793976535137362</v>
      </c>
      <c r="M55" s="59">
        <f>IF($H55 = "Ignore", 0, VLOOKUP($C55,Initialweight!$K:$N,3,0))</f>
        <v>0.62701844162690035</v>
      </c>
      <c r="N55" s="59">
        <f>IF($H55 = "Ignore", 0, VLOOKUP($C55,Initialweight!$K:$N,4,0))</f>
        <v>0.1</v>
      </c>
      <c r="O55" s="46">
        <f t="shared" si="33"/>
        <v>-0.84155214432541836</v>
      </c>
      <c r="P55" s="47">
        <f t="shared" si="6"/>
        <v>-3.8415521443254184</v>
      </c>
      <c r="Q55" s="47">
        <f t="shared" si="7"/>
        <v>0.3</v>
      </c>
      <c r="R55" s="47">
        <f t="shared" si="34"/>
        <v>1.4295839413009348</v>
      </c>
      <c r="S55" s="47">
        <f t="shared" si="35"/>
        <v>0.76274288443570981</v>
      </c>
      <c r="T55" s="98">
        <f t="shared" si="10"/>
        <v>15.415220925292212</v>
      </c>
    </row>
    <row r="56" spans="2:20" s="53" customFormat="1" x14ac:dyDescent="0.25">
      <c r="B56" s="122" t="s">
        <v>7</v>
      </c>
      <c r="C56" s="50" t="s">
        <v>10</v>
      </c>
      <c r="D56" s="50" t="str">
        <f t="shared" si="32"/>
        <v>user5-Vegetable Soup</v>
      </c>
      <c r="E56" s="50"/>
      <c r="F56" s="50"/>
      <c r="G56" s="54" t="s">
        <v>35</v>
      </c>
      <c r="H56" s="108">
        <f>IF($G56 = "Training", VLOOKUP($D56,test_training!$F:$G,2,0),"Ignore")</f>
        <v>5</v>
      </c>
      <c r="I56" s="109">
        <f>IF($G56 = "test", 0, VLOOKUP($B56,Initialweight!$F:$G,2,0))</f>
        <v>0.11566330747510577</v>
      </c>
      <c r="J56" s="109">
        <f>IF($H56 = "Ignore", 0, VLOOKUP($B56,Initialweight!$F:$I,3,0))</f>
        <v>0.31927318140893735</v>
      </c>
      <c r="K56" s="109">
        <f>IF($H56 = "Ignore", 0, VLOOKUP($B56,Initialweight!$F:$I,4,0))</f>
        <v>0.1</v>
      </c>
      <c r="L56" s="59">
        <f>IF($H56 = "Ignore", 0, VLOOKUP($C56,Initialweight!$K:$N,2,0))</f>
        <v>0.60793976535137362</v>
      </c>
      <c r="M56" s="59">
        <f>IF($H56 = "Ignore", 0, VLOOKUP($C56,Initialweight!$K:$N,3,0))</f>
        <v>0.62701844162690035</v>
      </c>
      <c r="N56" s="59">
        <f>IF($H56 = "Ignore", 0, VLOOKUP($C56,Initialweight!$K:$N,4,0))</f>
        <v>0.1</v>
      </c>
      <c r="O56" s="60">
        <f t="shared" si="33"/>
        <v>0.47050649666647415</v>
      </c>
      <c r="P56" s="61">
        <f t="shared" si="6"/>
        <v>-4.5294935033335255</v>
      </c>
      <c r="Q56" s="61">
        <f t="shared" si="7"/>
        <v>0.3</v>
      </c>
      <c r="R56" s="61">
        <f t="shared" si="34"/>
        <v>0.11531336506306508</v>
      </c>
      <c r="S56" s="61">
        <f t="shared" si="35"/>
        <v>0.76274288443570981</v>
      </c>
      <c r="T56" s="123">
        <f t="shared" si="10"/>
        <v>20.779728271590248</v>
      </c>
    </row>
    <row r="57" spans="2:20" x14ac:dyDescent="0.25">
      <c r="B57" s="122" t="s">
        <v>3</v>
      </c>
      <c r="C57" s="50" t="s">
        <v>11</v>
      </c>
      <c r="D57" s="50" t="str">
        <f t="shared" si="32"/>
        <v>user1-Khichdi</v>
      </c>
      <c r="E57" s="50"/>
      <c r="F57" s="50"/>
      <c r="G57" s="124" t="s">
        <v>34</v>
      </c>
      <c r="H57" s="108" t="str">
        <f>IF($G57 = "Training", VLOOKUP($D57,test_training!$F:$G,2,0),"Ignore")</f>
        <v>Ignore</v>
      </c>
      <c r="I57" s="109">
        <f>IF($G57 = "test", 0, VLOOKUP($B57,Initialweight!$F:$G,2,0))</f>
        <v>0</v>
      </c>
      <c r="J57" s="109">
        <f>IF($H57 = "Ignore", 0, VLOOKUP($B57,Initialweight!$F:$I,3,0))</f>
        <v>0</v>
      </c>
      <c r="K57" s="109">
        <f>IF($H57 = "Ignore", 0, VLOOKUP($B57,Initialweight!$F:$I,4,0))</f>
        <v>0</v>
      </c>
      <c r="L57" s="59">
        <f>IF($H57 = "Ignore", 0, VLOOKUP($C57,Initialweight!$K:$N,2,0))</f>
        <v>0</v>
      </c>
      <c r="M57" s="59">
        <f>IF($H57 = "Ignore", 0, VLOOKUP($C57,Initialweight!$K:$N,3,0))</f>
        <v>0</v>
      </c>
      <c r="N57" s="59">
        <f>IF($H57 = "Ignore", 0, VLOOKUP($C57,Initialweight!$K:$N,4,0))</f>
        <v>0</v>
      </c>
      <c r="O57" s="46">
        <f t="shared" si="33"/>
        <v>0</v>
      </c>
      <c r="P57" s="47">
        <f t="shared" si="6"/>
        <v>0</v>
      </c>
      <c r="Q57" s="47">
        <f t="shared" si="7"/>
        <v>0.3</v>
      </c>
      <c r="R57" s="47">
        <f t="shared" si="34"/>
        <v>0</v>
      </c>
      <c r="S57" s="47">
        <f t="shared" si="35"/>
        <v>0</v>
      </c>
      <c r="T57" s="98">
        <f t="shared" si="10"/>
        <v>0</v>
      </c>
    </row>
    <row r="58" spans="2:20" x14ac:dyDescent="0.25">
      <c r="B58" s="122" t="s">
        <v>4</v>
      </c>
      <c r="C58" s="50" t="s">
        <v>11</v>
      </c>
      <c r="D58" s="50" t="str">
        <f t="shared" si="32"/>
        <v>user2-Khichdi</v>
      </c>
      <c r="E58" s="50"/>
      <c r="F58" s="50"/>
      <c r="G58" s="54" t="s">
        <v>35</v>
      </c>
      <c r="H58" s="108">
        <f>IF($G58 = "Training", VLOOKUP($D58,test_training!$F:$G,2,0),"Ignore")</f>
        <v>3</v>
      </c>
      <c r="I58" s="109">
        <f>IF($G58 = "test", 0, VLOOKUP($B58,Initialweight!$F:$G,2,0))</f>
        <v>1.1003686519786173</v>
      </c>
      <c r="J58" s="109">
        <f>IF($H58 = "Ignore", 0, VLOOKUP($B58,Initialweight!$F:$I,3,0))</f>
        <v>1.1491812482100716</v>
      </c>
      <c r="K58" s="109">
        <f>IF($H58 = "Ignore", 0, VLOOKUP($B58,Initialweight!$F:$I,4,0))</f>
        <v>0.1</v>
      </c>
      <c r="L58" s="59">
        <f>IF($H58 = "Ignore", 0, VLOOKUP($C58,Initialweight!$K:$N,2,0))</f>
        <v>-0.22530717587291313</v>
      </c>
      <c r="M58" s="59">
        <f>IF($H58 = "Ignore", 0, VLOOKUP($C58,Initialweight!$K:$N,3,0))</f>
        <v>0.18843888870943978</v>
      </c>
      <c r="N58" s="59">
        <f>IF($H58 = "Ignore", 0, VLOOKUP($C58,Initialweight!$K:$N,4,0))</f>
        <v>0.1</v>
      </c>
      <c r="O58" s="46">
        <f t="shared" si="33"/>
        <v>0.16862948394204613</v>
      </c>
      <c r="P58" s="47">
        <f t="shared" si="6"/>
        <v>-2.8313705160579539</v>
      </c>
      <c r="Q58" s="47">
        <f t="shared" si="7"/>
        <v>0.3</v>
      </c>
      <c r="R58" s="47">
        <f t="shared" si="34"/>
        <v>2.5314287114948977</v>
      </c>
      <c r="S58" s="47">
        <f t="shared" si="35"/>
        <v>8.627253827787644E-2</v>
      </c>
      <c r="T58" s="98">
        <f t="shared" si="10"/>
        <v>8.8019693741341154</v>
      </c>
    </row>
    <row r="59" spans="2:20" x14ac:dyDescent="0.25">
      <c r="B59" s="122" t="s">
        <v>5</v>
      </c>
      <c r="C59" s="50" t="s">
        <v>11</v>
      </c>
      <c r="D59" s="50" t="str">
        <f t="shared" si="32"/>
        <v>user3-Khichdi</v>
      </c>
      <c r="E59" s="50"/>
      <c r="F59" s="50"/>
      <c r="G59" s="54" t="s">
        <v>35</v>
      </c>
      <c r="H59" s="108">
        <f>IF($G59 = "Training", VLOOKUP($D59,test_training!$F:$G,2,0),"Ignore")</f>
        <v>4</v>
      </c>
      <c r="I59" s="109">
        <f>IF($G59 = "test", 0, VLOOKUP($B59,Initialweight!$F:$G,2,0))</f>
        <v>-0.22053509857539327</v>
      </c>
      <c r="J59" s="109">
        <f>IF($H59 = "Ignore", 0, VLOOKUP($B59,Initialweight!$F:$I,3,0))</f>
        <v>1.6177372266729149</v>
      </c>
      <c r="K59" s="109">
        <f>IF($H59 = "Ignore", 0, VLOOKUP($B59,Initialweight!$F:$I,4,0))</f>
        <v>0.1</v>
      </c>
      <c r="L59" s="59">
        <f>IF($H59 = "Ignore", 0, VLOOKUP($C59,Initialweight!$K:$N,2,0))</f>
        <v>-0.22530717587291313</v>
      </c>
      <c r="M59" s="59">
        <f>IF($H59 = "Ignore", 0, VLOOKUP($C59,Initialweight!$K:$N,3,0))</f>
        <v>0.18843888870943978</v>
      </c>
      <c r="N59" s="59">
        <f>IF($H59 = "Ignore", 0, VLOOKUP($C59,Initialweight!$K:$N,4,0))</f>
        <v>0.1</v>
      </c>
      <c r="O59" s="46">
        <f t="shared" si="33"/>
        <v>0.55453274545901154</v>
      </c>
      <c r="P59" s="47">
        <f t="shared" si="6"/>
        <v>-3.4454672545409886</v>
      </c>
      <c r="Q59" s="47">
        <f t="shared" si="7"/>
        <v>0.3</v>
      </c>
      <c r="R59" s="47">
        <f t="shared" si="34"/>
        <v>2.6657094642670325</v>
      </c>
      <c r="S59" s="47">
        <f t="shared" si="35"/>
        <v>8.627253827787644E-2</v>
      </c>
      <c r="T59" s="98">
        <f t="shared" si="10"/>
        <v>12.69683920287769</v>
      </c>
    </row>
    <row r="60" spans="2:20" x14ac:dyDescent="0.25">
      <c r="B60" s="122" t="s">
        <v>6</v>
      </c>
      <c r="C60" s="50" t="s">
        <v>11</v>
      </c>
      <c r="D60" s="50" t="str">
        <f t="shared" si="32"/>
        <v>user4-Khichdi</v>
      </c>
      <c r="E60" s="50"/>
      <c r="F60" s="50"/>
      <c r="G60" s="54" t="s">
        <v>35</v>
      </c>
      <c r="H60" s="108">
        <f>IF($G60 = "Training", VLOOKUP($D60,test_training!$F:$G,2,0),"Ignore")</f>
        <v>5</v>
      </c>
      <c r="I60" s="109">
        <f>IF($G60 = "test", 0, VLOOKUP($B60,Initialweight!$F:$G,2,0))</f>
        <v>-0.89153783231512851</v>
      </c>
      <c r="J60" s="109">
        <f>IF($H60 = "Ignore", 0, VLOOKUP($B60,Initialweight!$F:$I,3,0))</f>
        <v>-0.7967083750355437</v>
      </c>
      <c r="K60" s="109">
        <f>IF($H60 = "Ignore", 0, VLOOKUP($B60,Initialweight!$F:$I,4,0))</f>
        <v>0.1</v>
      </c>
      <c r="L60" s="59">
        <f>IF($H60 = "Ignore", 0, VLOOKUP($C60,Initialweight!$K:$N,2,0))</f>
        <v>-0.22530717587291313</v>
      </c>
      <c r="M60" s="59">
        <f>IF($H60 = "Ignore", 0, VLOOKUP($C60,Initialweight!$K:$N,3,0))</f>
        <v>0.18843888870943978</v>
      </c>
      <c r="N60" s="59">
        <f>IF($H60 = "Ignore", 0, VLOOKUP($C60,Initialweight!$K:$N,4,0))</f>
        <v>0.1</v>
      </c>
      <c r="O60" s="46">
        <f t="shared" si="33"/>
        <v>0.25073903036557899</v>
      </c>
      <c r="P60" s="47">
        <f t="shared" si="6"/>
        <v>-4.7492609696344212</v>
      </c>
      <c r="Q60" s="47">
        <f t="shared" si="7"/>
        <v>0.3</v>
      </c>
      <c r="R60" s="47">
        <f t="shared" si="34"/>
        <v>1.4295839413009348</v>
      </c>
      <c r="S60" s="47">
        <f t="shared" si="35"/>
        <v>8.627253827787644E-2</v>
      </c>
      <c r="T60" s="98">
        <f t="shared" si="10"/>
        <v>23.010236701566527</v>
      </c>
    </row>
    <row r="61" spans="2:20" s="53" customFormat="1" x14ac:dyDescent="0.25">
      <c r="B61" s="122" t="s">
        <v>7</v>
      </c>
      <c r="C61" s="50" t="s">
        <v>11</v>
      </c>
      <c r="D61" s="50" t="str">
        <f t="shared" si="32"/>
        <v>user5-Khichdi</v>
      </c>
      <c r="E61" s="50"/>
      <c r="F61" s="50"/>
      <c r="G61" s="54" t="s">
        <v>35</v>
      </c>
      <c r="H61" s="108">
        <f>IF($G61 = "Training", VLOOKUP($D61,test_training!$F:$G,2,0),"Ignore")</f>
        <v>2.5</v>
      </c>
      <c r="I61" s="109">
        <f>IF($G61 = "test", 0, VLOOKUP($B61,Initialweight!$F:$G,2,0))</f>
        <v>0.11566330747510577</v>
      </c>
      <c r="J61" s="109">
        <f>IF($H61 = "Ignore", 0, VLOOKUP($B61,Initialweight!$F:$I,3,0))</f>
        <v>0.31927318140893735</v>
      </c>
      <c r="K61" s="109">
        <f>IF($H61 = "Ignore", 0, VLOOKUP($B61,Initialweight!$F:$I,4,0))</f>
        <v>0.1</v>
      </c>
      <c r="L61" s="59">
        <f>IF($H61 = "Ignore", 0, VLOOKUP($C61,Initialweight!$K:$N,2,0))</f>
        <v>-0.22530717587291313</v>
      </c>
      <c r="M61" s="59">
        <f>IF($H61 = "Ignore", 0, VLOOKUP($C61,Initialweight!$K:$N,3,0))</f>
        <v>0.18843888870943978</v>
      </c>
      <c r="N61" s="59">
        <f>IF($H61 = "Ignore", 0, VLOOKUP($C61,Initialweight!$K:$N,4,0))</f>
        <v>0.1</v>
      </c>
      <c r="O61" s="60">
        <f t="shared" si="33"/>
        <v>0.23410371034009106</v>
      </c>
      <c r="P61" s="61">
        <f t="shared" si="6"/>
        <v>-2.2658962896599091</v>
      </c>
      <c r="Q61" s="61">
        <f t="shared" si="7"/>
        <v>0.3</v>
      </c>
      <c r="R61" s="61">
        <f t="shared" si="34"/>
        <v>0.11531336506306508</v>
      </c>
      <c r="S61" s="61">
        <f t="shared" si="35"/>
        <v>8.627253827787644E-2</v>
      </c>
      <c r="T61" s="123">
        <f t="shared" si="10"/>
        <v>5.1947617664968249</v>
      </c>
    </row>
    <row r="62" spans="2:20" x14ac:dyDescent="0.25">
      <c r="B62" s="122" t="s">
        <v>3</v>
      </c>
      <c r="C62" s="50" t="s">
        <v>12</v>
      </c>
      <c r="D62" s="50" t="str">
        <f t="shared" si="32"/>
        <v>user1-Biryani</v>
      </c>
      <c r="E62" s="50"/>
      <c r="F62" s="50"/>
      <c r="G62" s="54" t="s">
        <v>35</v>
      </c>
      <c r="H62" s="108">
        <f>IF($G62 = "Training", VLOOKUP($D62,test_training!$F:$G,2,0),"Ignore")</f>
        <v>5</v>
      </c>
      <c r="I62" s="109">
        <f>IF($G62 = "test", 0, VLOOKUP($B62,Initialweight!$F:$G,2,0))</f>
        <v>-0.65855041801030101</v>
      </c>
      <c r="J62" s="109">
        <f>IF($H62 = "Ignore", 0, VLOOKUP($B62,Initialweight!$F:$I,3,0))</f>
        <v>-0.55591097208679596</v>
      </c>
      <c r="K62" s="109">
        <f>IF($H62 = "Ignore", 0, VLOOKUP($B62,Initialweight!$F:$I,4,0))</f>
        <v>0.1</v>
      </c>
      <c r="L62" s="59">
        <f>IF($H62 = "Ignore", 0, VLOOKUP($C62,Initialweight!$K:$N,2,0))</f>
        <v>0.72572398734242127</v>
      </c>
      <c r="M62" s="59">
        <f>IF($H62 = "Ignore", 0, VLOOKUP($C62,Initialweight!$K:$N,3,0))</f>
        <v>-0.6249363825980645</v>
      </c>
      <c r="N62" s="59">
        <f>IF($H62 = "Ignore", 0, VLOOKUP($C62,Initialweight!$K:$N,4,0))</f>
        <v>0.1</v>
      </c>
      <c r="O62" s="46">
        <f t="shared" si="33"/>
        <v>6.948315671804195E-2</v>
      </c>
      <c r="P62" s="47">
        <f t="shared" si="6"/>
        <v>-4.9305168432819579</v>
      </c>
      <c r="Q62" s="47">
        <f t="shared" si="7"/>
        <v>0.3</v>
      </c>
      <c r="R62" s="47">
        <f t="shared" si="34"/>
        <v>0.74272566194802869</v>
      </c>
      <c r="S62" s="47">
        <f t="shared" si="35"/>
        <v>0.91722078809893737</v>
      </c>
      <c r="T62" s="98">
        <f t="shared" si="10"/>
        <v>24.807980276901169</v>
      </c>
    </row>
    <row r="63" spans="2:20" x14ac:dyDescent="0.25">
      <c r="B63" s="122" t="s">
        <v>4</v>
      </c>
      <c r="C63" s="50" t="s">
        <v>12</v>
      </c>
      <c r="D63" s="50" t="str">
        <f t="shared" si="32"/>
        <v>user2-Biryani</v>
      </c>
      <c r="E63" s="50"/>
      <c r="F63" s="50"/>
      <c r="G63" s="54" t="s">
        <v>35</v>
      </c>
      <c r="H63" s="108">
        <f>IF($G63 = "Training", VLOOKUP($D63,test_training!$F:$G,2,0),"Ignore")</f>
        <v>3</v>
      </c>
      <c r="I63" s="109">
        <f>IF($G63 = "test", 0, VLOOKUP($B63,Initialweight!$F:$G,2,0))</f>
        <v>1.1003686519786173</v>
      </c>
      <c r="J63" s="109">
        <f>IF($H63 = "Ignore", 0, VLOOKUP($B63,Initialweight!$F:$I,3,0))</f>
        <v>1.1491812482100716</v>
      </c>
      <c r="K63" s="109">
        <f>IF($H63 = "Ignore", 0, VLOOKUP($B63,Initialweight!$F:$I,4,0))</f>
        <v>0.1</v>
      </c>
      <c r="L63" s="59">
        <f>IF($H63 = "Ignore", 0, VLOOKUP($C63,Initialweight!$K:$N,2,0))</f>
        <v>0.72572398734242127</v>
      </c>
      <c r="M63" s="59">
        <f>IF($H63 = "Ignore", 0, VLOOKUP($C63,Initialweight!$K:$N,3,0))</f>
        <v>-0.6249363825980645</v>
      </c>
      <c r="N63" s="59">
        <f>IF($H63 = "Ignore", 0, VLOOKUP($C63,Initialweight!$K:$N,4,0))</f>
        <v>0.1</v>
      </c>
      <c r="O63" s="46">
        <f t="shared" si="33"/>
        <v>0.28039875345459658</v>
      </c>
      <c r="P63" s="47">
        <f t="shared" si="6"/>
        <v>-2.7196012465454036</v>
      </c>
      <c r="Q63" s="47">
        <f t="shared" si="7"/>
        <v>0.3</v>
      </c>
      <c r="R63" s="47">
        <f t="shared" si="34"/>
        <v>2.5314287114948977</v>
      </c>
      <c r="S63" s="47">
        <f t="shared" si="35"/>
        <v>0.91722078809893737</v>
      </c>
      <c r="T63" s="98">
        <f t="shared" si="10"/>
        <v>8.4308257900894645</v>
      </c>
    </row>
    <row r="64" spans="2:20" x14ac:dyDescent="0.25">
      <c r="B64" s="122" t="s">
        <v>5</v>
      </c>
      <c r="C64" s="50" t="s">
        <v>12</v>
      </c>
      <c r="D64" s="50" t="str">
        <f t="shared" si="32"/>
        <v>user3-Biryani</v>
      </c>
      <c r="E64" s="50"/>
      <c r="F64" s="50"/>
      <c r="G64" s="54" t="s">
        <v>35</v>
      </c>
      <c r="H64" s="108">
        <f>IF($G64 = "Training", VLOOKUP($D64,test_training!$F:$G,2,0),"Ignore")</f>
        <v>3.5</v>
      </c>
      <c r="I64" s="109">
        <f>IF($G64 = "test", 0, VLOOKUP($B64,Initialweight!$F:$G,2,0))</f>
        <v>-0.22053509857539327</v>
      </c>
      <c r="J64" s="109">
        <f>IF($H64 = "Ignore", 0, VLOOKUP($B64,Initialweight!$F:$I,3,0))</f>
        <v>1.6177372266729149</v>
      </c>
      <c r="K64" s="109">
        <f>IF($H64 = "Ignore", 0, VLOOKUP($B64,Initialweight!$F:$I,4,0))</f>
        <v>0.1</v>
      </c>
      <c r="L64" s="59">
        <f>IF($H64 = "Ignore", 0, VLOOKUP($C64,Initialweight!$K:$N,2,0))</f>
        <v>0.72572398734242127</v>
      </c>
      <c r="M64" s="59">
        <f>IF($H64 = "Ignore", 0, VLOOKUP($C64,Initialweight!$K:$N,3,0))</f>
        <v>-0.6249363825980645</v>
      </c>
      <c r="N64" s="59">
        <f>IF($H64 = "Ignore", 0, VLOOKUP($C64,Initialweight!$K:$N,4,0))</f>
        <v>0.1</v>
      </c>
      <c r="O64" s="46">
        <f t="shared" si="33"/>
        <v>-0.97103046151828487</v>
      </c>
      <c r="P64" s="47">
        <f t="shared" si="6"/>
        <v>-4.4710304615182848</v>
      </c>
      <c r="Q64" s="47">
        <f t="shared" si="7"/>
        <v>0.3</v>
      </c>
      <c r="R64" s="47">
        <f t="shared" si="34"/>
        <v>2.6657094642670325</v>
      </c>
      <c r="S64" s="47">
        <f t="shared" si="35"/>
        <v>0.91722078809893737</v>
      </c>
      <c r="T64" s="98">
        <f t="shared" si="10"/>
        <v>21.064992463534196</v>
      </c>
    </row>
    <row r="65" spans="2:20" x14ac:dyDescent="0.25">
      <c r="B65" s="122" t="s">
        <v>6</v>
      </c>
      <c r="C65" s="50" t="s">
        <v>12</v>
      </c>
      <c r="D65" s="50" t="str">
        <f t="shared" si="32"/>
        <v>user4-Biryani</v>
      </c>
      <c r="E65" s="50"/>
      <c r="F65" s="50"/>
      <c r="G65" s="124" t="s">
        <v>34</v>
      </c>
      <c r="H65" s="108" t="str">
        <f>IF($G65 = "Training", VLOOKUP($D65,test_training!$F:$G,2,0),"Ignore")</f>
        <v>Ignore</v>
      </c>
      <c r="I65" s="109">
        <f>IF($G65 = "test", 0, VLOOKUP($B65,Initialweight!$F:$G,2,0))</f>
        <v>0</v>
      </c>
      <c r="J65" s="109">
        <f>IF($H65 = "Ignore", 0, VLOOKUP($B65,Initialweight!$F:$I,3,0))</f>
        <v>0</v>
      </c>
      <c r="K65" s="109">
        <f>IF($H65 = "Ignore", 0, VLOOKUP($B65,Initialweight!$F:$I,4,0))</f>
        <v>0</v>
      </c>
      <c r="L65" s="59">
        <f>IF($H65 = "Ignore", 0, VLOOKUP($C65,Initialweight!$K:$N,2,0))</f>
        <v>0</v>
      </c>
      <c r="M65" s="59">
        <f>IF($H65 = "Ignore", 0, VLOOKUP($C65,Initialweight!$K:$N,3,0))</f>
        <v>0</v>
      </c>
      <c r="N65" s="59">
        <f>IF($H65 = "Ignore", 0, VLOOKUP($C65,Initialweight!$K:$N,4,0))</f>
        <v>0</v>
      </c>
      <c r="O65" s="46">
        <f t="shared" si="33"/>
        <v>0</v>
      </c>
      <c r="P65" s="47">
        <f t="shared" si="6"/>
        <v>0</v>
      </c>
      <c r="Q65" s="47">
        <f t="shared" si="7"/>
        <v>0.3</v>
      </c>
      <c r="R65" s="47">
        <f t="shared" si="34"/>
        <v>0</v>
      </c>
      <c r="S65" s="47">
        <f t="shared" si="35"/>
        <v>0</v>
      </c>
      <c r="T65" s="98">
        <f t="shared" si="10"/>
        <v>0</v>
      </c>
    </row>
    <row r="66" spans="2:20" s="53" customFormat="1" x14ac:dyDescent="0.25">
      <c r="B66" s="122" t="s">
        <v>7</v>
      </c>
      <c r="C66" s="50" t="s">
        <v>12</v>
      </c>
      <c r="D66" s="50" t="str">
        <f t="shared" si="32"/>
        <v>user5-Biryani</v>
      </c>
      <c r="E66" s="50"/>
      <c r="F66" s="50"/>
      <c r="G66" s="54" t="s">
        <v>35</v>
      </c>
      <c r="H66" s="108">
        <f>IF($G66 = "Training", VLOOKUP($D66,test_training!$F:$G,2,0),"Ignore")</f>
        <v>4</v>
      </c>
      <c r="I66" s="109">
        <f>IF($G66 = "test", 0, VLOOKUP($B66,Initialweight!$F:$G,2,0))</f>
        <v>0.11566330747510577</v>
      </c>
      <c r="J66" s="109">
        <f>IF($H66 = "Ignore", 0, VLOOKUP($B66,Initialweight!$F:$I,3,0))</f>
        <v>0.31927318140893735</v>
      </c>
      <c r="K66" s="109">
        <f>IF($H66 = "Ignore", 0, VLOOKUP($B66,Initialweight!$F:$I,4,0))</f>
        <v>0.1</v>
      </c>
      <c r="L66" s="59">
        <f>IF($H66 = "Ignore", 0, VLOOKUP($C66,Initialweight!$K:$N,2,0))</f>
        <v>0.72572398734242127</v>
      </c>
      <c r="M66" s="59">
        <f>IF($H66 = "Ignore", 0, VLOOKUP($C66,Initialweight!$K:$N,3,0))</f>
        <v>-0.6249363825980645</v>
      </c>
      <c r="N66" s="59">
        <f>IF($H66 = "Ignore", 0, VLOOKUP($C66,Initialweight!$K:$N,4,0))</f>
        <v>0.1</v>
      </c>
      <c r="O66" s="60">
        <f t="shared" si="33"/>
        <v>8.4414209639769325E-2</v>
      </c>
      <c r="P66" s="61">
        <f t="shared" si="6"/>
        <v>-3.9155857903602307</v>
      </c>
      <c r="Q66" s="61">
        <f t="shared" si="7"/>
        <v>0.3</v>
      </c>
      <c r="R66" s="61">
        <f t="shared" si="34"/>
        <v>0.11531336506306508</v>
      </c>
      <c r="S66" s="61">
        <f t="shared" si="35"/>
        <v>0.91722078809893737</v>
      </c>
      <c r="T66" s="123">
        <f t="shared" si="10"/>
        <v>15.641572327619553</v>
      </c>
    </row>
    <row r="67" spans="2:20" x14ac:dyDescent="0.25">
      <c r="B67" s="122" t="s">
        <v>3</v>
      </c>
      <c r="C67" s="50" t="s">
        <v>13</v>
      </c>
      <c r="D67" s="50" t="str">
        <f t="shared" si="32"/>
        <v>user1-Fruit Salad</v>
      </c>
      <c r="E67" s="50"/>
      <c r="F67" s="50"/>
      <c r="G67" s="54" t="s">
        <v>35</v>
      </c>
      <c r="H67" s="108">
        <f>IF($G67 = "Training", VLOOKUP($D67,test_training!$F:$G,2,0),"Ignore")</f>
        <v>1.5</v>
      </c>
      <c r="I67" s="109">
        <f>IF($G67 = "test", 0, VLOOKUP($B67,Initialweight!$F:$G,2,0))</f>
        <v>-0.65855041801030101</v>
      </c>
      <c r="J67" s="109">
        <f>IF($H67 = "Ignore", 0, VLOOKUP($B67,Initialweight!$F:$I,3,0))</f>
        <v>-0.55591097208679596</v>
      </c>
      <c r="K67" s="109">
        <f>IF($H67 = "Ignore", 0, VLOOKUP($B67,Initialweight!$F:$I,4,0))</f>
        <v>0.1</v>
      </c>
      <c r="L67" s="59">
        <f>IF($H67 = "Ignore", 0, VLOOKUP($C67,Initialweight!$K:$N,2,0))</f>
        <v>1.0692803455337927</v>
      </c>
      <c r="M67" s="59">
        <f>IF($H67 = "Ignore", 0, VLOOKUP($C67,Initialweight!$K:$N,3,0))</f>
        <v>0.63717442611924779</v>
      </c>
      <c r="N67" s="59">
        <f>IF($H67 = "Ignore", 0, VLOOKUP($C67,Initialweight!$K:$N,4,0))</f>
        <v>0.1</v>
      </c>
      <c r="O67" s="46">
        <f t="shared" si="33"/>
        <v>-0.85838727313427565</v>
      </c>
      <c r="P67" s="47">
        <f t="shared" si="6"/>
        <v>-2.3583872731342757</v>
      </c>
      <c r="Q67" s="47">
        <f t="shared" si="7"/>
        <v>0.3</v>
      </c>
      <c r="R67" s="47">
        <f t="shared" si="34"/>
        <v>0.74272566194802869</v>
      </c>
      <c r="S67" s="47">
        <f t="shared" si="35"/>
        <v>1.5493517066452598</v>
      </c>
      <c r="T67" s="98">
        <f t="shared" si="10"/>
        <v>6.2496137406597114</v>
      </c>
    </row>
    <row r="68" spans="2:20" x14ac:dyDescent="0.25">
      <c r="B68" s="122" t="s">
        <v>4</v>
      </c>
      <c r="C68" s="50" t="s">
        <v>13</v>
      </c>
      <c r="D68" s="50" t="str">
        <f t="shared" si="32"/>
        <v>user2-Fruit Salad</v>
      </c>
      <c r="E68" s="50"/>
      <c r="F68" s="50"/>
      <c r="G68" s="54" t="s">
        <v>35</v>
      </c>
      <c r="H68" s="108">
        <f>IF($G68 = "Training", VLOOKUP($D68,test_training!$F:$G,2,0),"Ignore")</f>
        <v>4</v>
      </c>
      <c r="I68" s="109">
        <f>IF($G68 = "test", 0, VLOOKUP($B68,Initialweight!$F:$G,2,0))</f>
        <v>1.1003686519786173</v>
      </c>
      <c r="J68" s="109">
        <f>IF($H68 = "Ignore", 0, VLOOKUP($B68,Initialweight!$F:$I,3,0))</f>
        <v>1.1491812482100716</v>
      </c>
      <c r="K68" s="109">
        <f>IF($H68 = "Ignore", 0, VLOOKUP($B68,Initialweight!$F:$I,4,0))</f>
        <v>0.1</v>
      </c>
      <c r="L68" s="59">
        <f>IF($H68 = "Ignore", 0, VLOOKUP($C68,Initialweight!$K:$N,2,0))</f>
        <v>1.0692803455337927</v>
      </c>
      <c r="M68" s="59">
        <f>IF($H68 = "Ignore", 0, VLOOKUP($C68,Initialweight!$K:$N,3,0))</f>
        <v>0.63717442611924779</v>
      </c>
      <c r="N68" s="59">
        <f>IF($H68 = "Ignore", 0, VLOOKUP($C68,Initialweight!$K:$N,4,0))</f>
        <v>0.1</v>
      </c>
      <c r="O68" s="46">
        <f t="shared" si="33"/>
        <v>2.108831474737503</v>
      </c>
      <c r="P68" s="47">
        <f t="shared" si="6"/>
        <v>-1.891168525262497</v>
      </c>
      <c r="Q68" s="47">
        <f t="shared" si="7"/>
        <v>0.3</v>
      </c>
      <c r="R68" s="47">
        <f t="shared" si="34"/>
        <v>2.5314287114948977</v>
      </c>
      <c r="S68" s="47">
        <f t="shared" si="35"/>
        <v>1.5493517066452598</v>
      </c>
      <c r="T68" s="98">
        <f t="shared" si="10"/>
        <v>4.8007525163855753</v>
      </c>
    </row>
    <row r="69" spans="2:20" x14ac:dyDescent="0.25">
      <c r="B69" s="122" t="s">
        <v>5</v>
      </c>
      <c r="C69" s="50" t="s">
        <v>13</v>
      </c>
      <c r="D69" s="50" t="str">
        <f t="shared" si="32"/>
        <v>user3-Fruit Salad</v>
      </c>
      <c r="E69" s="50"/>
      <c r="F69" s="50"/>
      <c r="G69" s="54" t="s">
        <v>35</v>
      </c>
      <c r="H69" s="108">
        <f>IF($G69 = "Training", VLOOKUP($D69,test_training!$F:$G,2,0),"Ignore")</f>
        <v>5</v>
      </c>
      <c r="I69" s="109">
        <f>IF($G69 = "test", 0, VLOOKUP($B69,Initialweight!$F:$G,2,0))</f>
        <v>-0.22053509857539327</v>
      </c>
      <c r="J69" s="109">
        <f>IF($H69 = "Ignore", 0, VLOOKUP($B69,Initialweight!$F:$I,3,0))</f>
        <v>1.6177372266729149</v>
      </c>
      <c r="K69" s="109">
        <f>IF($H69 = "Ignore", 0, VLOOKUP($B69,Initialweight!$F:$I,4,0))</f>
        <v>0.1</v>
      </c>
      <c r="L69" s="59">
        <f>IF($H69 = "Ignore", 0, VLOOKUP($C69,Initialweight!$K:$N,2,0))</f>
        <v>1.0692803455337927</v>
      </c>
      <c r="M69" s="59">
        <f>IF($H69 = "Ignore", 0, VLOOKUP($C69,Initialweight!$K:$N,3,0))</f>
        <v>0.63717442611924779</v>
      </c>
      <c r="N69" s="59">
        <f>IF($H69 = "Ignore", 0, VLOOKUP($C69,Initialweight!$K:$N,4,0))</f>
        <v>0.1</v>
      </c>
      <c r="O69" s="46">
        <f t="shared" si="33"/>
        <v>0.99496694261003238</v>
      </c>
      <c r="P69" s="47">
        <f t="shared" si="6"/>
        <v>-4.0050330573899675</v>
      </c>
      <c r="Q69" s="47">
        <f t="shared" si="7"/>
        <v>0.3</v>
      </c>
      <c r="R69" s="47">
        <f t="shared" si="34"/>
        <v>2.6657094642670325</v>
      </c>
      <c r="S69" s="47">
        <f t="shared" si="35"/>
        <v>1.5493517066452598</v>
      </c>
      <c r="T69" s="98">
        <f t="shared" si="10"/>
        <v>17.304808142060118</v>
      </c>
    </row>
    <row r="70" spans="2:20" x14ac:dyDescent="0.25">
      <c r="B70" s="122" t="s">
        <v>6</v>
      </c>
      <c r="C70" s="50" t="s">
        <v>13</v>
      </c>
      <c r="D70" s="50" t="str">
        <f t="shared" si="32"/>
        <v>user4-Fruit Salad</v>
      </c>
      <c r="E70" s="50"/>
      <c r="F70" s="50"/>
      <c r="G70" s="54" t="s">
        <v>35</v>
      </c>
      <c r="H70" s="108">
        <f>IF($G70 = "Training", VLOOKUP($D70,test_training!$F:$G,2,0),"Ignore")</f>
        <v>5</v>
      </c>
      <c r="I70" s="109">
        <f>IF($G70 = "test", 0, VLOOKUP($B70,Initialweight!$F:$G,2,0))</f>
        <v>-0.89153783231512851</v>
      </c>
      <c r="J70" s="109">
        <f>IF($H70 = "Ignore", 0, VLOOKUP($B70,Initialweight!$F:$I,3,0))</f>
        <v>-0.7967083750355437</v>
      </c>
      <c r="K70" s="109">
        <f>IF($H70 = "Ignore", 0, VLOOKUP($B70,Initialweight!$F:$I,4,0))</f>
        <v>0.1</v>
      </c>
      <c r="L70" s="59">
        <f>IF($H70 = "Ignore", 0, VLOOKUP($C70,Initialweight!$K:$N,2,0))</f>
        <v>1.0692803455337927</v>
      </c>
      <c r="M70" s="59">
        <f>IF($H70 = "Ignore", 0, VLOOKUP($C70,Initialweight!$K:$N,3,0))</f>
        <v>0.63717442611924779</v>
      </c>
      <c r="N70" s="59">
        <f>IF($H70 = "Ignore", 0, VLOOKUP($C70,Initialweight!$K:$N,4,0))</f>
        <v>0.1</v>
      </c>
      <c r="O70" s="46">
        <f t="shared" si="33"/>
        <v>-1.26094608304204</v>
      </c>
      <c r="P70" s="47">
        <f t="shared" si="6"/>
        <v>-6.2609460830420396</v>
      </c>
      <c r="Q70" s="47">
        <f t="shared" si="7"/>
        <v>0.3</v>
      </c>
      <c r="R70" s="47">
        <f t="shared" si="34"/>
        <v>1.4295839413009348</v>
      </c>
      <c r="S70" s="47">
        <f t="shared" si="35"/>
        <v>1.5493517066452598</v>
      </c>
      <c r="T70" s="98">
        <f t="shared" si="10"/>
        <v>40.093126549143314</v>
      </c>
    </row>
    <row r="71" spans="2:20" ht="15.75" thickBot="1" x14ac:dyDescent="0.3">
      <c r="B71" s="125" t="s">
        <v>7</v>
      </c>
      <c r="C71" s="51" t="s">
        <v>13</v>
      </c>
      <c r="D71" s="51" t="str">
        <f t="shared" si="32"/>
        <v>user5-Fruit Salad</v>
      </c>
      <c r="E71" s="51"/>
      <c r="F71" s="51"/>
      <c r="G71" s="126" t="s">
        <v>34</v>
      </c>
      <c r="H71" s="127" t="str">
        <f>IF($G71 = "Training", VLOOKUP($D71,test_training!$F:$G,2,0),"Ignore")</f>
        <v>Ignore</v>
      </c>
      <c r="I71" s="128">
        <f>IF($G71 = "test", 0, VLOOKUP($B71,Initialweight!$F:$G,2,0))</f>
        <v>0</v>
      </c>
      <c r="J71" s="128">
        <f>IF($H71 = "Ignore", 0, VLOOKUP($B71,Initialweight!$F:$I,3,0))</f>
        <v>0</v>
      </c>
      <c r="K71" s="128">
        <f>IF($H71 = "Ignore", 0, VLOOKUP($B71,Initialweight!$F:$I,4,0))</f>
        <v>0</v>
      </c>
      <c r="L71" s="129">
        <f>IF($H71 = "Ignore", 0, VLOOKUP($C71,Initialweight!$K:$N,2,0))</f>
        <v>0</v>
      </c>
      <c r="M71" s="129">
        <f>IF($H71 = "Ignore", 0, VLOOKUP($C71,Initialweight!$K:$N,3,0))</f>
        <v>0</v>
      </c>
      <c r="N71" s="129">
        <f>IF($H71 = "Ignore", 0, VLOOKUP($C71,Initialweight!$K:$N,4,0))</f>
        <v>0</v>
      </c>
      <c r="O71" s="105">
        <f t="shared" si="33"/>
        <v>0</v>
      </c>
      <c r="P71" s="106">
        <f t="shared" si="6"/>
        <v>0</v>
      </c>
      <c r="Q71" s="106">
        <f t="shared" si="7"/>
        <v>0.3</v>
      </c>
      <c r="R71" s="106">
        <f t="shared" si="34"/>
        <v>0</v>
      </c>
      <c r="S71" s="106">
        <f t="shared" si="35"/>
        <v>0</v>
      </c>
      <c r="T71" s="107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2"/>
  <sheetViews>
    <sheetView topLeftCell="A10" workbookViewId="0">
      <selection activeCell="H3" sqref="H3"/>
    </sheetView>
  </sheetViews>
  <sheetFormatPr defaultRowHeight="15" x14ac:dyDescent="0.25"/>
  <cols>
    <col min="3" max="3" width="16.85546875" customWidth="1"/>
    <col min="6" max="6" width="22.28515625" bestFit="1" customWidth="1"/>
  </cols>
  <sheetData>
    <row r="3" spans="2:7" x14ac:dyDescent="0.25">
      <c r="B3" s="52" t="s">
        <v>3</v>
      </c>
      <c r="C3" s="5" t="s">
        <v>8</v>
      </c>
      <c r="D3" s="55" t="s">
        <v>35</v>
      </c>
      <c r="E3" s="56">
        <v>3</v>
      </c>
      <c r="F3" t="str">
        <f>B3&amp;"-"&amp;C3</f>
        <v>user1-Aloo Paratha</v>
      </c>
      <c r="G3" s="56">
        <v>3</v>
      </c>
    </row>
    <row r="4" spans="2:7" x14ac:dyDescent="0.25">
      <c r="B4" s="52" t="s">
        <v>3</v>
      </c>
      <c r="C4" s="5" t="s">
        <v>9</v>
      </c>
      <c r="D4" s="57" t="s">
        <v>35</v>
      </c>
      <c r="E4" s="58">
        <v>4</v>
      </c>
      <c r="F4" t="str">
        <f t="shared" ref="F4:F32" si="0">B4&amp;"-"&amp;C4</f>
        <v>user1-Tandoori Chicken</v>
      </c>
      <c r="G4" s="58">
        <v>4</v>
      </c>
    </row>
    <row r="5" spans="2:7" x14ac:dyDescent="0.25">
      <c r="B5" s="52" t="s">
        <v>3</v>
      </c>
      <c r="C5" s="5" t="s">
        <v>10</v>
      </c>
      <c r="D5" s="55" t="s">
        <v>35</v>
      </c>
      <c r="E5" s="56">
        <v>3</v>
      </c>
      <c r="F5" t="str">
        <f t="shared" si="0"/>
        <v>user1-Vegetable Soup</v>
      </c>
      <c r="G5" s="56">
        <v>3</v>
      </c>
    </row>
    <row r="6" spans="2:7" x14ac:dyDescent="0.25">
      <c r="B6" s="52" t="s">
        <v>3</v>
      </c>
      <c r="C6" s="5" t="s">
        <v>11</v>
      </c>
      <c r="D6" s="57" t="s">
        <v>34</v>
      </c>
      <c r="E6" s="58">
        <v>2.5</v>
      </c>
      <c r="F6" t="str">
        <f t="shared" si="0"/>
        <v>user1-Khichdi</v>
      </c>
      <c r="G6" s="58">
        <v>2.5</v>
      </c>
    </row>
    <row r="7" spans="2:7" x14ac:dyDescent="0.25">
      <c r="B7" s="52" t="s">
        <v>3</v>
      </c>
      <c r="C7" s="5" t="s">
        <v>12</v>
      </c>
      <c r="D7" s="55" t="s">
        <v>35</v>
      </c>
      <c r="E7" s="56">
        <v>5</v>
      </c>
      <c r="F7" t="str">
        <f t="shared" si="0"/>
        <v>user1-Biryani</v>
      </c>
      <c r="G7" s="56">
        <v>5</v>
      </c>
    </row>
    <row r="8" spans="2:7" x14ac:dyDescent="0.25">
      <c r="B8" s="52" t="s">
        <v>3</v>
      </c>
      <c r="C8" s="5" t="s">
        <v>13</v>
      </c>
      <c r="D8" s="57" t="s">
        <v>35</v>
      </c>
      <c r="E8" s="58">
        <v>1.5</v>
      </c>
      <c r="F8" t="str">
        <f t="shared" si="0"/>
        <v>user1-Fruit Salad</v>
      </c>
      <c r="G8" s="58">
        <v>1.5</v>
      </c>
    </row>
    <row r="9" spans="2:7" x14ac:dyDescent="0.25">
      <c r="B9" s="52" t="s">
        <v>4</v>
      </c>
      <c r="C9" s="5" t="s">
        <v>8</v>
      </c>
      <c r="D9" s="55" t="s">
        <v>35</v>
      </c>
      <c r="E9" s="56">
        <v>4</v>
      </c>
      <c r="F9" t="str">
        <f t="shared" si="0"/>
        <v>user2-Aloo Paratha</v>
      </c>
      <c r="G9" s="56">
        <v>4</v>
      </c>
    </row>
    <row r="10" spans="2:7" x14ac:dyDescent="0.25">
      <c r="B10" s="52" t="s">
        <v>4</v>
      </c>
      <c r="C10" s="5" t="s">
        <v>9</v>
      </c>
      <c r="D10" s="57" t="s">
        <v>35</v>
      </c>
      <c r="E10" s="58">
        <v>5</v>
      </c>
      <c r="F10" t="str">
        <f t="shared" si="0"/>
        <v>user2-Tandoori Chicken</v>
      </c>
      <c r="G10" s="58">
        <v>5</v>
      </c>
    </row>
    <row r="11" spans="2:7" x14ac:dyDescent="0.25">
      <c r="B11" s="52" t="s">
        <v>4</v>
      </c>
      <c r="C11" s="5" t="s">
        <v>10</v>
      </c>
      <c r="D11" s="55" t="s">
        <v>34</v>
      </c>
      <c r="E11" s="56">
        <v>1</v>
      </c>
      <c r="F11" t="str">
        <f t="shared" si="0"/>
        <v>user2-Vegetable Soup</v>
      </c>
      <c r="G11" s="56">
        <v>1</v>
      </c>
    </row>
    <row r="12" spans="2:7" x14ac:dyDescent="0.25">
      <c r="B12" s="52" t="s">
        <v>4</v>
      </c>
      <c r="C12" s="5" t="s">
        <v>11</v>
      </c>
      <c r="D12" s="57" t="s">
        <v>35</v>
      </c>
      <c r="E12" s="58">
        <v>3</v>
      </c>
      <c r="F12" t="str">
        <f t="shared" si="0"/>
        <v>user2-Khichdi</v>
      </c>
      <c r="G12" s="58">
        <v>3</v>
      </c>
    </row>
    <row r="13" spans="2:7" x14ac:dyDescent="0.25">
      <c r="B13" s="52" t="s">
        <v>4</v>
      </c>
      <c r="C13" s="5" t="s">
        <v>12</v>
      </c>
      <c r="D13" s="55" t="s">
        <v>35</v>
      </c>
      <c r="E13" s="56">
        <v>3</v>
      </c>
      <c r="F13" t="str">
        <f t="shared" si="0"/>
        <v>user2-Biryani</v>
      </c>
      <c r="G13" s="56">
        <v>3</v>
      </c>
    </row>
    <row r="14" spans="2:7" x14ac:dyDescent="0.25">
      <c r="B14" s="52" t="s">
        <v>4</v>
      </c>
      <c r="C14" s="5" t="s">
        <v>13</v>
      </c>
      <c r="D14" s="57" t="s">
        <v>35</v>
      </c>
      <c r="E14" s="58">
        <v>4</v>
      </c>
      <c r="F14" t="str">
        <f t="shared" si="0"/>
        <v>user2-Fruit Salad</v>
      </c>
      <c r="G14" s="58">
        <v>4</v>
      </c>
    </row>
    <row r="15" spans="2:7" x14ac:dyDescent="0.25">
      <c r="B15" s="52" t="s">
        <v>5</v>
      </c>
      <c r="C15" s="5" t="s">
        <v>8</v>
      </c>
      <c r="D15" s="55" t="s">
        <v>35</v>
      </c>
      <c r="E15" s="56">
        <v>2.5</v>
      </c>
      <c r="F15" t="str">
        <f t="shared" si="0"/>
        <v>user3-Aloo Paratha</v>
      </c>
      <c r="G15" s="56">
        <v>2.5</v>
      </c>
    </row>
    <row r="16" spans="2:7" x14ac:dyDescent="0.25">
      <c r="B16" s="52" t="s">
        <v>5</v>
      </c>
      <c r="C16" s="5" t="s">
        <v>9</v>
      </c>
      <c r="D16" s="57" t="s">
        <v>34</v>
      </c>
      <c r="E16" s="58">
        <v>3.5</v>
      </c>
      <c r="F16" t="str">
        <f t="shared" si="0"/>
        <v>user3-Tandoori Chicken</v>
      </c>
      <c r="G16" s="58">
        <v>3.5</v>
      </c>
    </row>
    <row r="17" spans="2:7" x14ac:dyDescent="0.25">
      <c r="B17" s="52" t="s">
        <v>5</v>
      </c>
      <c r="C17" s="5" t="s">
        <v>10</v>
      </c>
      <c r="D17" s="55" t="s">
        <v>35</v>
      </c>
      <c r="E17" s="56">
        <v>4</v>
      </c>
      <c r="F17" t="str">
        <f t="shared" si="0"/>
        <v>user3-Vegetable Soup</v>
      </c>
      <c r="G17" s="56">
        <v>4</v>
      </c>
    </row>
    <row r="18" spans="2:7" x14ac:dyDescent="0.25">
      <c r="B18" s="52" t="s">
        <v>5</v>
      </c>
      <c r="C18" s="5" t="s">
        <v>11</v>
      </c>
      <c r="D18" s="57" t="s">
        <v>35</v>
      </c>
      <c r="E18" s="58">
        <v>4</v>
      </c>
      <c r="F18" t="str">
        <f t="shared" si="0"/>
        <v>user3-Khichdi</v>
      </c>
      <c r="G18" s="58">
        <v>4</v>
      </c>
    </row>
    <row r="19" spans="2:7" x14ac:dyDescent="0.25">
      <c r="B19" s="52" t="s">
        <v>5</v>
      </c>
      <c r="C19" s="5" t="s">
        <v>12</v>
      </c>
      <c r="D19" s="55" t="s">
        <v>35</v>
      </c>
      <c r="E19" s="56">
        <v>3.5</v>
      </c>
      <c r="F19" t="str">
        <f t="shared" si="0"/>
        <v>user3-Biryani</v>
      </c>
      <c r="G19" s="56">
        <v>3.5</v>
      </c>
    </row>
    <row r="20" spans="2:7" x14ac:dyDescent="0.25">
      <c r="B20" s="52" t="s">
        <v>5</v>
      </c>
      <c r="C20" s="5" t="s">
        <v>13</v>
      </c>
      <c r="D20" s="57" t="s">
        <v>35</v>
      </c>
      <c r="E20" s="58">
        <v>5</v>
      </c>
      <c r="F20" t="str">
        <f t="shared" si="0"/>
        <v>user3-Fruit Salad</v>
      </c>
      <c r="G20" s="58">
        <v>5</v>
      </c>
    </row>
    <row r="21" spans="2:7" x14ac:dyDescent="0.25">
      <c r="B21" s="52" t="s">
        <v>6</v>
      </c>
      <c r="C21" s="5" t="s">
        <v>8</v>
      </c>
      <c r="D21" s="55" t="s">
        <v>35</v>
      </c>
      <c r="E21" s="56">
        <v>3</v>
      </c>
      <c r="F21" t="str">
        <f t="shared" si="0"/>
        <v>user4-Aloo Paratha</v>
      </c>
      <c r="G21" s="56">
        <v>3</v>
      </c>
    </row>
    <row r="22" spans="2:7" x14ac:dyDescent="0.25">
      <c r="B22" s="52" t="s">
        <v>6</v>
      </c>
      <c r="C22" s="5" t="s">
        <v>9</v>
      </c>
      <c r="D22" s="57" t="s">
        <v>35</v>
      </c>
      <c r="E22" s="58">
        <v>4</v>
      </c>
      <c r="F22" t="str">
        <f t="shared" si="0"/>
        <v>user4-Tandoori Chicken</v>
      </c>
      <c r="G22" s="58">
        <v>4</v>
      </c>
    </row>
    <row r="23" spans="2:7" x14ac:dyDescent="0.25">
      <c r="B23" s="52" t="s">
        <v>6</v>
      </c>
      <c r="C23" s="5" t="s">
        <v>10</v>
      </c>
      <c r="D23" s="55" t="s">
        <v>35</v>
      </c>
      <c r="E23" s="56">
        <v>3</v>
      </c>
      <c r="F23" t="str">
        <f t="shared" si="0"/>
        <v>user4-Vegetable Soup</v>
      </c>
      <c r="G23" s="56">
        <v>3</v>
      </c>
    </row>
    <row r="24" spans="2:7" x14ac:dyDescent="0.25">
      <c r="B24" s="52" t="s">
        <v>6</v>
      </c>
      <c r="C24" s="5" t="s">
        <v>11</v>
      </c>
      <c r="D24" s="57" t="s">
        <v>35</v>
      </c>
      <c r="E24" s="58">
        <v>5</v>
      </c>
      <c r="F24" t="str">
        <f t="shared" si="0"/>
        <v>user4-Khichdi</v>
      </c>
      <c r="G24" s="58">
        <v>5</v>
      </c>
    </row>
    <row r="25" spans="2:7" x14ac:dyDescent="0.25">
      <c r="B25" s="52" t="s">
        <v>6</v>
      </c>
      <c r="C25" s="5" t="s">
        <v>12</v>
      </c>
      <c r="D25" s="55" t="s">
        <v>34</v>
      </c>
      <c r="E25" s="56">
        <v>2</v>
      </c>
      <c r="F25" t="str">
        <f t="shared" si="0"/>
        <v>user4-Biryani</v>
      </c>
      <c r="G25" s="56">
        <v>2</v>
      </c>
    </row>
    <row r="26" spans="2:7" x14ac:dyDescent="0.25">
      <c r="B26" s="52" t="s">
        <v>6</v>
      </c>
      <c r="C26" s="5" t="s">
        <v>13</v>
      </c>
      <c r="D26" s="57" t="s">
        <v>35</v>
      </c>
      <c r="E26" s="58">
        <v>5</v>
      </c>
      <c r="F26" t="str">
        <f t="shared" si="0"/>
        <v>user4-Fruit Salad</v>
      </c>
      <c r="G26" s="58">
        <v>5</v>
      </c>
    </row>
    <row r="27" spans="2:7" x14ac:dyDescent="0.25">
      <c r="B27" s="52" t="s">
        <v>7</v>
      </c>
      <c r="C27" s="5" t="s">
        <v>8</v>
      </c>
      <c r="D27" s="55" t="s">
        <v>35</v>
      </c>
      <c r="E27" s="56">
        <v>3.5</v>
      </c>
      <c r="F27" t="str">
        <f t="shared" si="0"/>
        <v>user5-Aloo Paratha</v>
      </c>
      <c r="G27" s="56">
        <v>3.5</v>
      </c>
    </row>
    <row r="28" spans="2:7" x14ac:dyDescent="0.25">
      <c r="B28" s="52" t="s">
        <v>7</v>
      </c>
      <c r="C28" s="5" t="s">
        <v>9</v>
      </c>
      <c r="D28" s="57" t="s">
        <v>35</v>
      </c>
      <c r="E28" s="58">
        <v>2</v>
      </c>
      <c r="F28" t="str">
        <f t="shared" si="0"/>
        <v>user5-Tandoori Chicken</v>
      </c>
      <c r="G28" s="58">
        <v>2</v>
      </c>
    </row>
    <row r="29" spans="2:7" x14ac:dyDescent="0.25">
      <c r="B29" s="52" t="s">
        <v>7</v>
      </c>
      <c r="C29" s="5" t="s">
        <v>10</v>
      </c>
      <c r="D29" s="55" t="s">
        <v>35</v>
      </c>
      <c r="E29" s="56">
        <v>5</v>
      </c>
      <c r="F29" t="str">
        <f t="shared" si="0"/>
        <v>user5-Vegetable Soup</v>
      </c>
      <c r="G29" s="56">
        <v>5</v>
      </c>
    </row>
    <row r="30" spans="2:7" x14ac:dyDescent="0.25">
      <c r="B30" s="52" t="s">
        <v>7</v>
      </c>
      <c r="C30" s="5" t="s">
        <v>11</v>
      </c>
      <c r="D30" s="57" t="s">
        <v>35</v>
      </c>
      <c r="E30" s="58">
        <v>2.5</v>
      </c>
      <c r="F30" t="str">
        <f t="shared" si="0"/>
        <v>user5-Khichdi</v>
      </c>
      <c r="G30" s="58">
        <v>2.5</v>
      </c>
    </row>
    <row r="31" spans="2:7" x14ac:dyDescent="0.25">
      <c r="B31" s="52" t="s">
        <v>7</v>
      </c>
      <c r="C31" s="5" t="s">
        <v>12</v>
      </c>
      <c r="D31" s="55" t="s">
        <v>35</v>
      </c>
      <c r="E31" s="56">
        <v>4</v>
      </c>
      <c r="F31" t="str">
        <f t="shared" si="0"/>
        <v>user5-Biryani</v>
      </c>
      <c r="G31" s="56">
        <v>4</v>
      </c>
    </row>
    <row r="32" spans="2:7" x14ac:dyDescent="0.25">
      <c r="B32" s="52" t="s">
        <v>7</v>
      </c>
      <c r="C32" s="5" t="s">
        <v>13</v>
      </c>
      <c r="D32" s="57" t="s">
        <v>34</v>
      </c>
      <c r="E32" s="58">
        <v>3</v>
      </c>
      <c r="F32" t="str">
        <f t="shared" si="0"/>
        <v>user5-Fruit Salad</v>
      </c>
      <c r="G32" s="5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E7" sqref="E7"/>
    </sheetView>
  </sheetViews>
  <sheetFormatPr defaultRowHeight="15" x14ac:dyDescent="0.25"/>
  <cols>
    <col min="2" max="2" width="16.140625" bestFit="1" customWidth="1"/>
    <col min="3" max="3" width="13.42578125" bestFit="1" customWidth="1"/>
    <col min="7" max="7" width="18" bestFit="1" customWidth="1"/>
    <col min="8" max="8" width="15.140625" bestFit="1" customWidth="1"/>
  </cols>
  <sheetData>
    <row r="1" spans="2:10" ht="15.75" thickBot="1" x14ac:dyDescent="0.3"/>
    <row r="2" spans="2:10" ht="45.75" thickBot="1" x14ac:dyDescent="0.3">
      <c r="B2" s="87" t="s">
        <v>48</v>
      </c>
      <c r="C2" s="87" t="s">
        <v>49</v>
      </c>
      <c r="D2" s="87" t="s">
        <v>21</v>
      </c>
      <c r="E2" s="87" t="s">
        <v>50</v>
      </c>
      <c r="F2" s="88"/>
      <c r="G2" s="89" t="s">
        <v>51</v>
      </c>
      <c r="H2" s="89" t="s">
        <v>52</v>
      </c>
      <c r="I2" s="90" t="s">
        <v>21</v>
      </c>
      <c r="J2" s="90" t="s">
        <v>50</v>
      </c>
    </row>
    <row r="3" spans="2:10" x14ac:dyDescent="0.25">
      <c r="B3" s="91" t="str">
        <f t="shared" ref="B3:B8" si="0">C3&amp;"-"&amp;D3</f>
        <v>user feature 1-0</v>
      </c>
      <c r="C3" s="91" t="s">
        <v>16</v>
      </c>
      <c r="D3" s="92">
        <v>0</v>
      </c>
      <c r="E3" s="92">
        <v>5</v>
      </c>
      <c r="F3" s="147"/>
      <c r="G3" s="148" t="str">
        <f t="shared" ref="G3:G8" si="1">H3&amp;"-"&amp;I3</f>
        <v>food feature 1-0</v>
      </c>
      <c r="H3" s="148" t="s">
        <v>36</v>
      </c>
      <c r="I3" s="149">
        <v>0</v>
      </c>
      <c r="J3" s="149">
        <v>7</v>
      </c>
    </row>
    <row r="4" spans="2:10" x14ac:dyDescent="0.25">
      <c r="B4" s="91" t="str">
        <f t="shared" si="0"/>
        <v>user feature 2-0</v>
      </c>
      <c r="C4" s="91" t="s">
        <v>17</v>
      </c>
      <c r="D4" s="92">
        <v>0</v>
      </c>
      <c r="E4" s="92">
        <v>6</v>
      </c>
      <c r="F4" s="147"/>
      <c r="G4" s="148" t="str">
        <f t="shared" si="1"/>
        <v>food feature 2-0</v>
      </c>
      <c r="H4" s="148" t="s">
        <v>37</v>
      </c>
      <c r="I4" s="149">
        <v>0</v>
      </c>
      <c r="J4" s="149">
        <f>J3+1</f>
        <v>8</v>
      </c>
    </row>
    <row r="5" spans="2:10" x14ac:dyDescent="0.25">
      <c r="B5" s="91" t="str">
        <f t="shared" si="0"/>
        <v>user bias-0</v>
      </c>
      <c r="C5" s="91" t="s">
        <v>18</v>
      </c>
      <c r="D5" s="92">
        <v>0</v>
      </c>
      <c r="E5" s="92">
        <v>7</v>
      </c>
      <c r="F5" s="147"/>
      <c r="G5" s="148" t="str">
        <f t="shared" si="1"/>
        <v>food bias-0</v>
      </c>
      <c r="H5" s="148" t="s">
        <v>25</v>
      </c>
      <c r="I5" s="149">
        <v>0</v>
      </c>
      <c r="J5" s="149">
        <f>J4+1</f>
        <v>9</v>
      </c>
    </row>
    <row r="6" spans="2:10" x14ac:dyDescent="0.25">
      <c r="B6" s="93" t="str">
        <f t="shared" si="0"/>
        <v>user feature 1-1</v>
      </c>
      <c r="C6" s="93" t="s">
        <v>16</v>
      </c>
      <c r="D6" s="94">
        <f>D3+1</f>
        <v>1</v>
      </c>
      <c r="E6" s="94">
        <v>17</v>
      </c>
      <c r="F6" s="147"/>
      <c r="G6" s="150" t="str">
        <f t="shared" si="1"/>
        <v>food feature 1-1</v>
      </c>
      <c r="H6" s="148" t="s">
        <v>36</v>
      </c>
      <c r="I6" s="151">
        <f>I3+1</f>
        <v>1</v>
      </c>
      <c r="J6" s="151">
        <f>J3+12</f>
        <v>19</v>
      </c>
    </row>
    <row r="7" spans="2:10" x14ac:dyDescent="0.25">
      <c r="B7" s="93" t="str">
        <f t="shared" si="0"/>
        <v>user feature 2-1</v>
      </c>
      <c r="C7" s="93" t="s">
        <v>17</v>
      </c>
      <c r="D7" s="94">
        <f>D4+1</f>
        <v>1</v>
      </c>
      <c r="E7" s="94">
        <f>E6+1</f>
        <v>18</v>
      </c>
      <c r="F7" s="147"/>
      <c r="G7" s="150" t="str">
        <f t="shared" si="1"/>
        <v>food feature 2-1</v>
      </c>
      <c r="H7" s="148" t="s">
        <v>37</v>
      </c>
      <c r="I7" s="151">
        <f>I4+1</f>
        <v>1</v>
      </c>
      <c r="J7" s="151">
        <f>J6+1</f>
        <v>20</v>
      </c>
    </row>
    <row r="8" spans="2:10" x14ac:dyDescent="0.25">
      <c r="B8" s="93" t="str">
        <f t="shared" si="0"/>
        <v>user bias-1</v>
      </c>
      <c r="C8" s="93" t="s">
        <v>18</v>
      </c>
      <c r="D8" s="94">
        <f>D5+1</f>
        <v>1</v>
      </c>
      <c r="E8" s="94">
        <f>E7+1</f>
        <v>19</v>
      </c>
      <c r="F8" s="147"/>
      <c r="G8" s="150" t="str">
        <f t="shared" si="1"/>
        <v>food bias-1</v>
      </c>
      <c r="H8" s="148" t="s">
        <v>25</v>
      </c>
      <c r="I8" s="151">
        <f>I5+1</f>
        <v>1</v>
      </c>
      <c r="J8" s="151">
        <f>J7+1</f>
        <v>21</v>
      </c>
    </row>
    <row r="9" spans="2:10" x14ac:dyDescent="0.25">
      <c r="F9" s="86"/>
    </row>
    <row r="10" spans="2:10" x14ac:dyDescent="0.25">
      <c r="F10" s="86"/>
    </row>
    <row r="11" spans="2:10" x14ac:dyDescent="0.25">
      <c r="F11" s="86"/>
    </row>
    <row r="12" spans="2:10" x14ac:dyDescent="0.25">
      <c r="F12" s="86"/>
    </row>
    <row r="13" spans="2:10" x14ac:dyDescent="0.25">
      <c r="F13" s="86"/>
    </row>
    <row r="14" spans="2:10" x14ac:dyDescent="0.25">
      <c r="F14" s="86"/>
    </row>
    <row r="15" spans="2:10" x14ac:dyDescent="0.25">
      <c r="F15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userdata</vt:lpstr>
      <vt:lpstr>Initialweight</vt:lpstr>
      <vt:lpstr>training</vt:lpstr>
      <vt:lpstr>test_training</vt:lpstr>
      <vt:lpstr>clookup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DoAaS</dc:creator>
  <cp:lastModifiedBy>DoAaS</cp:lastModifiedBy>
  <dcterms:created xsi:type="dcterms:W3CDTF">2018-12-24T17:15:53Z</dcterms:created>
  <dcterms:modified xsi:type="dcterms:W3CDTF">2018-12-31T06:39:21Z</dcterms:modified>
</cp:coreProperties>
</file>