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5A0EF738-3CEE-4025-A09A-DFD195197098}" xr6:coauthVersionLast="47" xr6:coauthVersionMax="47" xr10:uidLastSave="{00000000-0000-0000-0000-000000000000}"/>
  <bookViews>
    <workbookView xWindow="20370" yWindow="-120" windowWidth="29040" windowHeight="15720" tabRatio="765" xr2:uid="{00000000-000D-0000-FFFF-FFFF00000000}"/>
  </bookViews>
  <sheets>
    <sheet name="CONTROLE DE PROPOSTAS_2026" sheetId="17" r:id="rId1"/>
    <sheet name="RESUMO ABERTAS_NEGOCIAÇÃO" sheetId="28" r:id="rId2"/>
    <sheet name="ESCOPO PROPOSTAS " sheetId="9" state="hidden" r:id="rId3"/>
    <sheet name="CONTROLE DE PROPOSTAS ENVIADAS" sheetId="8" state="hidden" r:id="rId4"/>
    <sheet name="TOTAL DE VENDA_2026" sheetId="19" r:id="rId5"/>
    <sheet name="CONTROLE DE PROPOSTAS_2024" sheetId="23" state="hidden" r:id="rId6"/>
    <sheet name="RESUMO MENSAL" sheetId="27" r:id="rId7"/>
    <sheet name="FOLLOW-UP" sheetId="15" state="hidden" r:id="rId8"/>
  </sheets>
  <definedNames>
    <definedName name="_xlnm._FilterDatabase" localSheetId="3" hidden="1">'CONTROLE DE PROPOSTAS ENVIADAS'!$A$2:$K$34</definedName>
    <definedName name="_xlnm._FilterDatabase" localSheetId="5" hidden="1">'CONTROLE DE PROPOSTAS_2024'!$Q$2:$Q$2</definedName>
    <definedName name="_xlnm._FilterDatabase" localSheetId="0" hidden="1">'CONTROLE DE PROPOSTAS_2026'!#REF!</definedName>
    <definedName name="_xlnm._FilterDatabase" localSheetId="6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67" i="17" l="1"/>
  <c r="L466" i="17"/>
  <c r="K466" i="17"/>
  <c r="N457" i="17"/>
  <c r="C12" i="19"/>
  <c r="C17" i="19"/>
  <c r="C14" i="19"/>
  <c r="C15" i="28"/>
  <c r="C14" i="28"/>
  <c r="C13" i="28"/>
  <c r="B14" i="28"/>
  <c r="B13" i="28"/>
  <c r="B12" i="28"/>
  <c r="I9" i="28"/>
  <c r="I4" i="28"/>
  <c r="E13" i="28" s="1" a="1"/>
  <c r="J13" i="28"/>
  <c r="I13" i="28"/>
  <c r="J12" i="28"/>
  <c r="I12" i="28"/>
  <c r="L445" i="17"/>
  <c r="K445" i="17"/>
  <c r="K437" i="17"/>
  <c r="L427" i="17"/>
  <c r="N16" i="17"/>
  <c r="N17" i="17"/>
  <c r="L18" i="17"/>
  <c r="N18" i="17"/>
  <c r="N19" i="17"/>
  <c r="N20" i="17"/>
  <c r="L21" i="17"/>
  <c r="N21" i="17" s="1"/>
  <c r="N22" i="17"/>
  <c r="N2" i="17"/>
  <c r="N3" i="17"/>
  <c r="N4" i="17"/>
  <c r="N23" i="17"/>
  <c r="N24" i="17"/>
  <c r="K25" i="17"/>
  <c r="N25" i="17"/>
  <c r="K26" i="17"/>
  <c r="N26" i="17"/>
  <c r="K355" i="17"/>
  <c r="K434" i="17"/>
  <c r="K426" i="17"/>
  <c r="K425" i="17"/>
  <c r="K424" i="17"/>
  <c r="K420" i="17"/>
  <c r="K401" i="17"/>
  <c r="C10" i="19"/>
  <c r="L409" i="17"/>
  <c r="N407" i="17"/>
  <c r="N399" i="17"/>
  <c r="L386" i="17"/>
  <c r="K386" i="17"/>
  <c r="N397" i="17"/>
  <c r="L378" i="17"/>
  <c r="K378" i="17"/>
  <c r="L384" i="17"/>
  <c r="K369" i="17"/>
  <c r="L339" i="17"/>
  <c r="L305" i="17"/>
  <c r="L353" i="17"/>
  <c r="K353" i="17"/>
  <c r="L352" i="17"/>
  <c r="K352" i="17"/>
  <c r="L350" i="17"/>
  <c r="K350" i="17"/>
  <c r="L346" i="17"/>
  <c r="K346" i="17"/>
  <c r="N346" i="17"/>
  <c r="L343" i="17"/>
  <c r="K335" i="17"/>
  <c r="N333" i="17"/>
  <c r="L329" i="17"/>
  <c r="K329" i="17"/>
  <c r="K105" i="17"/>
  <c r="N267" i="17"/>
  <c r="N257" i="17"/>
  <c r="N252" i="17"/>
  <c r="N224" i="17"/>
  <c r="N211" i="17"/>
  <c r="N199" i="17"/>
  <c r="N178" i="17"/>
  <c r="N193" i="17"/>
  <c r="L295" i="17"/>
  <c r="K149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1" i="17"/>
  <c r="N275" i="17"/>
  <c r="I14" i="28" l="1"/>
  <c r="D12" i="28" a="1"/>
  <c r="K13" i="28"/>
  <c r="J14" i="28"/>
  <c r="K12" i="28"/>
  <c r="D13" i="19"/>
  <c r="D14" i="19"/>
  <c r="D12" i="19"/>
  <c r="E15" i="28" a="1"/>
  <c r="D15" i="28" a="1"/>
  <c r="A20" i="28" a="1"/>
  <c r="L13" i="28"/>
  <c r="L12" i="28"/>
  <c r="D14" i="28" a="1"/>
  <c r="E14" i="28" a="1"/>
  <c r="D13" i="28" a="1"/>
  <c r="E12" i="28" a="1"/>
  <c r="L270" i="17"/>
  <c r="K266" i="17"/>
  <c r="N254" i="17"/>
  <c r="K250" i="17"/>
  <c r="K237" i="17"/>
  <c r="L241" i="17"/>
  <c r="N241" i="17" s="1"/>
  <c r="N244" i="17"/>
  <c r="K242" i="17"/>
  <c r="N232" i="17"/>
  <c r="N230" i="17"/>
  <c r="L204" i="17"/>
  <c r="L202" i="17"/>
  <c r="K14" i="28" l="1"/>
  <c r="L14" i="28"/>
  <c r="N13" i="17"/>
  <c r="L210" i="17"/>
  <c r="L203" i="17"/>
  <c r="K203" i="17"/>
  <c r="N5" i="17"/>
  <c r="L201" i="17" l="1"/>
  <c r="K201" i="17"/>
  <c r="N206" i="17"/>
  <c r="N207" i="17"/>
  <c r="N133" i="17"/>
  <c r="N186" i="17"/>
  <c r="K192" i="17"/>
  <c r="N175" i="17"/>
  <c r="L173" i="17"/>
  <c r="L163" i="17"/>
  <c r="L215" i="17"/>
  <c r="N29" i="17"/>
  <c r="N119" i="17"/>
  <c r="L152" i="17"/>
  <c r="K152" i="17"/>
  <c r="K151" i="17"/>
  <c r="L156" i="17"/>
  <c r="L155" i="17"/>
  <c r="L150" i="17"/>
  <c r="K150" i="17"/>
  <c r="K148" i="17"/>
  <c r="L139" i="17"/>
  <c r="K139" i="17"/>
  <c r="L131" i="17"/>
  <c r="K131" i="17"/>
  <c r="L103" i="17"/>
  <c r="K129" i="17"/>
  <c r="L129" i="17"/>
  <c r="L136" i="17"/>
  <c r="K122" i="17"/>
  <c r="K120" i="17"/>
  <c r="K98" i="17"/>
  <c r="K111" i="17"/>
  <c r="N96" i="17"/>
  <c r="N95" i="17"/>
  <c r="L100" i="17" l="1"/>
  <c r="K94" i="17"/>
  <c r="N85" i="17"/>
  <c r="L48" i="17"/>
  <c r="L9" i="17"/>
  <c r="N9" i="17" s="1"/>
  <c r="N73" i="17"/>
  <c r="L69" i="17"/>
  <c r="N60" i="17"/>
  <c r="L68" i="17" l="1"/>
  <c r="K68" i="17"/>
  <c r="L67" i="17"/>
  <c r="K50" i="17"/>
  <c r="L43" i="17"/>
  <c r="N15" i="17"/>
  <c r="N11" i="17"/>
  <c r="N7" i="17"/>
  <c r="N33" i="17"/>
  <c r="N12" i="17"/>
  <c r="L53" i="17"/>
  <c r="K51" i="17"/>
  <c r="L51" i="17"/>
  <c r="N10" i="17" l="1"/>
  <c r="N6" i="17" l="1"/>
  <c r="N8" i="17"/>
  <c r="N27" i="17" l="1"/>
  <c r="N28" i="17"/>
  <c r="N30" i="17"/>
  <c r="N31" i="17"/>
  <c r="N32" i="17"/>
  <c r="N34" i="17"/>
  <c r="N35" i="17"/>
  <c r="N36" i="17"/>
  <c r="N37" i="17"/>
  <c r="N38" i="17"/>
  <c r="N39" i="17"/>
  <c r="N40" i="17"/>
  <c r="N41" i="17"/>
  <c r="N42" i="17"/>
  <c r="N43" i="17"/>
  <c r="N45" i="17"/>
  <c r="N46" i="17"/>
  <c r="N47" i="17"/>
  <c r="N44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5" i="17"/>
  <c r="N76" i="17"/>
  <c r="N77" i="17"/>
  <c r="N74" i="17"/>
  <c r="N78" i="17"/>
  <c r="N79" i="17"/>
  <c r="N80" i="17"/>
  <c r="N81" i="17"/>
  <c r="N82" i="17"/>
  <c r="N83" i="17"/>
  <c r="N113" i="17"/>
  <c r="N114" i="17"/>
  <c r="N115" i="17"/>
  <c r="N84" i="17"/>
  <c r="N86" i="17"/>
  <c r="N87" i="17"/>
  <c r="N88" i="17"/>
  <c r="N89" i="17"/>
  <c r="N90" i="17"/>
  <c r="N92" i="17"/>
  <c r="N93" i="17"/>
  <c r="N91" i="17"/>
  <c r="N94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10" i="17"/>
  <c r="N111" i="17"/>
  <c r="N112" i="17"/>
  <c r="N116" i="17"/>
  <c r="N117" i="17"/>
  <c r="N120" i="17"/>
  <c r="N122" i="17"/>
  <c r="N118" i="17"/>
  <c r="N123" i="17"/>
  <c r="N124" i="17"/>
  <c r="N125" i="17"/>
  <c r="N126" i="17"/>
  <c r="N127" i="17"/>
  <c r="N128" i="17"/>
  <c r="N129" i="17"/>
  <c r="N130" i="17"/>
  <c r="N131" i="17"/>
  <c r="N132" i="17"/>
  <c r="N134" i="17"/>
  <c r="N135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214" i="17"/>
  <c r="N215" i="17"/>
  <c r="N216" i="17"/>
  <c r="N217" i="17"/>
  <c r="N218" i="17"/>
  <c r="N158" i="17"/>
  <c r="N159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6" i="17"/>
  <c r="N177" i="17"/>
  <c r="N179" i="17"/>
  <c r="N180" i="17"/>
  <c r="N181" i="17"/>
  <c r="N182" i="17"/>
  <c r="N183" i="17"/>
  <c r="N184" i="17"/>
  <c r="N185" i="17"/>
  <c r="N187" i="17"/>
  <c r="N188" i="17"/>
  <c r="N189" i="17"/>
  <c r="N190" i="17"/>
  <c r="N191" i="17"/>
  <c r="N192" i="17"/>
  <c r="N194" i="17"/>
  <c r="N195" i="17"/>
  <c r="N196" i="17"/>
  <c r="N197" i="17"/>
  <c r="N198" i="17"/>
  <c r="N200" i="17"/>
  <c r="N201" i="17"/>
  <c r="N202" i="17"/>
  <c r="N203" i="17"/>
  <c r="N204" i="17"/>
  <c r="N205" i="17"/>
  <c r="N208" i="17"/>
  <c r="N209" i="17"/>
  <c r="N210" i="17"/>
  <c r="N212" i="17"/>
  <c r="N213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8" i="17"/>
  <c r="N400" i="17"/>
  <c r="N401" i="17"/>
  <c r="N402" i="17"/>
  <c r="N403" i="17"/>
  <c r="N404" i="17"/>
  <c r="N405" i="17"/>
  <c r="N406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G9" i="27" l="1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D11" i="27"/>
  <c r="C5" i="27"/>
  <c r="E3" i="27"/>
  <c r="D5" i="27"/>
  <c r="E6" i="27"/>
  <c r="G3" i="27"/>
  <c r="F5" i="27"/>
  <c r="C7" i="19"/>
  <c r="E9" i="27"/>
  <c r="C3" i="27"/>
  <c r="D7" i="27"/>
  <c r="E12" i="27"/>
  <c r="F9" i="27"/>
  <c r="G2" i="27"/>
  <c r="C4" i="19"/>
  <c r="C6" i="19"/>
  <c r="F4" i="27"/>
  <c r="C9" i="19"/>
  <c r="E4" i="27"/>
  <c r="F6" i="27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C8" i="19"/>
  <c r="D10" i="27"/>
  <c r="E2" i="27"/>
  <c r="C2" i="27"/>
  <c r="C16" i="19" l="1"/>
  <c r="C15" i="19"/>
  <c r="D3" i="19"/>
  <c r="D4" i="19" s="1"/>
  <c r="D5" i="19" s="1"/>
  <c r="D6" i="19" s="1"/>
  <c r="D7" i="19" s="1"/>
  <c r="D8" i="19" s="1"/>
  <c r="D9" i="19" s="1"/>
  <c r="D10" i="19" s="1"/>
  <c r="D11" i="19" s="1"/>
  <c r="H13" i="27"/>
  <c r="H12" i="27"/>
  <c r="H10" i="27"/>
  <c r="H11" i="27"/>
  <c r="H9" i="27"/>
  <c r="H8" i="27"/>
  <c r="H7" i="27"/>
  <c r="H6" i="27"/>
  <c r="H5" i="27" l="1"/>
  <c r="H4" i="27" l="1"/>
  <c r="H2" i="27"/>
  <c r="H3" i="27" l="1"/>
  <c r="Q103" i="23" l="1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  <c r="A20" i="28" l="1"/>
  <c r="E15" i="28"/>
  <c r="D15" i="28"/>
  <c r="E14" i="28"/>
  <c r="F14" i="28" s="1"/>
  <c r="D14" i="28"/>
  <c r="E13" i="28"/>
  <c r="D13" i="28"/>
  <c r="E12" i="28"/>
  <c r="E16" i="28" s="1"/>
  <c r="F16" i="28" s="1"/>
  <c r="D12" i="28"/>
  <c r="D16" i="28" s="1"/>
  <c r="F13" i="28" l="1"/>
  <c r="F15" i="28"/>
  <c r="F1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ProTrafo</author>
  </authors>
  <commentList>
    <comment ref="C16" authorId="0" shapeId="0" xr:uid="{47E4E4FE-50A1-4855-AC77-38034DA240C2}">
      <text>
        <r>
          <rPr>
            <b/>
            <sz val="9"/>
            <color indexed="81"/>
            <rFont val="Segoe UI"/>
            <charset val="1"/>
          </rPr>
          <t>ProTrafo:</t>
        </r>
        <r>
          <rPr>
            <sz val="9"/>
            <color indexed="81"/>
            <rFont val="Segoe UI"/>
            <charset val="1"/>
          </rPr>
          <t xml:space="preserve">
Média dos meses com venda registrada (ignora meses zerados). Ajusta-se automaticamente conforme novos meses forem faturados.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<sst xmlns="http://schemas.openxmlformats.org/spreadsheetml/2006/main" count="4787" uniqueCount="1864">
  <si>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</si>
  <si>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</si>
  <si>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</si>
  <si>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</si>
  <si>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</si>
  <si>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</si>
  <si>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</si>
  <si>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</si>
  <si>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</si>
  <si>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</si>
  <si>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</si>
  <si>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</si>
  <si>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</si>
  <si>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</si>
  <si>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</si>
  <si>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</si>
  <si>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</si>
  <si>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</si>
  <si>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</si>
  <si>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</si>
  <si>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</si>
  <si>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</si>
  <si>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</si>
  <si>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</si>
  <si>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</si>
  <si>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</si>
  <si>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</si>
  <si>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</si>
  <si>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</si>
  <si>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</si>
  <si>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</si>
  <si>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</si>
  <si>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</si>
  <si>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</si>
  <si>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</si>
  <si>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</si>
  <si>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</si>
  <si>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</si>
  <si>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</si>
  <si>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</si>
  <si>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</si>
  <si>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</si>
  <si>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</si>
  <si>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</si>
  <si>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</si>
  <si>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</si>
  <si>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</si>
  <si>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</si>
  <si>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</si>
  <si>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</si>
  <si>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</si>
  <si>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</si>
  <si>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</si>
  <si>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</si>
  <si>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</si>
  <si>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</si>
  <si>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</si>
  <si>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</si>
  <si>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</si>
  <si>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</si>
  <si>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</si>
  <si>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</si>
  <si>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</si>
  <si>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</si>
  <si>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</si>
  <si>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</si>
  <si>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</si>
  <si>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</si>
  <si>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</si>
  <si>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</si>
  <si>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</si>
  <si>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</si>
  <si>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</si>
  <si>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</si>
  <si>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</si>
  <si>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</si>
  <si>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</si>
  <si>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</si>
  <si>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</si>
  <si>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</si>
  <si>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</si>
  <si>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</si>
  <si>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</si>
  <si>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</si>
  <si>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</si>
  <si>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</si>
  <si>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</si>
  <si>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</si>
  <si>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</si>
  <si>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</si>
  <si>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</si>
  <si>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</si>
  <si>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</si>
  <si>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</si>
  <si>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</si>
  <si>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</si>
  <si>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</si>
  <si>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</si>
  <si>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</si>
  <si>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</si>
  <si>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</si>
  <si>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</si>
  <si>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</si>
  <si>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</si>
  <si>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</si>
  <si>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</si>
  <si>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</si>
  <si>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</si>
  <si>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</si>
  <si>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</si>
  <si>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</si>
  <si>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</si>
  <si>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</si>
  <si>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</si>
  <si>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</si>
  <si>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</si>
  <si>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</si>
  <si>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</si>
  <si>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</si>
  <si>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</si>
  <si>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</si>
  <si>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</si>
  <si>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</si>
  <si>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</si>
  <si>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</si>
  <si>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</si>
  <si>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</si>
  <si>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</si>
  <si>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</si>
  <si>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</si>
  <si>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</si>
  <si>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</si>
  <si>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</si>
  <si>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</si>
  <si>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</si>
  <si>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</si>
  <si>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</si>
  <si>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</si>
  <si>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</si>
  <si>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</si>
  <si>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</si>
  <si>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</si>
  <si>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</si>
  <si>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</si>
  <si>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</si>
  <si>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</si>
  <si>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</si>
  <si>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</si>
  <si>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</si>
  <si>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</si>
  <si>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</si>
  <si>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</si>
  <si>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</si>
  <si>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</si>
  <si>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</si>
  <si>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</si>
  <si>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</si>
  <si>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</si>
  <si>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</si>
  <si>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</si>
  <si>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</si>
  <si>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</si>
  <si>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</si>
  <si>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</si>
  <si>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</si>
  <si>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</si>
  <si>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</si>
  <si>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</si>
  <si>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</si>
  <si>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</si>
  <si>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</si>
  <si>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</si>
  <si>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</si>
  <si>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</si>
  <si>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</si>
  <si>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</si>
  <si>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</si>
  <si>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</si>
  <si>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</si>
  <si>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</si>
  <si>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</si>
  <si>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</si>
  <si>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</si>
  <si>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</si>
  <si>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</si>
  <si>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</si>
  <si>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</si>
  <si>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</si>
  <si>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</si>
  <si>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</si>
  <si>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</si>
  <si>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</si>
  <si>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</si>
  <si>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</si>
  <si>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</si>
  <si>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</si>
  <si>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</si>
  <si>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</si>
  <si>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</si>
  <si>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</si>
  <si>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</si>
  <si>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</si>
  <si>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</si>
  <si>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</si>
  <si>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</si>
  <si>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</si>
  <si>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</si>
  <si>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</si>
  <si>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</si>
  <si>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</si>
  <si>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</si>
  <si>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</si>
  <si>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</si>
  <si>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</si>
  <si>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</si>
  <si>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</si>
  <si>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</si>
  <si>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</si>
  <si>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</si>
  <si>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</si>
  <si>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</si>
  <si>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</si>
  <si>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</si>
  <si>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</si>
  <si>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</si>
  <si>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</si>
  <si>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</si>
  <si>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</si>
  <si>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</si>
  <si>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</si>
  <si>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</si>
  <si>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</si>
  <si>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</si>
  <si>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</si>
  <si>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</si>
  <si>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</si>
  <si>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</si>
  <si>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</si>
  <si>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</si>
  <si>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</si>
  <si>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</si>
  <si>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</si>
  <si>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</si>
  <si>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</si>
  <si>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</si>
  <si>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</si>
  <si>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</si>
  <si>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</si>
  <si>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</si>
  <si>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</si>
  <si>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</si>
  <si>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</si>
  <si>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</si>
  <si>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</si>
  <si>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</si>
  <si>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</si>
  <si>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</si>
  <si>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</si>
  <si>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</si>
  <si>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</si>
  <si>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</si>
  <si>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</si>
  <si>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</si>
  <si>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</si>
  <si>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</si>
  <si>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</si>
  <si>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</si>
  <si>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</si>
  <si>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</si>
  <si>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</si>
  <si>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</si>
  <si>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</si>
  <si>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</si>
  <si>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</si>
  <si>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</si>
  <si>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</si>
  <si>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</si>
  <si>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</si>
  <si>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</si>
  <si>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</si>
  <si>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</si>
  <si>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</si>
  <si>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</si>
  <si>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</si>
  <si>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</si>
  <si>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</si>
  <si>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</si>
  <si>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</si>
  <si>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</si>
  <si>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</si>
  <si>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</si>
  <si>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</si>
  <si>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</si>
  <si>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</si>
  <si>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</si>
  <si>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</si>
  <si>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</si>
  <si>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</si>
  <si>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</si>
  <si>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</si>
  <si>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</si>
  <si>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</si>
  <si>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</si>
  <si>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</si>
  <si>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</si>
  <si>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</si>
  <si>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</si>
  <si>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</si>
  <si>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</si>
  <si>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</si>
  <si>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</si>
  <si>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</si>
  <si>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</si>
  <si>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</si>
  <si>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</si>
  <si>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</si>
  <si>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</si>
  <si>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</si>
  <si>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</si>
  <si>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</si>
  <si>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</si>
  <si>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</si>
  <si>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</si>
  <si>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</si>
  <si>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</si>
  <si>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</si>
  <si>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</si>
  <si>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</si>
  <si>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</si>
  <si>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</si>
  <si>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</si>
  <si>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</si>
  <si>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</si>
  <si>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</si>
  <si>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</si>
  <si>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</si>
  <si>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</si>
  <si>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</si>
  <si>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</si>
  <si>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</si>
  <si>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</si>
  <si>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</si>
  <si>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</si>
  <si>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</si>
  <si>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</si>
  <si>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</si>
  <si>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</si>
  <si>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</si>
  <si>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</si>
  <si>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</si>
  <si>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</si>
  <si>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</si>
  <si>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</si>
  <si>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</si>
  <si>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</si>
  <si>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</si>
  <si>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</si>
  <si>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</si>
  <si>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</si>
  <si>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</si>
  <si>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</si>
  <si>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</si>
  <si>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</si>
  <si>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</si>
  <si>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</si>
  <si>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</si>
  <si>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</si>
  <si>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</si>
  <si>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</si>
  <si>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</si>
  <si>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</si>
  <si>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</si>
  <si>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</si>
  <si>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</si>
  <si>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</si>
  <si>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</si>
  <si>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</si>
  <si>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</si>
  <si>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</si>
  <si>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</si>
  <si>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</si>
  <si>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</si>
  <si>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</si>
  <si>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</si>
  <si>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</si>
  <si>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</si>
  <si>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</si>
  <si>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</si>
  <si>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</si>
  <si>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</si>
  <si>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</si>
  <si>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</si>
  <si>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</si>
  <si>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</si>
  <si>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</si>
  <si>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</si>
  <si>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</si>
  <si>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</si>
  <si>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</si>
  <si>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</si>
  <si>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</si>
  <si>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</si>
  <si>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</si>
  <si>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</si>
  <si>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</si>
  <si>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</si>
  <si>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</si>
  <si>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</si>
  <si>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</si>
  <si>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</si>
  <si>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</si>
  <si>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</si>
  <si>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</si>
  <si>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</si>
  <si>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</si>
  <si>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</si>
  <si>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</si>
  <si>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</si>
  <si>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</si>
  <si>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</si>
  <si>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</si>
  <si>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</si>
  <si>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</si>
  <si>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</si>
  <si>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</si>
  <si>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</si>
  <si>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</si>
  <si>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</si>
  <si>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</si>
  <si>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</si>
  <si>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</si>
  <si>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</si>
  <si>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</si>
  <si>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</si>
  <si>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</si>
  <si>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</si>
  <si>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</si>
  <si>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</si>
  <si>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</si>
  <si>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</si>
  <si>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</si>
  <si>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</si>
  <si>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</si>
  <si>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</si>
  <si>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</si>
  <si>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</si>
  <si>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</si>
  <si>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</si>
  <si>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</si>
  <si>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</si>
  <si>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</si>
  <si>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</si>
  <si>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</si>
  <si>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</si>
  <si>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</si>
  <si>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</si>
  <si>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</si>
  <si>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</si>
  <si>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</si>
  <si>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</si>
  <si>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</si>
  <si>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</si>
  <si>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</si>
  <si>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</si>
  <si>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</si>
  <si>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</si>
  <si>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</si>
  <si>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</si>
  <si>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</si>
  <si>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</si>
  <si>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</si>
  <si>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</si>
  <si>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</si>
  <si>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</si>
  <si>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</si>
  <si>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</si>
  <si>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</si>
  <si>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</si>
  <si>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</si>
  <si>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</si>
  <si>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</si>
  <si>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</si>
  <si>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</si>
  <si>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</si>
  <si>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</si>
  <si>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</si>
  <si>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</si>
  <si>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</si>
  <si>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</si>
  <si>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</si>
  <si>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</si>
  <si>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</si>
  <si>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</si>
  <si>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</si>
  <si>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</si>
  <si>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</si>
  <si>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</si>
  <si>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</si>
  <si>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</si>
  <si>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</si>
  <si>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</si>
  <si>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</si>
  <si>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</si>
  <si>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</si>
  <si>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</si>
  <si>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</si>
  <si>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</si>
  <si>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</si>
  <si>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</si>
  <si>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</si>
  <si>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</si>
  <si>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</si>
  <si>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</si>
  <si>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</si>
  <si>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</si>
  <si>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</si>
  <si>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</si>
  <si>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</si>
  <si>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</si>
  <si>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</si>
  <si>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</si>
  <si>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</si>
  <si>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CARGILL</t>
  </si>
  <si>
    <t xml:space="preserve">MANUTENÇÃO CORRETIVA EM 01 TRANSFORMADOR 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</si>
  <si>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</si>
  <si>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</si>
  <si>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</si>
  <si>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</si>
  <si>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</si>
  <si>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</si>
  <si>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</si>
  <si>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</si>
  <si>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</si>
  <si>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</si>
  <si>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</si>
  <si>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</si>
  <si>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</si>
  <si>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</si>
  <si>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</si>
  <si>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</si>
  <si>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</si>
  <si>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</si>
  <si>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</si>
  <si>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</si>
  <si>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</si>
  <si>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</si>
  <si>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</si>
  <si>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</si>
  <si>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</si>
  <si>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</si>
  <si>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</si>
  <si>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</si>
  <si>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</si>
  <si>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</si>
  <si>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</si>
  <si>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</si>
  <si>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</si>
  <si>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</si>
  <si>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</si>
  <si>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>PERDIDA</t>
  </si>
  <si>
    <t>MÊS</t>
  </si>
  <si>
    <t>VALOR</t>
  </si>
  <si>
    <t>PETROBRAS</t>
  </si>
  <si>
    <t>ENGIE</t>
  </si>
  <si>
    <t>TOTAL ACUMULADO</t>
  </si>
  <si>
    <t>Suzano Papel e Celulose</t>
  </si>
  <si>
    <t xml:space="preserve">EM NEGOCIAÇÃO </t>
  </si>
  <si>
    <t>TOTAL</t>
  </si>
  <si>
    <t xml:space="preserve">APROVADA </t>
  </si>
  <si>
    <t>ALUPAR</t>
  </si>
  <si>
    <t>CHINT</t>
  </si>
  <si>
    <t>JANEIRO</t>
  </si>
  <si>
    <t>MESES</t>
  </si>
  <si>
    <t>MR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</si>
  <si>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</si>
  <si>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</si>
  <si>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</si>
  <si>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</si>
  <si>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</si>
  <si>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</si>
  <si>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</si>
  <si>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</si>
  <si>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</si>
  <si>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</si>
  <si>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</si>
  <si>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</si>
  <si>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</si>
  <si>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</si>
  <si>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</si>
  <si>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</si>
  <si>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</si>
  <si>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</si>
  <si>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</si>
  <si>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</si>
  <si>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</si>
  <si>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</si>
  <si>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</si>
  <si>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</si>
  <si>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</si>
  <si>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</si>
  <si>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</si>
  <si>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</si>
  <si>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</si>
  <si>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</si>
  <si>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</si>
  <si>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</si>
  <si>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</si>
  <si>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</si>
  <si>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</si>
  <si>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</si>
  <si>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</si>
  <si>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</si>
  <si>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</si>
  <si>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</si>
  <si>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</si>
  <si>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</si>
  <si>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</si>
  <si>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</si>
  <si>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</si>
  <si>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</si>
  <si>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</si>
  <si>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</si>
  <si>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</si>
  <si>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</si>
  <si>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</si>
  <si>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</si>
  <si>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</si>
  <si>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</si>
  <si>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</si>
  <si>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</si>
  <si>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</si>
  <si>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</si>
  <si>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</si>
  <si>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</si>
  <si>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</si>
  <si>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</si>
  <si>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</si>
  <si>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</si>
  <si>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</si>
  <si>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</si>
  <si>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</si>
  <si>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</si>
  <si>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</si>
  <si>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</si>
  <si>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</si>
  <si>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</si>
  <si>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</si>
  <si>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</si>
  <si>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</si>
  <si>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</si>
  <si>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</si>
  <si>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</si>
  <si>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</si>
  <si>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</si>
  <si>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</si>
  <si>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</si>
  <si>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</si>
  <si>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</si>
  <si>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</si>
  <si>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</si>
  <si>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</si>
  <si>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</si>
  <si>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</si>
  <si>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</si>
  <si>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</si>
  <si>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</si>
  <si>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</si>
  <si>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</si>
  <si>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</si>
  <si>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</si>
  <si>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</si>
  <si>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</si>
  <si>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</si>
  <si>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</si>
  <si>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</si>
  <si>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</si>
  <si>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</si>
  <si>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</si>
  <si>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</si>
  <si>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</si>
  <si>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</si>
  <si>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</si>
  <si>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</si>
  <si>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</si>
  <si>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</si>
  <si>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</si>
  <si>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</si>
  <si>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</si>
  <si>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</si>
  <si>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</si>
  <si>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</si>
  <si>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</si>
  <si>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</si>
  <si>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</si>
  <si>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</si>
  <si>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</si>
  <si>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</si>
  <si>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</si>
  <si>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</si>
  <si>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</si>
  <si>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</si>
  <si>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</si>
  <si>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</si>
  <si>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</si>
  <si>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</si>
  <si>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</si>
  <si>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</si>
  <si>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</si>
  <si>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</si>
  <si>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</si>
  <si>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</si>
  <si>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</si>
  <si>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</si>
  <si>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</si>
  <si>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</si>
  <si>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</si>
  <si>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</si>
  <si>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</si>
  <si>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</si>
  <si>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</si>
  <si>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</si>
  <si>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</si>
  <si>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</si>
  <si>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</si>
  <si>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</si>
  <si>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</si>
  <si>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</si>
  <si>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</si>
  <si>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</si>
  <si>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</si>
  <si>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</si>
  <si>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</si>
  <si>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</si>
  <si>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</si>
  <si>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</si>
  <si>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</si>
  <si>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</si>
  <si>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</si>
  <si>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</si>
  <si>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</si>
  <si>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</si>
  <si>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</si>
  <si>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</si>
  <si>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</si>
  <si>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</si>
  <si>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</si>
  <si>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</si>
  <si>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</si>
  <si>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</si>
  <si>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</si>
  <si>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</si>
  <si>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</si>
  <si>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</si>
  <si>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</si>
  <si>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</si>
  <si>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</si>
  <si>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</si>
  <si>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</si>
  <si>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</si>
  <si>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</si>
  <si>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</si>
  <si>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</si>
  <si>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</si>
  <si>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</si>
  <si>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</si>
  <si>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</si>
  <si>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</si>
  <si>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</si>
  <si>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</si>
  <si>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</si>
  <si>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</si>
  <si>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</si>
  <si>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</si>
  <si>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</si>
  <si>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</si>
  <si>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</si>
  <si>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</si>
  <si>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</si>
  <si>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</si>
  <si>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</si>
  <si>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</si>
  <si>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</si>
  <si>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</si>
  <si>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</si>
  <si>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</si>
  <si>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</si>
  <si>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</si>
  <si>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</si>
  <si>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</si>
  <si>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</si>
  <si>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</si>
  <si>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</si>
  <si>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</si>
  <si>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</si>
  <si>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</si>
  <si>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</si>
  <si>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</si>
  <si>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</si>
  <si>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</si>
  <si>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</si>
  <si>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</si>
  <si>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</si>
  <si>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</si>
  <si>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</si>
  <si>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</si>
  <si>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</si>
  <si>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</si>
  <si>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</si>
  <si>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</si>
  <si>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</si>
  <si>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</si>
  <si>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</si>
  <si>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</si>
  <si>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</si>
  <si>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</si>
  <si>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</si>
  <si>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</si>
  <si>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</si>
  <si>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</si>
  <si>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</si>
  <si>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</si>
  <si>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</si>
  <si>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</si>
  <si>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</si>
  <si>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</si>
  <si>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</si>
  <si>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</si>
  <si>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</si>
  <si>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</si>
  <si>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</si>
  <si>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</si>
  <si>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</si>
  <si>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</si>
  <si>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</si>
  <si>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</si>
  <si>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</si>
  <si>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</si>
  <si>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</si>
  <si>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</si>
  <si>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</si>
  <si>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</si>
  <si>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</si>
  <si>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</si>
  <si>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</si>
  <si>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</si>
  <si>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</si>
  <si>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</si>
  <si>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</si>
  <si>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</si>
  <si>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</si>
  <si>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</si>
  <si>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</si>
  <si>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</si>
  <si>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</si>
  <si>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</si>
  <si>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</si>
  <si>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</si>
  <si>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</si>
  <si>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</si>
  <si>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</si>
  <si>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</si>
  <si>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</si>
  <si>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</si>
  <si>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</si>
  <si>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</si>
  <si>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</si>
  <si>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</si>
  <si>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</si>
  <si>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</si>
  <si>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</si>
  <si>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</si>
  <si>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</si>
  <si>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</si>
  <si>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</si>
  <si>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</si>
  <si>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</si>
  <si>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</si>
  <si>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</si>
  <si>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</si>
  <si>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</si>
  <si>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</si>
  <si>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</si>
  <si>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</si>
  <si>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</si>
  <si>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</si>
  <si>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</si>
  <si>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</si>
  <si>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</si>
  <si>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</si>
  <si>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</si>
  <si>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</si>
  <si>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</si>
  <si>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</si>
  <si>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</si>
  <si>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</si>
  <si>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</si>
  <si>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</si>
  <si>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</si>
  <si>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</si>
  <si>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</si>
  <si>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</si>
  <si>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</si>
  <si>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</si>
  <si>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</si>
  <si>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</si>
  <si>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</si>
  <si>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</si>
  <si>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</si>
  <si>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</si>
  <si>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</si>
  <si>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</si>
  <si>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</si>
  <si>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</si>
  <si>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</si>
  <si>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</si>
  <si>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</si>
  <si>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</si>
  <si>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</si>
  <si>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</si>
  <si>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</si>
  <si>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</si>
  <si>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</si>
  <si>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</si>
  <si>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</si>
  <si>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</si>
  <si>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</si>
  <si>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</si>
  <si>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</si>
  <si>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</si>
  <si>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</si>
  <si>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</si>
  <si>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</si>
  <si>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</si>
  <si>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</si>
  <si>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</si>
  <si>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</si>
  <si>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</si>
  <si>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</si>
  <si>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</si>
  <si>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</si>
  <si>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</si>
  <si>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</si>
  <si>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</si>
  <si>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</si>
  <si>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</si>
  <si>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</si>
  <si>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</si>
  <si>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</si>
  <si>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</si>
  <si>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</si>
  <si>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</si>
  <si>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</si>
  <si>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</si>
  <si>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</si>
  <si>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</si>
  <si>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</si>
  <si>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</si>
  <si>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</si>
  <si>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</si>
  <si>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</si>
  <si>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</si>
  <si>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</si>
  <si>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</si>
  <si>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</si>
  <si>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</si>
  <si>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</si>
  <si>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</si>
  <si>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</si>
  <si>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</si>
  <si>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</si>
  <si>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</si>
  <si>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</si>
  <si>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</si>
  <si>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</si>
  <si>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</si>
  <si>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</si>
  <si>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</si>
  <si>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</si>
  <si>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</si>
  <si>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</si>
  <si>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</si>
  <si>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</si>
  <si>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</si>
  <si>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</si>
  <si>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</si>
  <si>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</si>
  <si>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</si>
  <si>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</si>
  <si>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</si>
  <si>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</si>
  <si>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</si>
  <si>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</si>
  <si>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</si>
  <si>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</si>
  <si>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</si>
  <si>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</si>
  <si>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</si>
  <si>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</si>
  <si>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</si>
  <si>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</si>
  <si>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</si>
  <si>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</si>
  <si>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</si>
  <si>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</si>
  <si>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</si>
  <si>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</si>
  <si>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</si>
  <si>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</si>
  <si>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</si>
  <si>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</si>
  <si>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</si>
  <si>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</si>
  <si>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</si>
  <si>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</si>
  <si>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</si>
  <si>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</si>
  <si>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</si>
  <si>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</si>
  <si>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</si>
  <si>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</si>
  <si>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</si>
  <si>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</si>
  <si>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</si>
  <si>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</si>
  <si>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</si>
  <si>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</si>
  <si>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</si>
  <si>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</si>
  <si>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</si>
  <si>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</si>
  <si>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</si>
  <si>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</si>
  <si>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</si>
  <si>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</si>
  <si>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</si>
  <si>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</si>
  <si>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</si>
  <si>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</si>
  <si>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</si>
  <si>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</si>
  <si>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</si>
  <si>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</si>
  <si>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</si>
  <si>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</si>
  <si>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</si>
  <si>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</si>
  <si>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</si>
  <si>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</si>
  <si>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</si>
  <si>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</si>
  <si>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</si>
  <si>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</si>
  <si>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</si>
  <si>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</si>
  <si>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</si>
  <si>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</si>
  <si>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</si>
  <si>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</si>
  <si>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</si>
  <si>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</si>
  <si>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</si>
  <si>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</si>
  <si>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</si>
  <si>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</si>
  <si>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</si>
  <si>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</si>
  <si>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</si>
  <si>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</si>
  <si>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</si>
  <si>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</si>
  <si>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</si>
  <si>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</si>
  <si>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</si>
  <si>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</si>
  <si>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</si>
  <si>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</si>
  <si>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</si>
  <si>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</si>
  <si>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</si>
  <si>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</si>
  <si>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</si>
  <si>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</si>
  <si>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</si>
  <si>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</si>
  <si>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</si>
  <si>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</si>
  <si>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</si>
  <si>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</si>
  <si>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</si>
  <si>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</si>
  <si>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</si>
  <si>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</si>
  <si>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</si>
  <si>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</si>
  <si>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</si>
  <si>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</si>
  <si>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</si>
  <si>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</si>
  <si>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</si>
  <si>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</si>
  <si>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</si>
  <si>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</si>
  <si>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</si>
  <si>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</si>
  <si>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</si>
  <si>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</si>
  <si>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</si>
  <si>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</si>
  <si>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</si>
  <si>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</si>
  <si>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</si>
  <si>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</si>
  <si>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</si>
  <si>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</si>
  <si>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</si>
  <si>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</si>
  <si>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</si>
  <si>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</si>
  <si>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</si>
  <si>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</si>
  <si>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</si>
  <si>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</si>
  <si>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</si>
  <si>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</si>
  <si>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</si>
  <si>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</si>
  <si>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</si>
  <si>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</si>
  <si>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</si>
  <si>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</si>
  <si>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</si>
  <si>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</si>
  <si>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</si>
  <si>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</si>
  <si>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</si>
  <si>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</si>
  <si>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</si>
  <si>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</si>
  <si>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</si>
  <si>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</si>
  <si>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</si>
  <si>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</si>
  <si>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</si>
  <si>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</si>
  <si>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</si>
  <si>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</si>
  <si>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</si>
  <si>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</si>
  <si>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</si>
  <si>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</si>
  <si>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</si>
  <si>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</si>
  <si>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</si>
  <si>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</si>
  <si>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</si>
  <si>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</si>
  <si>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</si>
  <si>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</si>
  <si>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</si>
  <si>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</si>
  <si>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</si>
  <si>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</si>
  <si>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</si>
  <si>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</si>
  <si>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</si>
  <si>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</si>
  <si>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</si>
  <si>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</si>
  <si>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</si>
  <si>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</si>
  <si>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</si>
  <si>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</si>
  <si>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</si>
  <si>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</si>
  <si>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</si>
  <si>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</si>
  <si>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</si>
  <si>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</si>
  <si>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</si>
  <si>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</si>
  <si>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</si>
  <si>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</si>
  <si>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</si>
  <si>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</si>
  <si>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</si>
  <si>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</si>
  <si>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</si>
  <si>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</si>
  <si>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</si>
  <si>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</si>
  <si>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</si>
  <si>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</si>
  <si>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</si>
  <si>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</si>
  <si>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</si>
  <si>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</si>
  <si>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</si>
  <si>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</si>
  <si>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</si>
  <si>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</si>
  <si>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</si>
  <si>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</si>
  <si>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</si>
  <si>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</si>
  <si>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</si>
  <si>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</si>
  <si>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</si>
  <si>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</si>
  <si>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</si>
  <si>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</si>
  <si>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</si>
  <si>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</si>
  <si>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</si>
  <si>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</si>
  <si>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</si>
  <si>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</si>
  <si>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</si>
  <si>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</si>
  <si>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</si>
  <si>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</si>
  <si>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</si>
  <si>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</si>
  <si>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</si>
  <si>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</si>
  <si>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</si>
  <si>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</si>
  <si>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</si>
  <si>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</si>
  <si>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</si>
  <si>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</si>
  <si>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</si>
  <si>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</si>
  <si>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</si>
  <si>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</si>
  <si>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</si>
  <si>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</si>
  <si>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</si>
  <si>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</si>
  <si>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</si>
  <si>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</si>
  <si>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</si>
  <si>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</si>
  <si>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</si>
  <si>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</si>
  <si>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</si>
  <si>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</si>
  <si>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</si>
  <si>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</si>
  <si>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</si>
  <si>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</si>
  <si>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</si>
  <si>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</si>
  <si>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</si>
  <si>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</si>
  <si>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</si>
  <si>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</si>
  <si>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</si>
  <si>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</si>
  <si>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</si>
  <si>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</si>
  <si>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</si>
  <si>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</si>
  <si>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</si>
  <si>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</si>
  <si>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</si>
  <si>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</si>
  <si>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</si>
  <si>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</si>
  <si>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</si>
  <si>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</si>
  <si>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</si>
  <si>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</si>
  <si>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</si>
  <si>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</si>
  <si>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</si>
  <si>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</si>
  <si>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</si>
  <si>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</si>
  <si>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</si>
  <si>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</si>
  <si>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</si>
  <si>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</si>
  <si>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</si>
  <si>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</si>
  <si>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</si>
  <si>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</si>
  <si>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</si>
  <si>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</si>
  <si>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</si>
  <si>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</si>
  <si>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</si>
  <si>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</si>
  <si>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</si>
  <si>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</si>
  <si>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</si>
  <si>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</si>
  <si>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</si>
  <si>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</si>
  <si>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</si>
  <si>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</si>
  <si>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</si>
  <si>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</si>
  <si>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</si>
  <si>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</si>
  <si>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</si>
  <si>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</si>
  <si>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</si>
  <si>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</si>
  <si>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</si>
  <si>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</si>
  <si>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</si>
  <si>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</si>
  <si>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</si>
  <si>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</si>
  <si>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</si>
  <si>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</si>
  <si>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</si>
  <si>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</si>
  <si>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</si>
  <si>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</si>
  <si>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</si>
  <si>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</si>
  <si>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</si>
  <si>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</si>
  <si>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</si>
  <si>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</si>
  <si>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</si>
  <si>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</si>
  <si>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</si>
  <si>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</si>
  <si>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</si>
  <si>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</si>
  <si>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</si>
  <si>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</si>
  <si>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</si>
  <si>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</si>
  <si>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</si>
  <si>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</si>
  <si>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</si>
  <si>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</si>
  <si>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</si>
  <si>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</si>
  <si>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</si>
  <si>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</si>
  <si>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</si>
  <si>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</si>
  <si>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</si>
  <si>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</si>
  <si>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</si>
  <si>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</si>
  <si>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</si>
  <si>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</si>
  <si>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</si>
  <si>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</si>
  <si>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</si>
  <si>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</si>
  <si>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</si>
  <si>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</si>
  <si>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</si>
  <si>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</si>
  <si>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</si>
  <si>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</si>
  <si>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</si>
  <si>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</si>
  <si>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</si>
  <si>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</si>
  <si>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</si>
  <si>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</si>
  <si>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</si>
  <si>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</si>
  <si>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</si>
  <si>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</si>
  <si>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</si>
  <si>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</si>
  <si>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</si>
  <si>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</si>
  <si>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</si>
  <si>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</si>
  <si>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</si>
  <si>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</si>
  <si>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</si>
  <si>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</si>
  <si>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</si>
  <si>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</si>
  <si>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</si>
  <si>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</si>
  <si>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</si>
  <si>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</si>
  <si>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</si>
  <si>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</si>
  <si>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</si>
  <si>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</si>
  <si>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</si>
  <si>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</si>
  <si>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</si>
  <si>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</si>
  <si>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</si>
  <si>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</si>
  <si>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</si>
  <si>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</si>
  <si>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</si>
  <si>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</si>
  <si>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</si>
  <si>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</si>
  <si>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</si>
  <si>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</si>
  <si>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</si>
  <si>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</si>
  <si>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</si>
  <si>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</si>
  <si>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</si>
  <si>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</si>
  <si>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</si>
  <si>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</si>
  <si>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</si>
  <si>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</si>
  <si>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</si>
  <si>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</si>
  <si>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</si>
  <si>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</si>
  <si>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</si>
  <si>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</si>
  <si>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</si>
  <si>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</si>
  <si>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</si>
  <si>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</si>
  <si>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</si>
  <si>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</si>
  <si>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</si>
  <si>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</si>
  <si>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</si>
  <si>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</si>
  <si>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</si>
  <si>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</si>
  <si>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</si>
  <si>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</si>
  <si>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</si>
  <si>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</si>
  <si>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</si>
  <si>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</si>
  <si>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</si>
  <si>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</si>
  <si>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</si>
  <si>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</si>
  <si>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</si>
  <si>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</si>
  <si>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</si>
  <si>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</si>
  <si>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</si>
  <si>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</si>
  <si>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</si>
  <si>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</si>
  <si>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</si>
  <si>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</si>
  <si>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</si>
  <si>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</si>
  <si>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</si>
  <si>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</si>
  <si>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</si>
  <si>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</si>
  <si>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</si>
  <si>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</si>
  <si>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</si>
  <si>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</si>
  <si>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</si>
  <si>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</si>
  <si>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</si>
  <si>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</si>
  <si>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</si>
  <si>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</si>
  <si>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</si>
  <si>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</si>
  <si>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</si>
  <si>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</si>
  <si>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</si>
  <si>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</si>
  <si>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</si>
  <si>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</si>
  <si>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</si>
  <si>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</si>
  <si>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</si>
  <si>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</si>
  <si>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</si>
  <si>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</si>
  <si>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</si>
  <si>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</si>
  <si>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</si>
  <si>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</si>
  <si>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</si>
  <si>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</si>
  <si>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</si>
  <si>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</si>
  <si>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</si>
  <si>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</si>
  <si>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</si>
  <si>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</si>
  <si>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</si>
  <si>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</si>
  <si>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</si>
  <si>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</si>
  <si>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</si>
  <si>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</si>
  <si>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</si>
  <si>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</si>
  <si>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</si>
  <si>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</si>
  <si>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</si>
  <si>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</si>
  <si>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</si>
  <si>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</si>
  <si>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</si>
  <si>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</si>
  <si>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</si>
  <si>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</si>
  <si>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</si>
  <si>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</si>
  <si>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</si>
  <si>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</si>
  <si>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</si>
  <si>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</si>
  <si>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</si>
  <si>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</si>
  <si>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</si>
  <si>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</si>
  <si>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</si>
  <si>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</si>
  <si>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</si>
  <si>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</si>
  <si>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</si>
  <si>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</si>
  <si>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</si>
  <si>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</si>
  <si>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</si>
  <si>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</si>
  <si>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</si>
  <si>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</si>
  <si>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</si>
  <si>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</si>
  <si>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</si>
  <si>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</si>
  <si>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</si>
  <si>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</si>
  <si>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</si>
  <si>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</si>
  <si>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</si>
  <si>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</si>
  <si>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</si>
  <si>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</si>
  <si>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</si>
  <si>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</si>
  <si>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</si>
  <si>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</si>
  <si>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</si>
  <si>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</si>
  <si>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</si>
  <si>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</si>
  <si>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</si>
  <si>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</si>
  <si>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</si>
  <si>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</si>
  <si>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</si>
  <si>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</si>
  <si>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</si>
  <si>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</si>
  <si>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</si>
  <si>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</si>
  <si>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</si>
  <si>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</si>
  <si>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</si>
  <si>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</si>
  <si>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</si>
  <si>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</si>
  <si>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</si>
  <si>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</si>
  <si>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</si>
  <si>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</si>
  <si>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</si>
  <si>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</si>
  <si>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</si>
  <si>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</si>
  <si>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</si>
  <si>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</si>
  <si>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</si>
  <si>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</si>
  <si>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</si>
  <si>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</si>
  <si>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</si>
  <si>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</si>
  <si>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</si>
  <si>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Betim/MG</t>
  </si>
  <si>
    <t>Fornecimento de 524 válvulas de 3"150x150 - TESLA</t>
  </si>
  <si>
    <t>P-10138.26</t>
  </si>
  <si>
    <t>Mogi Mirim/SP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</si>
  <si>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</si>
  <si>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</si>
  <si>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</si>
  <si>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</si>
  <si>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</si>
  <si>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</si>
  <si>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</si>
  <si>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</si>
  <si>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</si>
  <si>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Santa Catarina/SC</t>
  </si>
  <si>
    <t>Manutenção Corretiva em um transformador de 13,8/230KV - ENERCAN</t>
  </si>
  <si>
    <t>P-10155.26</t>
  </si>
  <si>
    <t>Campinas/SP</t>
  </si>
  <si>
    <t xml:space="preserve">Montagem Completa de 03 Autotransformadores de 500kv - AXIA </t>
  </si>
  <si>
    <t>P-10156.26</t>
  </si>
  <si>
    <t>Campina Verde/MG</t>
  </si>
  <si>
    <t>P-10158.26</t>
  </si>
  <si>
    <t>São Jorge de Oeste/PR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</si>
  <si>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</si>
  <si>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</si>
  <si>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</si>
  <si>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</si>
  <si>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</si>
  <si>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</si>
  <si>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</si>
  <si>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</si>
  <si>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</si>
  <si>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São José do Rio Pardo/SP</t>
  </si>
  <si>
    <t>Manutenção Corretiva de 01 Transformador de AT - ENSA TRANSFORMADORES</t>
  </si>
  <si>
    <t>P-10166.26</t>
  </si>
  <si>
    <t>Service Tech</t>
  </si>
  <si>
    <t>Indaiatuba/SP</t>
  </si>
  <si>
    <t>Manutenção Corretiva em um transformador de BT - SERVICE TECH</t>
  </si>
  <si>
    <t>P-10175.26</t>
  </si>
  <si>
    <t>MetroRio</t>
  </si>
  <si>
    <t>Botafogo/RJ</t>
  </si>
  <si>
    <t>Manutenção Corretiva em 04 transformadores de 138KV - METRORIO</t>
  </si>
  <si>
    <t>P-10180.26</t>
  </si>
  <si>
    <t>Campo Comprido/PR</t>
  </si>
  <si>
    <t>P-10181.26</t>
  </si>
  <si>
    <t>P-10182.26</t>
  </si>
  <si>
    <t>Ferros/MG</t>
  </si>
  <si>
    <t>Montagem Completa de 01 transformador de 138KV - AMC CEMIG</t>
  </si>
  <si>
    <t>P-10183.26</t>
  </si>
  <si>
    <t>Caparaó/MG</t>
  </si>
  <si>
    <t>P-10184.26</t>
  </si>
  <si>
    <t>Contagem/MG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</si>
  <si>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</si>
  <si>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</si>
  <si>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</si>
  <si>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</si>
  <si>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</si>
  <si>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</si>
  <si>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</si>
  <si>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Camaçari/BA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</si>
  <si>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</si>
  <si>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</si>
  <si>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</si>
  <si>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</si>
  <si>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</si>
  <si>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</si>
  <si>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</si>
  <si>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</si>
  <si>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</si>
  <si>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</si>
  <si>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</si>
  <si>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</si>
  <si>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</si>
  <si>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</si>
  <si>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</si>
  <si>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Presidente Dutra/MA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</si>
  <si>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</si>
  <si>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</si>
  <si>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</si>
  <si>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</si>
  <si>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</si>
  <si>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</si>
  <si>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</si>
  <si>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</si>
  <si>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</si>
  <si>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</si>
  <si>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</si>
  <si>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</si>
  <si>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Coelba/BA</t>
  </si>
  <si>
    <t>Manutenção Corretiva em um transformador de 138KV - NEO ENERGIA</t>
  </si>
  <si>
    <t>P-10229.26</t>
  </si>
  <si>
    <t>Mogi Guaçu/SP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</si>
  <si>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</si>
  <si>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</si>
  <si>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</si>
  <si>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</si>
  <si>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</si>
  <si>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</si>
  <si>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Manutenção Corretiva em um transformador de 230KV</t>
  </si>
  <si>
    <t>P-10238.26</t>
  </si>
  <si>
    <t>GRU AIPORT</t>
  </si>
  <si>
    <t>Manuntenção Corretiva em 02 transformadores de 1.000KVA - GRU AIRPORT</t>
  </si>
  <si>
    <t>P-10243.26</t>
  </si>
  <si>
    <t>P-10244.26</t>
  </si>
  <si>
    <t xml:space="preserve">CPFL RENOVAVEIS </t>
  </si>
  <si>
    <t>Xavantina/SC</t>
  </si>
  <si>
    <t>Manutenção Corretiva em 01 transformador Trifasico de 69KV - PCH PLANO ALTO</t>
  </si>
  <si>
    <t>P-10258.26</t>
  </si>
  <si>
    <t>Aracruz/ES</t>
  </si>
  <si>
    <t xml:space="preserve">Montagem Completa de 01 transformador de 138KV - SUZANO </t>
  </si>
  <si>
    <t>P-10259.26</t>
  </si>
  <si>
    <t>Manutenção Corretiva em 01 transformador de 230KV - TAESA</t>
  </si>
  <si>
    <t>P-10261.26</t>
  </si>
  <si>
    <t>ADITIVO - Manutençã Corretiva em transformadores - SABESP</t>
  </si>
  <si>
    <t>Tesla Manutenção</t>
  </si>
  <si>
    <t>CANCELADO</t>
  </si>
  <si>
    <t>P-10264.26</t>
  </si>
  <si>
    <t>ADITIVO - Mobilização e Desmobilização da equipe e equipamento - CPFL</t>
  </si>
  <si>
    <t>P-10268.26</t>
  </si>
  <si>
    <t>M2X</t>
  </si>
  <si>
    <t>Manutenção Corretiva em 01 Transformador de 88KV - M2X</t>
  </si>
  <si>
    <t>P-10269.26</t>
  </si>
  <si>
    <t>Cascavel/PR</t>
  </si>
  <si>
    <t>Montagem Completa de 02 transformadores de 230 KV - COPEL</t>
  </si>
  <si>
    <t>P-10272.26</t>
  </si>
  <si>
    <t>Reimpregnação da Parte Atia em 03 transformadores de 525KV - AXIA</t>
  </si>
  <si>
    <t>P-10273.26</t>
  </si>
  <si>
    <t>Congonhas/SP</t>
  </si>
  <si>
    <t>Montagem Completa de 02 Transformadores de 88KV - HITACHI</t>
  </si>
  <si>
    <t>Cordeirópolis/SP</t>
  </si>
  <si>
    <t>Montagem Completa de 02 transformadores de 138KV - KARINA E VIVA PISOS</t>
  </si>
  <si>
    <t>P-10274.26</t>
  </si>
  <si>
    <t>P-10287.26</t>
  </si>
  <si>
    <t>Estrela do Sul/MG</t>
  </si>
  <si>
    <t xml:space="preserve">Montagem Completa de 01 transformador de 138KV - CEMIG SKID </t>
  </si>
  <si>
    <t>P-10296.26</t>
  </si>
  <si>
    <t>São Jose dos PinhaIs/PR</t>
  </si>
  <si>
    <t>Montagem Completa de 04 Reatores de 525KV - COPEL</t>
  </si>
  <si>
    <t>P-10297.26</t>
  </si>
  <si>
    <t>Governador Valadares/MG</t>
  </si>
  <si>
    <t>Montagem Completa de 03 autotransformadores de 230KV - CEMIG</t>
  </si>
  <si>
    <t>P-10298.26</t>
  </si>
  <si>
    <t>Maraba/PA</t>
  </si>
  <si>
    <t xml:space="preserve">Reimpregnação da Parte Ativa de 02 Autotransformadores de 550KV - AXIA </t>
  </si>
  <si>
    <t>P-10302.26</t>
  </si>
  <si>
    <t>SUNGROW</t>
  </si>
  <si>
    <t>Fornecimento de 1.000 L de óleo Isolante - ATLAS</t>
  </si>
  <si>
    <t>P-10303.26</t>
  </si>
  <si>
    <t>ADITIVO - Locação de Bomba de Vácuo adicional - CTEEP</t>
  </si>
  <si>
    <t>P-10305.26</t>
  </si>
  <si>
    <t>Fornecimento e Substituição de Bucha de AT em um transformador - SABESP</t>
  </si>
  <si>
    <t>P-10306.26</t>
  </si>
  <si>
    <t xml:space="preserve">Fornecimento de Uma Bucha de AT - SINOP ENERGIA </t>
  </si>
  <si>
    <t>P-10307.26</t>
  </si>
  <si>
    <t>Limeira/SP</t>
  </si>
  <si>
    <t>P-10314.26</t>
  </si>
  <si>
    <t>Vitoria/ES</t>
  </si>
  <si>
    <t>Tratamento Termovácuo em 03 transformadores de AT - VALE TUBARÃO</t>
  </si>
  <si>
    <t>P-10317.26</t>
  </si>
  <si>
    <t>Montagem de Acessórios de TR 01 - CPFL</t>
  </si>
  <si>
    <t>P-10329.26</t>
  </si>
  <si>
    <t>Montagem Completa de 03 Reatores de 362KV - AXIA</t>
  </si>
  <si>
    <t>P-10330.26</t>
  </si>
  <si>
    <t>Montagem Completa de 01 Autotransformador de 230kv - AXIA</t>
  </si>
  <si>
    <t>P-10337.26</t>
  </si>
  <si>
    <t>Manutenção Corretiva em um transformador de 138KV - CPFL</t>
  </si>
  <si>
    <t>P-10341.26</t>
  </si>
  <si>
    <t>Montagem Completa de 12 transformadores trifásicos entre 440kv a 525kv - CASA DOS VENTOS</t>
  </si>
  <si>
    <t>P-10345.26</t>
  </si>
  <si>
    <t>Inspeção e Substituição do sensor da Membrana em um transformador - PORTOCEM</t>
  </si>
  <si>
    <t>P-10346.26</t>
  </si>
  <si>
    <t>ADITIVO - Fornecimento de Tanque Auxiliar - NOVO NORDISK</t>
  </si>
  <si>
    <t>P-10347.26</t>
  </si>
  <si>
    <t>São Jose do Piaui/PI</t>
  </si>
  <si>
    <t>P-10361.26</t>
  </si>
  <si>
    <t>MingYang</t>
  </si>
  <si>
    <t>Manutenção Corretiva em um transformador de 34,5KV - ATLAS</t>
  </si>
  <si>
    <t>P-10362.26</t>
  </si>
  <si>
    <t>Macaé/RJ</t>
  </si>
  <si>
    <t>Ensaios Eletricos em um transformador de 500KV - UTE MARLIM AZUL</t>
  </si>
  <si>
    <t>P-10373.26</t>
  </si>
  <si>
    <t>Manutenção Corretiva em 01 transformador de 550KV - CONSAG</t>
  </si>
  <si>
    <t>18/0/8/2026</t>
  </si>
  <si>
    <t>P-10378.26</t>
  </si>
  <si>
    <t>AMBEV</t>
  </si>
  <si>
    <t>Sapucaia do Sul/RS</t>
  </si>
  <si>
    <t>Manutenção Corretiva em 01 transformador de AT - AMBEV</t>
  </si>
  <si>
    <t>P-10384.26</t>
  </si>
  <si>
    <t>Ribeirão Preto/SP</t>
  </si>
  <si>
    <t>Tratamento, Enchimento e comissionamento de 03 reatores de 500KV - STATE GRID</t>
  </si>
  <si>
    <t>P-10385.26</t>
  </si>
  <si>
    <t>Fornecimento de Novo Transformador - VOLKSWAGEN</t>
  </si>
  <si>
    <t>P-10386.26</t>
  </si>
  <si>
    <t>Compra de Transformadores para Descarte - VOLKSWAGEN</t>
  </si>
  <si>
    <t>P-10387.26</t>
  </si>
  <si>
    <t>P-10388.26</t>
  </si>
  <si>
    <t>Manutenção Corretiva em Transformadores - PETROBRAS</t>
  </si>
  <si>
    <t>P-10389.26</t>
  </si>
  <si>
    <t>Ensaios de Reposta Frequencia em Transformador - PETROBRAS</t>
  </si>
  <si>
    <t>P-10390.26</t>
  </si>
  <si>
    <t>Manutenção Corretiva em Transformadores de AT - PETROBRAS</t>
  </si>
  <si>
    <t>receBIDO</t>
  </si>
  <si>
    <t>RESUMO DE PROPOSTAS EM ABERTO E EM NEGOCIAÇÃO — 2026</t>
  </si>
  <si>
    <t>Base: aba CONTROLE DE PROPOSTAS_2026 (Tabela225) — atualiza automaticamente</t>
  </si>
  <si>
    <t>Data de referência</t>
  </si>
  <si>
    <t>RÉGUA DE TEMPO (dias desde a abertura)</t>
  </si>
  <si>
    <t>DIAS</t>
  </si>
  <si>
    <t>🔴 PARADO - CRÍTICO (a partir de)</t>
  </si>
  <si>
    <t>🟠 ATENÇÃO (a partir de)</t>
  </si>
  <si>
    <t>🟡 MORNO (a partir de)</t>
  </si>
  <si>
    <t>🟢 RECENTE / QUENTE (abaixo de 15 dias)</t>
  </si>
  <si>
    <t>FAIXA DE TEMPO</t>
  </si>
  <si>
    <t>DE (dias)</t>
  </si>
  <si>
    <t>ATÉ (dias)</t>
  </si>
  <si>
    <t>QTD</t>
  </si>
  <si>
    <t>VALOR (R$)</t>
  </si>
  <si>
    <t>% DO VALOR</t>
  </si>
  <si>
    <t>🔴 PARADO - CRÍTICO</t>
  </si>
  <si>
    <t>🟠 ATENÇÃO</t>
  </si>
  <si>
    <t>🟡 MORNO</t>
  </si>
  <si>
    <t>🟢 RECENTE / QUENTE</t>
  </si>
  <si>
    <t>TICKET MÉDIO (R$)</t>
  </si>
  <si>
    <t>DIAS MÉDIOS PARADO</t>
  </si>
  <si>
    <t>DETALHAMENTO — PROPOSTAS ABERTAS / EM NEGOCIAÇÃO (mais antigas primeiro)</t>
  </si>
  <si>
    <t>DIAS PARADO</t>
  </si>
  <si>
    <t>ALERTA</t>
  </si>
  <si>
    <t>Obs.: 1 proposta (P-10385.26 — Volkswagen) está fora das faixas por erro na DT. ABERTURA na base (ano 2226). Corrigir na aba de controle, linha 446.</t>
  </si>
  <si>
    <t>TOTAL DE VENDA 2026 — PROPOSTAS APROVADAS</t>
  </si>
  <si>
    <t>TOTAL DO ANO</t>
  </si>
  <si>
    <t>Mês de corte (apuração)</t>
  </si>
  <si>
    <t>24/08/0026</t>
  </si>
  <si>
    <t>P-10399.26</t>
  </si>
  <si>
    <t>Inspeção e Ensaios Elétricos em transformadores de AT</t>
  </si>
  <si>
    <t>P-10403.26</t>
  </si>
  <si>
    <t>Montagem Completa de 01 transformador trifásico de 230KV - CPFL</t>
  </si>
  <si>
    <t>P-10405.26</t>
  </si>
  <si>
    <t>P-10423.26</t>
  </si>
  <si>
    <t>Montagem Completa em 01 transformador de 138KV - CEMIG</t>
  </si>
  <si>
    <t>P-10443.26</t>
  </si>
  <si>
    <t>CPFL Transmissões</t>
  </si>
  <si>
    <t>Mogi das Cruzes/SP</t>
  </si>
  <si>
    <t>Recebimento, Transposte, Montagem e comissionamento de 10 transformadores - CPFL</t>
  </si>
  <si>
    <t>P-10445.26</t>
  </si>
  <si>
    <t>Santa Terezinha de Itapu/PR</t>
  </si>
  <si>
    <t>P-10450.26</t>
  </si>
  <si>
    <t>Chint</t>
  </si>
  <si>
    <t>Pirapora/MG</t>
  </si>
  <si>
    <t>Montagem Completa de 02 transformadores Trifásco de 138KV - EDP</t>
  </si>
  <si>
    <t>Montagem Completa de 10 transformadores monofásico de 500KV - CPFL</t>
  </si>
  <si>
    <t>Cassilandia/MS</t>
  </si>
  <si>
    <t>Montagem Completa de 04 Autotransformadores Mnofásico 500KV - ANEEL</t>
  </si>
  <si>
    <t>P-10451.26</t>
  </si>
  <si>
    <t>P-10452.26</t>
  </si>
  <si>
    <t>P-10453.26</t>
  </si>
  <si>
    <t>Vila Velha/ES</t>
  </si>
  <si>
    <t>Montagem Completa de 01 transformadores Mnofásico 138KV - EDP</t>
  </si>
  <si>
    <t>P-10454.26</t>
  </si>
  <si>
    <t>Montagem Completa de 01 transformadores Mnofásico 138KV - EQUATORIAL</t>
  </si>
  <si>
    <t>P-10455.26</t>
  </si>
  <si>
    <t xml:space="preserve">Lerose </t>
  </si>
  <si>
    <t>Suzano/SP</t>
  </si>
  <si>
    <t>Manutenção Corretiva em Transformadores de 88KV - KOMATSU</t>
  </si>
  <si>
    <t>P-10460.26</t>
  </si>
  <si>
    <t>Reparo em transformadores de Fabrica - Volkswagem</t>
  </si>
  <si>
    <t>P-10468.26</t>
  </si>
  <si>
    <t>Data engenharia</t>
  </si>
  <si>
    <t>Votorantim/SP</t>
  </si>
  <si>
    <t>Locação de tanque auxiliar - CPFL</t>
  </si>
  <si>
    <t>P-10477.26</t>
  </si>
  <si>
    <t>Montagem Completa de 04 autotransformadores de 525KV - AXIA</t>
  </si>
  <si>
    <t>P-10478.26</t>
  </si>
  <si>
    <t>Canoas/RS</t>
  </si>
  <si>
    <t>P-10486.26</t>
  </si>
  <si>
    <t>Estel</t>
  </si>
  <si>
    <t>Remoção de Gás e tratamento de óleo em transformadores de AT - VALE</t>
  </si>
  <si>
    <t>Manutenção Corretiva de Transformadores  - VOLKSWAGEN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</si>
</sst>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  <numFmt numFmtId="168" formatCode="_(&quot;R$&quot;* #,##0_);_(&quot;R$&quot;* \(#,##0\);_(&quot;R$&quot;* &quot;-&quot;??_);_(@_)"/>
  </numFmts>
  <fonts count="4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"/>
      <color theme="1"/>
      <name val="Avenir Book"/>
    </font>
    <font>
      <b/>
      <sz val="10"/>
      <color theme="1"/>
      <name val="Avenir Book"/>
    </font>
    <font>
      <sz val="10"/>
      <color theme="1"/>
      <name val="Avenir Book"/>
    </font>
    <font>
      <b/>
      <sz val="16"/>
      <color rgb="FF1F3864"/>
      <name val="Avenir Book"/>
    </font>
    <font>
      <i/>
      <sz val="10"/>
      <color rgb="FF808080"/>
      <name val="Avenir Book"/>
    </font>
    <font>
      <sz val="11"/>
      <color rgb="FF0000FF"/>
      <name val="Avenir Book"/>
    </font>
    <font>
      <i/>
      <sz val="9"/>
      <color rgb="FFC00000"/>
      <name val="Avenir Book"/>
    </font>
    <font>
      <b/>
      <sz val="12"/>
      <color rgb="FF1F3864"/>
      <name val="Avenir Book"/>
    </font>
    <font>
      <i/>
      <sz val="11"/>
      <color theme="1"/>
      <name val="Avenir Book"/>
    </font>
    <font>
      <b/>
      <i/>
      <sz val="10"/>
      <color theme="1"/>
      <name val="Avenir Book"/>
    </font>
    <font>
      <b/>
      <sz val="14"/>
      <color rgb="FFFFFFFF"/>
      <name val="Avenir Book"/>
    </font>
    <font>
      <sz val="11"/>
      <color rgb="FF000000"/>
      <name val="Avenir Book"/>
    </font>
    <font>
      <b/>
      <sz val="11"/>
      <color rgb="FF000000"/>
      <name val="Avenir Book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i/>
      <sz val="10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medium">
        <color rgb="FF7F7F7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7F7F7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7F7F7F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6" fillId="0" borderId="0"/>
  </cellStyleXfs>
  <cellXfs count="332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44" fontId="28" fillId="0" borderId="31" xfId="4" applyFont="1" applyBorder="1" applyAlignment="1">
      <alignment horizontal="center"/>
    </xf>
    <xf numFmtId="44" fontId="27" fillId="0" borderId="14" xfId="4" applyFont="1" applyBorder="1" applyAlignment="1">
      <alignment horizontal="center"/>
    </xf>
    <xf numFmtId="44" fontId="27" fillId="0" borderId="22" xfId="4" applyFont="1" applyBorder="1" applyAlignment="1">
      <alignment horizontal="center"/>
    </xf>
    <xf numFmtId="44" fontId="27" fillId="7" borderId="15" xfId="4" applyFont="1" applyFill="1" applyBorder="1" applyAlignment="1">
      <alignment horizontal="center"/>
    </xf>
    <xf numFmtId="44" fontId="28" fillId="0" borderId="0" xfId="4" applyFont="1" applyAlignment="1">
      <alignment horizontal="center"/>
    </xf>
    <xf numFmtId="0" fontId="28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29" fillId="0" borderId="0" xfId="4" applyFont="1" applyFill="1" applyBorder="1" applyAlignment="1">
      <alignment horizontal="center" vertical="center"/>
    </xf>
    <xf numFmtId="9" fontId="29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0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0" fontId="25" fillId="8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14" fontId="35" fillId="0" borderId="0" xfId="0" applyNumberFormat="1" applyFont="1" applyAlignment="1">
      <alignment horizontal="center"/>
    </xf>
    <xf numFmtId="1" fontId="35" fillId="0" borderId="0" xfId="0" applyNumberFormat="1" applyFont="1" applyAlignment="1">
      <alignment horizontal="center"/>
    </xf>
    <xf numFmtId="0" fontId="35" fillId="0" borderId="0" xfId="0" applyFont="1" applyAlignment="1">
      <alignment horizontal="center"/>
    </xf>
    <xf numFmtId="165" fontId="35" fillId="0" borderId="0" xfId="0" applyNumberFormat="1" applyFont="1" applyAlignment="1">
      <alignment horizontal="center"/>
    </xf>
    <xf numFmtId="0" fontId="35" fillId="0" borderId="0" xfId="0" applyFont="1" applyAlignment="1">
      <alignment horizontal="left"/>
    </xf>
    <xf numFmtId="0" fontId="34" fillId="9" borderId="7" xfId="0" applyFont="1" applyFill="1" applyBorder="1" applyAlignment="1">
      <alignment horizontal="center"/>
    </xf>
    <xf numFmtId="0" fontId="36" fillId="0" borderId="0" xfId="0" applyFont="1"/>
    <xf numFmtId="0" fontId="29" fillId="0" borderId="0" xfId="0" applyFont="1"/>
    <xf numFmtId="0" fontId="37" fillId="0" borderId="0" xfId="0" applyFont="1"/>
    <xf numFmtId="0" fontId="33" fillId="0" borderId="0" xfId="0" applyFont="1"/>
    <xf numFmtId="14" fontId="38" fillId="0" borderId="0" xfId="0" applyNumberFormat="1" applyFont="1" applyAlignment="1">
      <alignment horizontal="center"/>
    </xf>
    <xf numFmtId="0" fontId="33" fillId="9" borderId="31" xfId="0" applyFont="1" applyFill="1" applyBorder="1" applyAlignment="1">
      <alignment horizontal="center"/>
    </xf>
    <xf numFmtId="0" fontId="29" fillId="10" borderId="31" xfId="0" applyFont="1" applyFill="1" applyBorder="1"/>
    <xf numFmtId="1" fontId="29" fillId="10" borderId="31" xfId="0" applyNumberFormat="1" applyFont="1" applyFill="1" applyBorder="1"/>
    <xf numFmtId="165" fontId="29" fillId="10" borderId="31" xfId="0" applyNumberFormat="1" applyFont="1" applyFill="1" applyBorder="1"/>
    <xf numFmtId="0" fontId="29" fillId="0" borderId="31" xfId="0" applyFont="1" applyBorder="1"/>
    <xf numFmtId="1" fontId="29" fillId="0" borderId="31" xfId="0" applyNumberFormat="1" applyFont="1" applyBorder="1"/>
    <xf numFmtId="0" fontId="29" fillId="11" borderId="31" xfId="0" applyFont="1" applyFill="1" applyBorder="1"/>
    <xf numFmtId="1" fontId="29" fillId="11" borderId="31" xfId="0" applyNumberFormat="1" applyFont="1" applyFill="1" applyBorder="1"/>
    <xf numFmtId="165" fontId="29" fillId="11" borderId="31" xfId="0" applyNumberFormat="1" applyFont="1" applyFill="1" applyBorder="1"/>
    <xf numFmtId="0" fontId="29" fillId="12" borderId="31" xfId="0" applyFont="1" applyFill="1" applyBorder="1"/>
    <xf numFmtId="1" fontId="29" fillId="12" borderId="31" xfId="0" applyNumberFormat="1" applyFont="1" applyFill="1" applyBorder="1"/>
    <xf numFmtId="165" fontId="29" fillId="12" borderId="31" xfId="0" applyNumberFormat="1" applyFont="1" applyFill="1" applyBorder="1"/>
    <xf numFmtId="0" fontId="33" fillId="14" borderId="31" xfId="0" applyFont="1" applyFill="1" applyBorder="1"/>
    <xf numFmtId="1" fontId="33" fillId="14" borderId="31" xfId="0" applyNumberFormat="1" applyFont="1" applyFill="1" applyBorder="1"/>
    <xf numFmtId="0" fontId="29" fillId="13" borderId="31" xfId="0" applyFont="1" applyFill="1" applyBorder="1"/>
    <xf numFmtId="1" fontId="29" fillId="13" borderId="31" xfId="0" applyNumberFormat="1" applyFont="1" applyFill="1" applyBorder="1"/>
    <xf numFmtId="165" fontId="29" fillId="13" borderId="31" xfId="0" applyNumberFormat="1" applyFont="1" applyFill="1" applyBorder="1"/>
    <xf numFmtId="1" fontId="29" fillId="14" borderId="31" xfId="0" applyNumberFormat="1" applyFont="1" applyFill="1" applyBorder="1"/>
    <xf numFmtId="165" fontId="33" fillId="14" borderId="31" xfId="0" applyNumberFormat="1" applyFont="1" applyFill="1" applyBorder="1"/>
    <xf numFmtId="0" fontId="39" fillId="0" borderId="0" xfId="0" applyFont="1"/>
    <xf numFmtId="0" fontId="40" fillId="0" borderId="0" xfId="0" applyFont="1"/>
    <xf numFmtId="0" fontId="33" fillId="9" borderId="31" xfId="0" applyFont="1" applyFill="1" applyBorder="1"/>
    <xf numFmtId="1" fontId="38" fillId="0" borderId="31" xfId="0" applyNumberFormat="1" applyFont="1" applyBorder="1" applyAlignment="1">
      <alignment horizontal="center"/>
    </xf>
    <xf numFmtId="1" fontId="29" fillId="0" borderId="31" xfId="0" applyNumberFormat="1" applyFont="1" applyBorder="1" applyAlignment="1">
      <alignment horizontal="center"/>
    </xf>
    <xf numFmtId="3" fontId="29" fillId="10" borderId="31" xfId="0" applyNumberFormat="1" applyFont="1" applyFill="1" applyBorder="1"/>
    <xf numFmtId="3" fontId="29" fillId="11" borderId="31" xfId="0" applyNumberFormat="1" applyFont="1" applyFill="1" applyBorder="1"/>
    <xf numFmtId="3" fontId="29" fillId="12" borderId="31" xfId="0" applyNumberFormat="1" applyFont="1" applyFill="1" applyBorder="1"/>
    <xf numFmtId="3" fontId="29" fillId="13" borderId="31" xfId="0" applyNumberFormat="1" applyFont="1" applyFill="1" applyBorder="1"/>
    <xf numFmtId="3" fontId="33" fillId="14" borderId="31" xfId="0" applyNumberFormat="1" applyFont="1" applyFill="1" applyBorder="1"/>
    <xf numFmtId="3" fontId="29" fillId="0" borderId="31" xfId="0" applyNumberFormat="1" applyFont="1" applyBorder="1"/>
    <xf numFmtId="3" fontId="35" fillId="0" borderId="0" xfId="0" applyNumberFormat="1" applyFont="1" applyAlignment="1">
      <alignment horizontal="center"/>
    </xf>
    <xf numFmtId="0" fontId="41" fillId="2" borderId="0" xfId="0" applyFont="1" applyFill="1" applyAlignment="1">
      <alignment horizontal="right"/>
    </xf>
    <xf numFmtId="44" fontId="29" fillId="2" borderId="0" xfId="0" applyNumberFormat="1" applyFont="1" applyFill="1"/>
    <xf numFmtId="168" fontId="42" fillId="2" borderId="0" xfId="4" applyNumberFormat="1" applyFont="1" applyFill="1" applyBorder="1" applyAlignment="1">
      <alignment horizontal="center" vertical="center"/>
    </xf>
    <xf numFmtId="49" fontId="22" fillId="9" borderId="34" xfId="6" applyNumberFormat="1" applyFont="1" applyFill="1" applyBorder="1" applyAlignment="1">
      <alignment horizontal="center" vertical="center"/>
    </xf>
    <xf numFmtId="44" fontId="22" fillId="9" borderId="35" xfId="4" applyFont="1" applyFill="1" applyBorder="1" applyAlignment="1">
      <alignment horizontal="center" vertical="center"/>
    </xf>
    <xf numFmtId="44" fontId="22" fillId="9" borderId="36" xfId="4" applyFont="1" applyFill="1" applyBorder="1" applyAlignment="1">
      <alignment horizontal="center" vertical="center"/>
    </xf>
    <xf numFmtId="49" fontId="45" fillId="17" borderId="37" xfId="6" applyNumberFormat="1" applyFont="1" applyFill="1" applyBorder="1" applyAlignment="1">
      <alignment horizontal="center" vertical="center"/>
    </xf>
    <xf numFmtId="168" fontId="44" fillId="17" borderId="38" xfId="4" applyNumberFormat="1" applyFont="1" applyFill="1" applyBorder="1" applyAlignment="1">
      <alignment horizontal="center" vertical="center"/>
    </xf>
    <xf numFmtId="168" fontId="44" fillId="17" borderId="39" xfId="4" applyNumberFormat="1" applyFont="1" applyFill="1" applyBorder="1" applyAlignment="1">
      <alignment horizontal="center" vertical="center"/>
    </xf>
    <xf numFmtId="49" fontId="45" fillId="16" borderId="37" xfId="6" applyNumberFormat="1" applyFont="1" applyFill="1" applyBorder="1" applyAlignment="1">
      <alignment horizontal="center" vertical="center"/>
    </xf>
    <xf numFmtId="168" fontId="44" fillId="16" borderId="38" xfId="4" applyNumberFormat="1" applyFont="1" applyFill="1" applyBorder="1" applyAlignment="1">
      <alignment horizontal="center" vertical="center"/>
    </xf>
    <xf numFmtId="168" fontId="44" fillId="16" borderId="39" xfId="4" applyNumberFormat="1" applyFont="1" applyFill="1" applyBorder="1" applyAlignment="1">
      <alignment horizontal="center" vertical="center"/>
    </xf>
    <xf numFmtId="0" fontId="33" fillId="14" borderId="40" xfId="0" applyFont="1" applyFill="1" applyBorder="1" applyAlignment="1">
      <alignment horizontal="left" vertical="center"/>
    </xf>
    <xf numFmtId="168" fontId="33" fillId="14" borderId="41" xfId="4" applyNumberFormat="1" applyFont="1" applyFill="1" applyBorder="1" applyAlignment="1">
      <alignment horizontal="center" vertical="center"/>
    </xf>
    <xf numFmtId="168" fontId="33" fillId="14" borderId="42" xfId="0" applyNumberFormat="1" applyFont="1" applyFill="1" applyBorder="1" applyAlignment="1">
      <alignment horizontal="center" vertical="center"/>
    </xf>
    <xf numFmtId="0" fontId="48" fillId="2" borderId="0" xfId="0" applyFont="1" applyFill="1" applyAlignment="1">
      <alignment horizontal="right"/>
    </xf>
    <xf numFmtId="1" fontId="48" fillId="2" borderId="0" xfId="5" applyNumberFormat="1" applyFont="1" applyFill="1" applyAlignment="1">
      <alignment horizont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43" fillId="15" borderId="0" xfId="0" applyFont="1" applyFill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5"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404040"/>
      </font>
      <fill>
        <patternFill patternType="solid">
          <fgColor indexed="64"/>
          <bgColor rgb="FFD9D9D9"/>
        </patternFill>
      </fill>
    </dxf>
    <dxf>
      <font>
        <color rgb="FF375623"/>
      </font>
      <fill>
        <patternFill patternType="solid">
          <fgColor indexed="64"/>
          <bgColor rgb="FFE2EFDA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833C00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cap="all" spc="0" baseline="0">
                <a:solidFill>
                  <a:srgbClr val="1F3864"/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TOTAL ACUMULADO 2026 (até o mês vigente)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cap="all" spc="0" baseline="0">
              <a:solidFill>
                <a:srgbClr val="1F3864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 DE VENDA_2026'!$D$2</c:f>
              <c:strCache>
                <c:ptCount val="1"/>
                <c:pt idx="0">
                  <c:v> TOTAL ACUMULADO </c:v>
                </c:pt>
              </c:strCache>
            </c:strRef>
          </c:tx>
          <c:spPr>
            <a:ln w="19050" cap="rnd" cmpd="sng" algn="ctr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dLbl>
              <c:idx val="7"/>
              <c:layout>
                <c:manualLayout>
                  <c:x val="-5.1091831110345397E-2"/>
                  <c:y val="-4.36882978869788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9A6-433B-8B66-1FB1B26443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#,##0_);_("R$"* \(#,##0\);_("R$"*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14066427.399999999</c:v>
                </c:pt>
                <c:pt idx="6">
                  <c:v>16201899.929999998</c:v>
                </c:pt>
                <c:pt idx="7">
                  <c:v>17384218.789999999</c:v>
                </c:pt>
                <c:pt idx="8">
                  <c:v>18705195.59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#,##0_);_("R$"* \(#,##0\);_("R$"*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#,##0_);_("R$"* \(#,##0\);_("R$"*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#,##0_);_("R$"* \(#,##0\);_("R$"*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#,##0_);_("R$"* \(#,##0\);_("R$"*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#,##0_);_("R$"* \(#,##0\);_("R$"*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#,##0_);_("R$"* \(#,##0\);_("R$"* "-"??_);_(@_)</c:formatCode>
                <c:ptCount val="1"/>
                <c:pt idx="0">
                  <c:v>3116254.62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#,##0_);_("R$"* \(#,##0\);_("R$"* "-"??_);_(@_)</c:formatCode>
                <c:ptCount val="1"/>
                <c:pt idx="0">
                  <c:v>2135472.5299999998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#,##0_);_("R$"* \(#,##0\);_("R$"* "-"??_);_(@_)</c:formatCode>
                <c:ptCount val="1"/>
                <c:pt idx="0">
                  <c:v>1182318.8599999999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#,##0_);_("R$"* \(#,##0\);_("R$"* "-"??_);_(@_)</c:formatCode>
                <c:ptCount val="1"/>
                <c:pt idx="0">
                  <c:v>1320976.8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0</xdr:row>
      <xdr:rowOff>127000</xdr:rowOff>
    </xdr:from>
    <xdr:to>
      <xdr:col>17</xdr:col>
      <xdr:colOff>517525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279400</xdr:colOff>
      <xdr:row>15</xdr:row>
      <xdr:rowOff>222249</xdr:rowOff>
    </xdr:from>
    <xdr:to>
      <xdr:col>17</xdr:col>
      <xdr:colOff>517525</xdr:colOff>
      <xdr:row>35</xdr:row>
      <xdr:rowOff>165099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8" totalsRowShown="0" headerRowDxfId="74" dataDxfId="73" tableBorderDxfId="72" headerRowCellStyle="Normal" dataCellStyle="Normal">
  <autoFilter ref="A1:T498" xr:uid="{D39B971D-BAB4-4D6B-9B39-3EBCE0A9E872}"/>
  <tableColumns count="20">
    <tableColumn id="1" xr3:uid="{8CA23C91-32F2-4F3C-A21F-B3ACA562190B}" name="QNTD." dataDxfId="71" dataCellStyle="Normal"/>
    <tableColumn id="3" xr3:uid="{66597034-29F9-44AF-AD00-0A8EDDD54DDF}" name="DT. ABERTURA" dataDxfId="70"/>
    <tableColumn id="10" xr3:uid="{2A3F685C-6568-4556-A94B-7A394C87BBF6}" name="Nº PROPOSTA" dataDxfId="69"/>
    <tableColumn id="6" xr3:uid="{BF1D8DC6-41FB-4150-916E-667D74A0BE84}" name="CLIENTE" dataDxfId="68" dataCellStyle="Normal"/>
    <tableColumn id="11" xr3:uid="{4E425331-DDB7-42BF-9613-D64F80042D70}" name="TIPO" dataDxfId="67"/>
    <tableColumn id="7" xr3:uid="{2559AC33-A0B9-4907-A753-22CE0F0B4C2E}" name="LOCAL EXECUÇÃO" dataDxfId="66" dataCellStyle="Normal"/>
    <tableColumn id="13" xr3:uid="{D5A5EA29-68B3-427B-8CB2-4DC1714E5A9B}" name="DESCRIÇÃO DOS SERVIÇOS" dataDxfId="65" dataCellStyle="Normal"/>
    <tableColumn id="4" xr3:uid="{41CF42EF-6837-49A5-A6C9-800016111269}" name="TÉCNICO" dataDxfId="64"/>
    <tableColumn id="2" xr3:uid="{BB473F89-62B7-4906-9316-0EE75BE068D1}" name="DATA_x000a_LIMITE" dataDxfId="63"/>
    <tableColumn id="8" xr3:uid="{EB91CA52-D699-416F-A388-FE67797CA725}" name="DATA_x000a_ENVIO" dataDxfId="62" dataCellStyle="Normal"/>
    <tableColumn id="15" xr3:uid="{F6DEC89E-22BC-48E3-9EE7-537EB2581E7B}" name="PRAZO_x000a_EXECUÇÃO" dataDxfId="61"/>
    <tableColumn id="5" xr3:uid="{56DDF8D1-8CAA-44D9-AF83-D27585736C51}" name="VALOR  (R$)" dataDxfId="60" dataCellStyle="Moeda"/>
    <tableColumn id="9" xr3:uid="{F6C49A18-37BC-4C4F-8F23-2024E8F81EDD}" name="MARGEM" dataDxfId="59" dataCellStyle="Porcentagem"/>
    <tableColumn id="16" xr3:uid="{85B60A29-566A-411C-A114-2B2681BF9150}" name="RECEITA_x000a_DIÁRIA" dataDxfId="58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7"/>
    <tableColumn id="14" xr3:uid="{098C24CF-3C89-4B9A-91B0-886564511649}" name="DATA_x000a_VENDA" dataDxfId="56"/>
    <tableColumn id="17" xr3:uid="{38971890-D93E-44A9-B78E-CD6CE337E4F3}" name="PEDIDO                         UNO" dataDxfId="55"/>
    <tableColumn id="21" xr3:uid="{C06C8321-9B9A-46AD-93C8-555A026CC629}" name="PREVISÃO DE INICIO " dataDxfId="54" dataCellStyle="Normal"/>
    <tableColumn id="20" xr3:uid="{F5846DBC-2728-4EAE-BFAB-2E99B0CCA4EE}" name="STATUS PEDIDO" dataDxfId="53"/>
    <tableColumn id="12" xr3:uid="{D5F5317F-B9D7-4861-89CD-F96B397E9757}" name="PEDIDOS DE COMPRA" dataDxfId="52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51" dataDxfId="49" headerRowBorderDxfId="50" tableBorderDxfId="48" totalsRowBorderDxfId="47" headerRowCellStyle="Normal" dataCellStyle="Normal">
  <autoFilter ref="B3:S103" xr:uid="{D39B971D-BAB4-4D6B-9B39-3EBCE0A9E872}"/>
  <tableColumns count="18">
    <tableColumn id="1" xr3:uid="{399C421B-5BCC-49A4-B814-F527C2CEB98C}" name="QNTD." dataDxfId="46" dataCellStyle="Normal"/>
    <tableColumn id="3" xr3:uid="{CA9A18E3-38E5-4D9D-B040-E17B884D2636}" name="DT. ABERTURA" dataDxfId="45"/>
    <tableColumn id="10" xr3:uid="{8AA699F5-4080-4155-B548-921B7C6ACAEB}" name="Nº PROPOSTA" dataDxfId="44"/>
    <tableColumn id="6" xr3:uid="{6C258BEC-90DA-47EF-95D5-9DEE0529E2E6}" name="CLIENTE" dataDxfId="43" dataCellStyle="Normal"/>
    <tableColumn id="11" xr3:uid="{EFBD1B79-1DD2-4741-B661-33E171CA63F5}" name="TIPO" dataDxfId="42"/>
    <tableColumn id="7" xr3:uid="{F823645F-9DA0-4F05-BFF1-273C702475D3}" name="LOCAL EXECUÇÃO" dataDxfId="41" dataCellStyle="Normal"/>
    <tableColumn id="13" xr3:uid="{A133D917-F7D3-481E-B37C-341BA184EEFB}" name="DESCRIÇÃO DOS SERVIÇOS" dataDxfId="40" dataCellStyle="Normal"/>
    <tableColumn id="4" xr3:uid="{8C102951-3232-47F4-BAA3-C5186C55DACD}" name="TÉCNICO" dataDxfId="39"/>
    <tableColumn id="2" xr3:uid="{0F1A08C4-69EE-46BC-8E4B-B264BF2DFB4C}" name="DATA_x000a_LIMITE" dataDxfId="38"/>
    <tableColumn id="8" xr3:uid="{FEB6D45D-A6E2-4CD2-A28B-4997114EF4C3}" name="DATA_x000a_ENVIO" dataDxfId="37" dataCellStyle="Normal"/>
    <tableColumn id="15" xr3:uid="{8EA912FA-49ED-4C55-8045-B45CDED0977E}" name="PRAZO_x000a_EXECUÇÃO" dataDxfId="36"/>
    <tableColumn id="5" xr3:uid="{02591D5C-13B4-4D5D-8526-97E9071E3559}" name="VALOR  (R$)" dataDxfId="35" dataCellStyle="Moeda"/>
    <tableColumn id="9" xr3:uid="{08C2A70D-BB81-42A3-81DC-D7840672EBAC}" name="MARGEM" dataDxfId="34" dataCellStyle="Porcentagem"/>
    <tableColumn id="19" xr3:uid="{51512BB4-EA56-4798-A08F-97E36989D8C6}" name="STATUS_x000a_PROPOSTA" dataDxfId="33"/>
    <tableColumn id="14" xr3:uid="{A3D7D7EC-6934-40DE-B637-C44D9C2B2E40}" name="DATA_x000a_VENDA" dataDxfId="32"/>
    <tableColumn id="16" xr3:uid="{ED979145-59C9-411E-937F-3E2D5DACE290}" name="RECEITA_x000a_DIÁRIA" dataDxfId="31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30"/>
    <tableColumn id="20" xr3:uid="{A40E71D0-7F3E-42C2-9065-F17FAC74AF88}" name="STATUS PEDIDO" dataDxfId="29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8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7" dataCellStyle="Moeda"/>
    <tableColumn id="2" xr3:uid="{657111F3-D516-4BD3-9FB1-80D28E32860F}" name="EM ABERTO" dataDxfId="26" dataCellStyle="Moeda"/>
    <tableColumn id="3" xr3:uid="{FC447229-F202-4434-97A2-277B1B1127E4}" name="EM NEGOCIAÇÃO " dataDxfId="25"/>
    <tableColumn id="4" xr3:uid="{43290815-233E-405C-A991-452B1DC566B8}" name="PERDIDA" dataDxfId="24"/>
    <tableColumn id="5" xr3:uid="{DA83F6AF-D059-456A-A2A4-0F7ADD4B9EF4}" name="APROVADA " dataDxfId="23"/>
    <tableColumn id="6" xr3:uid="{0B5A0F38-733D-4D33-9235-43DCABCFA98B}" name="CANCELADA" dataDxfId="22"/>
    <tableColumn id="7" xr3:uid="{13626B5C-A991-44E7-A51E-662C3485A3C9}" name="TOTAL" dataDxfId="21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20" dataDxfId="18" headerRowBorderDxfId="19" tableBorderDxfId="17" totalsRowBorderDxfId="16" headerRowCellStyle="Título 3" dataCellStyle="Título 3">
  <autoFilter ref="A2:F21" xr:uid="{EFC81F52-1086-456C-8581-A2EF0AD468E4}"/>
  <tableColumns count="6">
    <tableColumn id="3" xr3:uid="{82BCBE5F-AD48-4C2B-8FDD-8E5FCDFF2889}" name="Cliente" dataDxfId="15" dataCellStyle="Título 3"/>
    <tableColumn id="7" xr3:uid="{C6B9B0A9-8526-4EC2-81D0-0332218C699A}" name="Nº Proposta" dataDxfId="14" dataCellStyle="Título 3"/>
    <tableColumn id="13" xr3:uid="{AAEAEF9C-398F-4A5D-80FD-3FAA28526249}" name="Serviço " dataDxfId="13" dataCellStyle="Título 3"/>
    <tableColumn id="1" xr3:uid="{D47C5B19-7A31-486D-BBC4-C21CEAB1C793}" name="Local de Execução" dataDxfId="12" dataCellStyle="Título 3"/>
    <tableColumn id="6" xr3:uid="{80682CEA-0C9D-412C-BE66-472B88422DC8}" name="Dt. Envio Cliente" dataDxfId="11" dataCellStyle="Título 3"/>
    <tableColumn id="5" xr3:uid="{BD8EDDAA-EC15-46E0-9040-D35E549EB497}" name="Status" dataDxfId="10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7248F5E-5A27-4CD8-9388-05D402143F8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74e342-6ca7-4826-888f-9b38772e321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A2463F9-467B-45BD-A102-B0ECD8134EC3}">
  <we:reference id="wa200005502" version="1.0.0.12" store="pt-BR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5"/>
  <sheetViews>
    <sheetView tabSelected="1" topLeftCell="A448" zoomScale="85" zoomScaleNormal="85" zoomScaleSheetLayoutView="90" workbookViewId="0">
      <pane xSplit="4" topLeftCell="H1" activePane="topRight" state="frozen"/>
      <selection pane="topRight" activeCell="J464" sqref="J464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02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189" t="s">
        <v>517</v>
      </c>
      <c r="B1" s="189" t="s">
        <v>518</v>
      </c>
      <c r="C1" s="190" t="s">
        <v>505</v>
      </c>
      <c r="D1" s="191" t="s">
        <v>482</v>
      </c>
      <c r="E1" s="191" t="s">
        <v>494</v>
      </c>
      <c r="F1" s="191" t="s">
        <v>483</v>
      </c>
      <c r="G1" s="191" t="s">
        <v>484</v>
      </c>
      <c r="H1" s="191" t="s">
        <v>501</v>
      </c>
      <c r="I1" s="189" t="s">
        <v>499</v>
      </c>
      <c r="J1" s="189" t="s">
        <v>498</v>
      </c>
      <c r="K1" s="192" t="s">
        <v>497</v>
      </c>
      <c r="L1" s="185" t="s">
        <v>485</v>
      </c>
      <c r="M1" s="186" t="s">
        <v>496</v>
      </c>
      <c r="N1" s="190" t="s">
        <v>500</v>
      </c>
      <c r="O1" s="187" t="s">
        <v>502</v>
      </c>
      <c r="P1" s="189" t="s">
        <v>503</v>
      </c>
      <c r="Q1" s="190" t="s">
        <v>521</v>
      </c>
      <c r="R1" s="190" t="s">
        <v>1276</v>
      </c>
      <c r="S1" s="189" t="s">
        <v>519</v>
      </c>
      <c r="T1" s="191" t="s">
        <v>1041</v>
      </c>
    </row>
    <row r="2" spans="1:21" s="143" customFormat="1">
      <c r="A2" s="144">
        <v>8</v>
      </c>
      <c r="B2" s="145">
        <v>45669</v>
      </c>
      <c r="C2" s="146" t="s">
        <v>600</v>
      </c>
      <c r="D2" s="146" t="s">
        <v>601</v>
      </c>
      <c r="E2" s="146" t="s">
        <v>495</v>
      </c>
      <c r="F2" s="146" t="s">
        <v>602</v>
      </c>
      <c r="G2" s="146" t="s">
        <v>603</v>
      </c>
      <c r="H2" s="146" t="s">
        <v>520</v>
      </c>
      <c r="I2" s="145">
        <v>46034</v>
      </c>
      <c r="J2" s="145">
        <v>46036</v>
      </c>
      <c r="K2" s="144">
        <v>4</v>
      </c>
      <c r="L2" s="178">
        <v>49980</v>
      </c>
      <c r="M2" s="176">
        <v>0.22</v>
      </c>
      <c r="N2" s="178">
        <f>IFERROR(Tabela225[[#This Row],[VALOR  (R$)]]/Tabela225[[#This Row],[PRAZO
EXECUÇÃO]],0)</f>
        <v>12495</v>
      </c>
      <c r="O2" s="194" t="s">
        <v>559</v>
      </c>
      <c r="P2" s="145"/>
      <c r="Q2" s="146"/>
      <c r="R2" s="146"/>
      <c r="S2" s="145"/>
      <c r="T2" s="146"/>
    </row>
    <row r="3" spans="1:21">
      <c r="A3" s="144">
        <v>9</v>
      </c>
      <c r="B3" s="145">
        <v>45669</v>
      </c>
      <c r="C3" s="146" t="s">
        <v>604</v>
      </c>
      <c r="D3" s="146" t="s">
        <v>486</v>
      </c>
      <c r="E3" s="146" t="s">
        <v>584</v>
      </c>
      <c r="F3" s="146" t="s">
        <v>605</v>
      </c>
      <c r="G3" s="146" t="s">
        <v>606</v>
      </c>
      <c r="H3" s="146" t="s">
        <v>520</v>
      </c>
      <c r="I3" s="145">
        <v>46037</v>
      </c>
      <c r="J3" s="145">
        <v>45669</v>
      </c>
      <c r="K3" s="144">
        <v>20</v>
      </c>
      <c r="L3" s="178">
        <v>229900</v>
      </c>
      <c r="M3" s="176">
        <v>0.22</v>
      </c>
      <c r="N3" s="178">
        <f>IFERROR(Tabela225[[#This Row],[VALOR  (R$)]]/Tabela225[[#This Row],[PRAZO
EXECUÇÃO]],0)</f>
        <v>11495</v>
      </c>
      <c r="O3" s="194" t="s">
        <v>559</v>
      </c>
      <c r="P3" s="145"/>
      <c r="Q3" s="146"/>
      <c r="R3" s="146"/>
      <c r="S3" s="145"/>
      <c r="T3" s="146"/>
      <c r="U3" s="132"/>
    </row>
    <row r="4" spans="1:21">
      <c r="A4" s="144">
        <v>10</v>
      </c>
      <c r="B4" s="145">
        <v>45669</v>
      </c>
      <c r="C4" s="146" t="s">
        <v>607</v>
      </c>
      <c r="D4" s="146" t="s">
        <v>486</v>
      </c>
      <c r="E4" s="146" t="s">
        <v>584</v>
      </c>
      <c r="F4" s="146" t="s">
        <v>608</v>
      </c>
      <c r="G4" s="146" t="s">
        <v>609</v>
      </c>
      <c r="H4" s="146" t="s">
        <v>520</v>
      </c>
      <c r="I4" s="145">
        <v>46037</v>
      </c>
      <c r="J4" s="145">
        <v>46034</v>
      </c>
      <c r="K4" s="144">
        <v>10</v>
      </c>
      <c r="L4" s="178">
        <v>128000</v>
      </c>
      <c r="M4" s="176">
        <v>0.2</v>
      </c>
      <c r="N4" s="178">
        <f>IFERROR(Tabela225[[#This Row],[VALOR  (R$)]]/Tabela225[[#This Row],[PRAZO
EXECUÇÃO]],0)</f>
        <v>12800</v>
      </c>
      <c r="O4" s="194" t="s">
        <v>599</v>
      </c>
      <c r="P4" s="145">
        <v>46042</v>
      </c>
      <c r="Q4" s="146">
        <v>19691</v>
      </c>
      <c r="R4" s="146"/>
      <c r="S4" s="145"/>
      <c r="T4" s="146" t="s">
        <v>1042</v>
      </c>
      <c r="U4" s="132"/>
    </row>
    <row r="5" spans="1:21">
      <c r="A5" s="144">
        <v>204</v>
      </c>
      <c r="B5" s="145">
        <v>45915</v>
      </c>
      <c r="C5" s="145" t="s">
        <v>1187</v>
      </c>
      <c r="D5" s="146" t="s">
        <v>1188</v>
      </c>
      <c r="E5" s="146" t="s">
        <v>495</v>
      </c>
      <c r="F5" s="146" t="s">
        <v>726</v>
      </c>
      <c r="G5" s="146" t="s">
        <v>1189</v>
      </c>
      <c r="H5" s="146" t="s">
        <v>520</v>
      </c>
      <c r="I5" s="145">
        <v>45916</v>
      </c>
      <c r="J5" s="145">
        <v>45916</v>
      </c>
      <c r="K5" s="144">
        <v>20</v>
      </c>
      <c r="L5" s="178">
        <v>223001.4</v>
      </c>
      <c r="M5" s="176">
        <v>0.2</v>
      </c>
      <c r="N5" s="178">
        <f>IFERROR(Tabela225[[#This Row],[VALOR  (R$)]]/Tabela225[[#This Row],[PRAZO
EXECUÇÃO]],0)</f>
        <v>11150.07</v>
      </c>
      <c r="O5" s="194" t="s">
        <v>599</v>
      </c>
      <c r="P5" s="145">
        <v>46139</v>
      </c>
      <c r="Q5" s="146"/>
      <c r="R5" s="146"/>
      <c r="S5" s="145"/>
      <c r="T5" s="146" t="s">
        <v>1042</v>
      </c>
      <c r="U5" s="132"/>
    </row>
    <row r="6" spans="1:21">
      <c r="A6" s="144">
        <v>2025</v>
      </c>
      <c r="B6" s="145">
        <v>45960</v>
      </c>
      <c r="C6" s="146" t="s">
        <v>652</v>
      </c>
      <c r="D6" s="146" t="s">
        <v>653</v>
      </c>
      <c r="E6" s="146" t="s">
        <v>584</v>
      </c>
      <c r="F6" s="146" t="s">
        <v>654</v>
      </c>
      <c r="G6" s="146" t="s">
        <v>655</v>
      </c>
      <c r="H6" s="146"/>
      <c r="I6" s="145">
        <v>45960</v>
      </c>
      <c r="J6" s="145"/>
      <c r="K6" s="144">
        <v>1</v>
      </c>
      <c r="L6" s="178">
        <v>32940</v>
      </c>
      <c r="M6" s="176">
        <v>0.26</v>
      </c>
      <c r="N6" s="178">
        <f>IFERROR(Tabela225[[#This Row],[VALOR  (R$)]]/Tabela225[[#This Row],[PRAZO
EXECUÇÃO]],0)</f>
        <v>32940</v>
      </c>
      <c r="O6" s="194" t="s">
        <v>599</v>
      </c>
      <c r="P6" s="145">
        <v>46030</v>
      </c>
      <c r="Q6" s="146">
        <v>19543</v>
      </c>
      <c r="R6" s="146"/>
      <c r="S6" s="145" t="s">
        <v>1039</v>
      </c>
      <c r="T6" s="146" t="s">
        <v>1042</v>
      </c>
      <c r="U6" s="132"/>
    </row>
    <row r="7" spans="1:21">
      <c r="A7" s="144">
        <v>2025</v>
      </c>
      <c r="B7" s="145">
        <v>45964</v>
      </c>
      <c r="C7" s="145" t="s">
        <v>739</v>
      </c>
      <c r="D7" s="146" t="s">
        <v>486</v>
      </c>
      <c r="E7" s="146" t="s">
        <v>584</v>
      </c>
      <c r="F7" s="146" t="s">
        <v>740</v>
      </c>
      <c r="G7" s="146" t="s">
        <v>741</v>
      </c>
      <c r="H7" s="146"/>
      <c r="I7" s="145">
        <v>46055</v>
      </c>
      <c r="J7" s="145">
        <v>46055</v>
      </c>
      <c r="K7" s="144">
        <v>5</v>
      </c>
      <c r="L7" s="178">
        <v>11500</v>
      </c>
      <c r="M7" s="176">
        <v>0.2</v>
      </c>
      <c r="N7" s="178">
        <f>IFERROR(Tabela225[[#This Row],[VALOR  (R$)]]/Tabela225[[#This Row],[PRAZO
EXECUÇÃO]],0)</f>
        <v>2300</v>
      </c>
      <c r="O7" s="193" t="s">
        <v>599</v>
      </c>
      <c r="P7" s="145">
        <v>46055</v>
      </c>
      <c r="Q7" s="146" t="s">
        <v>104</v>
      </c>
      <c r="R7" s="146"/>
      <c r="S7" s="145" t="s">
        <v>1039</v>
      </c>
      <c r="T7" s="146" t="s">
        <v>1042</v>
      </c>
      <c r="U7" s="132"/>
    </row>
    <row r="8" spans="1:21">
      <c r="A8" s="144">
        <v>2025</v>
      </c>
      <c r="B8" s="145">
        <v>45964</v>
      </c>
      <c r="C8" s="146" t="s">
        <v>648</v>
      </c>
      <c r="D8" s="146" t="s">
        <v>649</v>
      </c>
      <c r="E8" s="146" t="s">
        <v>495</v>
      </c>
      <c r="F8" s="146" t="s">
        <v>650</v>
      </c>
      <c r="G8" s="146" t="s">
        <v>651</v>
      </c>
      <c r="H8" s="146" t="s">
        <v>520</v>
      </c>
      <c r="I8" s="145">
        <v>45964</v>
      </c>
      <c r="J8" s="145"/>
      <c r="K8" s="144">
        <v>9</v>
      </c>
      <c r="L8" s="178">
        <v>324200</v>
      </c>
      <c r="M8" s="180">
        <v>0.14499999999999999</v>
      </c>
      <c r="N8" s="178">
        <f>IFERROR(Tabela225[[#This Row],[VALOR  (R$)]]/Tabela225[[#This Row],[PRAZO
EXECUÇÃO]],0)</f>
        <v>36022.222222222219</v>
      </c>
      <c r="O8" s="194" t="s">
        <v>599</v>
      </c>
      <c r="P8" s="145">
        <v>46035</v>
      </c>
      <c r="Q8" s="146">
        <v>19596</v>
      </c>
      <c r="R8" s="146"/>
      <c r="S8" s="145" t="s">
        <v>1039</v>
      </c>
      <c r="T8" s="146" t="s">
        <v>1042</v>
      </c>
      <c r="U8" s="132"/>
    </row>
    <row r="9" spans="1:21">
      <c r="A9" s="144">
        <v>2025</v>
      </c>
      <c r="B9" s="145">
        <v>45974</v>
      </c>
      <c r="C9" s="145" t="s">
        <v>813</v>
      </c>
      <c r="D9" s="146" t="s">
        <v>469</v>
      </c>
      <c r="E9" s="146" t="s">
        <v>584</v>
      </c>
      <c r="F9" s="146" t="s">
        <v>814</v>
      </c>
      <c r="G9" s="146" t="s">
        <v>815</v>
      </c>
      <c r="H9" s="146"/>
      <c r="I9" s="145">
        <v>45974</v>
      </c>
      <c r="J9" s="145">
        <v>45974</v>
      </c>
      <c r="K9" s="144">
        <v>20</v>
      </c>
      <c r="L9" s="178">
        <f>134900*2</f>
        <v>269800</v>
      </c>
      <c r="M9" s="176">
        <v>0.21</v>
      </c>
      <c r="N9" s="178">
        <f>IFERROR(Tabela225[[#This Row],[VALOR  (R$)]]/Tabela225[[#This Row],[PRAZO
EXECUÇÃO]],0)</f>
        <v>13490</v>
      </c>
      <c r="O9" s="193" t="s">
        <v>599</v>
      </c>
      <c r="P9" s="145">
        <v>46065</v>
      </c>
      <c r="Q9" s="146">
        <v>20021</v>
      </c>
      <c r="R9" s="146"/>
      <c r="S9" s="145"/>
      <c r="T9" s="146" t="s">
        <v>1042</v>
      </c>
      <c r="U9" s="132"/>
    </row>
    <row r="10" spans="1:21">
      <c r="A10" s="144">
        <v>2025</v>
      </c>
      <c r="B10" s="145">
        <v>45987</v>
      </c>
      <c r="C10" s="145" t="s">
        <v>666</v>
      </c>
      <c r="D10" s="146" t="s">
        <v>667</v>
      </c>
      <c r="E10" s="146" t="s">
        <v>495</v>
      </c>
      <c r="F10" s="146" t="s">
        <v>668</v>
      </c>
      <c r="G10" s="146" t="s">
        <v>669</v>
      </c>
      <c r="H10" s="146" t="s">
        <v>520</v>
      </c>
      <c r="I10" s="145">
        <v>45988</v>
      </c>
      <c r="J10" s="145"/>
      <c r="K10" s="144">
        <v>14</v>
      </c>
      <c r="L10" s="178">
        <v>271800</v>
      </c>
      <c r="M10" s="176">
        <v>0.26</v>
      </c>
      <c r="N10" s="178">
        <f>IFERROR(Tabela225[[#This Row],[VALOR  (R$)]]/Tabela225[[#This Row],[PRAZO
EXECUÇÃO]],0)</f>
        <v>19414.285714285714</v>
      </c>
      <c r="O10" s="193" t="s">
        <v>599</v>
      </c>
      <c r="P10" s="145">
        <v>46043</v>
      </c>
      <c r="Q10" s="146">
        <v>19766</v>
      </c>
      <c r="R10" s="146"/>
      <c r="S10" s="145"/>
      <c r="T10" s="146" t="s">
        <v>1042</v>
      </c>
      <c r="U10" s="132"/>
    </row>
    <row r="11" spans="1:21">
      <c r="A11" s="144">
        <v>2025</v>
      </c>
      <c r="B11" s="145">
        <v>45987</v>
      </c>
      <c r="C11" s="145" t="s">
        <v>736</v>
      </c>
      <c r="D11" s="146" t="s">
        <v>486</v>
      </c>
      <c r="E11" s="146" t="s">
        <v>584</v>
      </c>
      <c r="F11" s="146" t="s">
        <v>735</v>
      </c>
      <c r="G11" s="146" t="s">
        <v>737</v>
      </c>
      <c r="H11" s="146" t="s">
        <v>501</v>
      </c>
      <c r="I11" s="145">
        <v>46055</v>
      </c>
      <c r="J11" s="145">
        <v>46055</v>
      </c>
      <c r="K11" s="144">
        <v>5</v>
      </c>
      <c r="L11" s="178">
        <v>10950</v>
      </c>
      <c r="M11" s="176">
        <v>0.2</v>
      </c>
      <c r="N11" s="178">
        <f>IFERROR(Tabela225[[#This Row],[VALOR  (R$)]]/Tabela225[[#This Row],[PRAZO
EXECUÇÃO]],0)</f>
        <v>2190</v>
      </c>
      <c r="O11" s="193" t="s">
        <v>599</v>
      </c>
      <c r="P11" s="145">
        <v>46055</v>
      </c>
      <c r="Q11" s="146" t="s">
        <v>104</v>
      </c>
      <c r="R11" s="146"/>
      <c r="S11" s="145" t="s">
        <v>1039</v>
      </c>
      <c r="T11" s="146" t="s">
        <v>1042</v>
      </c>
      <c r="U11" s="132"/>
    </row>
    <row r="12" spans="1:21">
      <c r="A12" s="144">
        <v>2025</v>
      </c>
      <c r="B12" s="145">
        <v>46001</v>
      </c>
      <c r="C12" s="145" t="s">
        <v>725</v>
      </c>
      <c r="D12" s="146" t="s">
        <v>522</v>
      </c>
      <c r="E12" s="146" t="s">
        <v>495</v>
      </c>
      <c r="F12" s="146" t="s">
        <v>726</v>
      </c>
      <c r="G12" s="146" t="s">
        <v>727</v>
      </c>
      <c r="H12" s="146"/>
      <c r="I12" s="145">
        <v>46051</v>
      </c>
      <c r="J12" s="145">
        <v>46051</v>
      </c>
      <c r="K12" s="144">
        <v>15</v>
      </c>
      <c r="L12" s="178">
        <v>50292.5</v>
      </c>
      <c r="M12" s="176">
        <v>0.2</v>
      </c>
      <c r="N12" s="178">
        <f>IFERROR(Tabela225[[#This Row],[VALOR  (R$)]]/Tabela225[[#This Row],[PRAZO
EXECUÇÃO]],0)</f>
        <v>3352.8333333333335</v>
      </c>
      <c r="O12" s="193" t="s">
        <v>599</v>
      </c>
      <c r="P12" s="145">
        <v>46051</v>
      </c>
      <c r="Q12" s="146">
        <v>19268</v>
      </c>
      <c r="R12" s="146"/>
      <c r="S12" s="145" t="s">
        <v>1039</v>
      </c>
      <c r="T12" s="146" t="s">
        <v>1042</v>
      </c>
      <c r="U12" s="132"/>
    </row>
    <row r="13" spans="1:21">
      <c r="A13" s="144">
        <v>2025</v>
      </c>
      <c r="B13" s="145">
        <v>46001</v>
      </c>
      <c r="C13" s="145" t="s">
        <v>1192</v>
      </c>
      <c r="D13" s="146" t="s">
        <v>486</v>
      </c>
      <c r="E13" s="146" t="s">
        <v>584</v>
      </c>
      <c r="F13" s="146" t="s">
        <v>1193</v>
      </c>
      <c r="G13" s="146" t="s">
        <v>1194</v>
      </c>
      <c r="H13" s="146" t="s">
        <v>501</v>
      </c>
      <c r="I13" s="145">
        <v>46001</v>
      </c>
      <c r="J13" s="145">
        <v>46001</v>
      </c>
      <c r="K13" s="144"/>
      <c r="L13" s="178">
        <v>611630</v>
      </c>
      <c r="M13" s="176">
        <v>0.2</v>
      </c>
      <c r="N13" s="178">
        <f>IFERROR(Tabela225[[#This Row],[VALOR  (R$)]]/Tabela225[[#This Row],[PRAZO
EXECUÇÃO]],0)</f>
        <v>0</v>
      </c>
      <c r="O13" s="193" t="s">
        <v>599</v>
      </c>
      <c r="P13" s="145">
        <v>46136</v>
      </c>
      <c r="Q13" s="146"/>
      <c r="R13" s="146"/>
      <c r="S13" s="145"/>
      <c r="T13" s="146" t="s">
        <v>1042</v>
      </c>
      <c r="U13" s="132"/>
    </row>
    <row r="14" spans="1:21">
      <c r="A14" s="144">
        <v>2025</v>
      </c>
      <c r="B14" s="145">
        <v>46007</v>
      </c>
      <c r="C14" s="145" t="s">
        <v>734</v>
      </c>
      <c r="D14" s="146" t="s">
        <v>486</v>
      </c>
      <c r="E14" s="146" t="s">
        <v>584</v>
      </c>
      <c r="F14" s="146" t="s">
        <v>735</v>
      </c>
      <c r="G14" s="146" t="s">
        <v>738</v>
      </c>
      <c r="H14" s="146" t="s">
        <v>501</v>
      </c>
      <c r="I14" s="145">
        <v>46055</v>
      </c>
      <c r="J14" s="145">
        <v>46055</v>
      </c>
      <c r="K14" s="144">
        <v>5</v>
      </c>
      <c r="L14" s="178">
        <v>72360</v>
      </c>
      <c r="M14" s="176">
        <v>0.2</v>
      </c>
      <c r="N14" s="178">
        <v>72360</v>
      </c>
      <c r="O14" s="193" t="s">
        <v>599</v>
      </c>
      <c r="P14" s="145">
        <v>46055</v>
      </c>
      <c r="Q14" s="146" t="s">
        <v>104</v>
      </c>
      <c r="R14" s="146"/>
      <c r="S14" s="145"/>
      <c r="T14" s="146" t="s">
        <v>1042</v>
      </c>
      <c r="U14" s="132"/>
    </row>
    <row r="15" spans="1:21">
      <c r="A15" s="144">
        <v>2025</v>
      </c>
      <c r="B15" s="145">
        <v>46020</v>
      </c>
      <c r="C15" s="145" t="s">
        <v>731</v>
      </c>
      <c r="D15" s="146" t="s">
        <v>486</v>
      </c>
      <c r="E15" s="146" t="s">
        <v>584</v>
      </c>
      <c r="F15" s="146" t="s">
        <v>732</v>
      </c>
      <c r="G15" s="146" t="s">
        <v>733</v>
      </c>
      <c r="H15" s="146"/>
      <c r="I15" s="145">
        <v>46055</v>
      </c>
      <c r="J15" s="145">
        <v>46055</v>
      </c>
      <c r="K15" s="144">
        <v>5</v>
      </c>
      <c r="L15" s="178">
        <v>50554</v>
      </c>
      <c r="M15" s="176">
        <v>0.2</v>
      </c>
      <c r="N15" s="178">
        <f>IFERROR(Tabela225[[#This Row],[VALOR  (R$)]]/Tabela225[[#This Row],[PRAZO
EXECUÇÃO]],0)</f>
        <v>10110.799999999999</v>
      </c>
      <c r="O15" s="193" t="s">
        <v>599</v>
      </c>
      <c r="P15" s="145">
        <v>46055</v>
      </c>
      <c r="Q15" s="146" t="s">
        <v>104</v>
      </c>
      <c r="R15" s="146"/>
      <c r="S15" s="145"/>
      <c r="T15" s="146" t="s">
        <v>1042</v>
      </c>
      <c r="U15" s="132"/>
    </row>
    <row r="16" spans="1:21">
      <c r="A16" s="144">
        <v>1</v>
      </c>
      <c r="B16" s="145">
        <v>46024</v>
      </c>
      <c r="C16" s="146" t="s">
        <v>574</v>
      </c>
      <c r="D16" s="146" t="s">
        <v>575</v>
      </c>
      <c r="E16" s="146" t="s">
        <v>495</v>
      </c>
      <c r="F16" s="146" t="s">
        <v>104</v>
      </c>
      <c r="G16" s="146" t="s">
        <v>870</v>
      </c>
      <c r="H16" s="146" t="s">
        <v>520</v>
      </c>
      <c r="I16" s="145">
        <v>46045</v>
      </c>
      <c r="J16" s="145">
        <v>46063</v>
      </c>
      <c r="K16" s="144">
        <v>25</v>
      </c>
      <c r="L16" s="178">
        <v>11481502.970000001</v>
      </c>
      <c r="M16" s="176" t="s">
        <v>104</v>
      </c>
      <c r="N16" s="178">
        <f>IFERROR(Tabela225[[#This Row],[VALOR  (R$)]]/Tabela225[[#This Row],[PRAZO
EXECUÇÃO]],0)</f>
        <v>459260.11880000005</v>
      </c>
      <c r="O16" s="194" t="s">
        <v>559</v>
      </c>
      <c r="P16" s="145"/>
      <c r="Q16" s="146"/>
      <c r="R16" s="146"/>
      <c r="S16" s="144"/>
      <c r="T16" s="146"/>
      <c r="U16" s="132"/>
    </row>
    <row r="17" spans="1:21">
      <c r="A17" s="144">
        <v>2</v>
      </c>
      <c r="B17" s="145">
        <v>46027</v>
      </c>
      <c r="C17" s="146" t="s">
        <v>576</v>
      </c>
      <c r="D17" s="146" t="s">
        <v>565</v>
      </c>
      <c r="E17" s="146" t="s">
        <v>495</v>
      </c>
      <c r="F17" s="146" t="s">
        <v>577</v>
      </c>
      <c r="G17" s="146" t="s">
        <v>578</v>
      </c>
      <c r="H17" s="146" t="s">
        <v>520</v>
      </c>
      <c r="I17" s="145">
        <v>45662</v>
      </c>
      <c r="J17" s="145">
        <v>46027</v>
      </c>
      <c r="K17" s="144">
        <v>0</v>
      </c>
      <c r="L17" s="178">
        <v>300000</v>
      </c>
      <c r="M17" s="176">
        <v>0.2</v>
      </c>
      <c r="N17" s="178">
        <f>IFERROR(Tabela225[[#This Row],[VALOR  (R$)]]/Tabela225[[#This Row],[PRAZO
EXECUÇÃO]],0)</f>
        <v>0</v>
      </c>
      <c r="O17" s="194" t="s">
        <v>656</v>
      </c>
      <c r="P17" s="145"/>
      <c r="Q17" s="146"/>
      <c r="R17" s="146"/>
      <c r="S17" s="145"/>
      <c r="T17" s="146"/>
      <c r="U17" s="132"/>
    </row>
    <row r="18" spans="1:21">
      <c r="A18" s="144">
        <v>3</v>
      </c>
      <c r="B18" s="145">
        <v>46027</v>
      </c>
      <c r="C18" s="146" t="s">
        <v>579</v>
      </c>
      <c r="D18" s="146" t="s">
        <v>580</v>
      </c>
      <c r="E18" s="146" t="s">
        <v>495</v>
      </c>
      <c r="F18" s="146" t="s">
        <v>581</v>
      </c>
      <c r="G18" s="146" t="s">
        <v>582</v>
      </c>
      <c r="H18" s="146" t="s">
        <v>520</v>
      </c>
      <c r="I18" s="145">
        <v>46027</v>
      </c>
      <c r="J18" s="145">
        <v>46027</v>
      </c>
      <c r="K18" s="144">
        <v>26</v>
      </c>
      <c r="L18" s="178">
        <f>20634+35223+226400</f>
        <v>282257</v>
      </c>
      <c r="M18" s="176">
        <v>0.27</v>
      </c>
      <c r="N18" s="178">
        <f>IFERROR(Tabela225[[#This Row],[VALOR  (R$)]]/Tabela225[[#This Row],[PRAZO
EXECUÇÃO]],0)</f>
        <v>10856.038461538461</v>
      </c>
      <c r="O18" s="194" t="s">
        <v>559</v>
      </c>
      <c r="P18" s="145"/>
      <c r="Q18" s="146"/>
      <c r="R18" s="146"/>
      <c r="S18" s="145"/>
      <c r="T18" s="146"/>
      <c r="U18" s="132"/>
    </row>
    <row r="19" spans="1:21">
      <c r="A19" s="144">
        <v>4</v>
      </c>
      <c r="B19" s="145">
        <v>46028</v>
      </c>
      <c r="C19" s="146" t="s">
        <v>586</v>
      </c>
      <c r="D19" s="146" t="s">
        <v>583</v>
      </c>
      <c r="E19" s="146" t="s">
        <v>584</v>
      </c>
      <c r="F19" s="146" t="s">
        <v>585</v>
      </c>
      <c r="G19" s="146" t="s">
        <v>587</v>
      </c>
      <c r="H19" s="146" t="s">
        <v>520</v>
      </c>
      <c r="I19" s="145">
        <v>46028</v>
      </c>
      <c r="J19" s="145">
        <v>46028</v>
      </c>
      <c r="K19" s="144">
        <v>17</v>
      </c>
      <c r="L19" s="178">
        <v>157720</v>
      </c>
      <c r="M19" s="176">
        <v>0.24</v>
      </c>
      <c r="N19" s="178">
        <f>IFERROR(Tabela225[[#This Row],[VALOR  (R$)]]/Tabela225[[#This Row],[PRAZO
EXECUÇÃO]],0)</f>
        <v>9277.6470588235297</v>
      </c>
      <c r="O19" s="194" t="s">
        <v>559</v>
      </c>
      <c r="P19" s="145"/>
      <c r="Q19" s="146"/>
      <c r="R19" s="146"/>
      <c r="S19" s="145"/>
      <c r="T19" s="146"/>
      <c r="U19" s="132"/>
    </row>
    <row r="20" spans="1:21">
      <c r="A20" s="144">
        <v>5</v>
      </c>
      <c r="B20" s="145">
        <v>46030</v>
      </c>
      <c r="C20" s="146" t="s">
        <v>588</v>
      </c>
      <c r="D20" s="146" t="s">
        <v>589</v>
      </c>
      <c r="E20" s="146" t="s">
        <v>495</v>
      </c>
      <c r="F20" s="146" t="s">
        <v>590</v>
      </c>
      <c r="G20" s="146" t="s">
        <v>591</v>
      </c>
      <c r="H20" s="146" t="s">
        <v>520</v>
      </c>
      <c r="I20" s="145">
        <v>46030</v>
      </c>
      <c r="J20" s="145">
        <v>46030</v>
      </c>
      <c r="K20" s="144">
        <v>20</v>
      </c>
      <c r="L20" s="178">
        <v>535860</v>
      </c>
      <c r="M20" s="176">
        <v>0.23</v>
      </c>
      <c r="N20" s="178">
        <f>IFERROR(Tabela225[[#This Row],[VALOR  (R$)]]/Tabela225[[#This Row],[PRAZO
EXECUÇÃO]],0)</f>
        <v>26793</v>
      </c>
      <c r="O20" s="194" t="s">
        <v>599</v>
      </c>
      <c r="P20" s="145">
        <v>46031</v>
      </c>
      <c r="Q20" s="146">
        <v>19573</v>
      </c>
      <c r="R20" s="146"/>
      <c r="S20" s="145"/>
      <c r="T20" s="146" t="s">
        <v>1042</v>
      </c>
      <c r="U20" s="132"/>
    </row>
    <row r="21" spans="1:21">
      <c r="A21" s="144">
        <v>6</v>
      </c>
      <c r="B21" s="145">
        <v>46030</v>
      </c>
      <c r="C21" s="146" t="s">
        <v>592</v>
      </c>
      <c r="D21" s="146" t="s">
        <v>573</v>
      </c>
      <c r="E21" s="146" t="s">
        <v>495</v>
      </c>
      <c r="F21" s="146" t="s">
        <v>593</v>
      </c>
      <c r="G21" s="146" t="s">
        <v>597</v>
      </c>
      <c r="H21" s="146" t="s">
        <v>520</v>
      </c>
      <c r="I21" s="145">
        <v>46030</v>
      </c>
      <c r="J21" s="145">
        <v>45666</v>
      </c>
      <c r="K21" s="144">
        <v>10</v>
      </c>
      <c r="L21" s="178">
        <f>33800+29990</f>
        <v>63790</v>
      </c>
      <c r="M21" s="176">
        <v>0.25</v>
      </c>
      <c r="N21" s="178">
        <f>IFERROR(Tabela225[[#This Row],[VALOR  (R$)]]/Tabela225[[#This Row],[PRAZO
EXECUÇÃO]],0)</f>
        <v>6379</v>
      </c>
      <c r="O21" s="194" t="s">
        <v>559</v>
      </c>
      <c r="P21" s="145"/>
      <c r="Q21" s="146"/>
      <c r="R21" s="146"/>
      <c r="S21" s="145"/>
      <c r="T21" s="146"/>
      <c r="U21" s="132"/>
    </row>
    <row r="22" spans="1:21">
      <c r="A22" s="144">
        <v>7</v>
      </c>
      <c r="B22" s="145">
        <v>46031</v>
      </c>
      <c r="C22" s="146" t="s">
        <v>594</v>
      </c>
      <c r="D22" s="146" t="s">
        <v>595</v>
      </c>
      <c r="E22" s="146" t="s">
        <v>495</v>
      </c>
      <c r="F22" s="146" t="s">
        <v>596</v>
      </c>
      <c r="G22" s="146" t="s">
        <v>598</v>
      </c>
      <c r="H22" s="146" t="s">
        <v>520</v>
      </c>
      <c r="I22" s="145">
        <v>45666</v>
      </c>
      <c r="J22" s="145">
        <v>45666</v>
      </c>
      <c r="K22" s="144">
        <v>3</v>
      </c>
      <c r="L22" s="178">
        <v>34200</v>
      </c>
      <c r="M22" s="176">
        <v>0.23</v>
      </c>
      <c r="N22" s="178">
        <f>IFERROR(Tabela225[[#This Row],[VALOR  (R$)]]/Tabela225[[#This Row],[PRAZO
EXECUÇÃO]],0)</f>
        <v>11400</v>
      </c>
      <c r="O22" s="194" t="s">
        <v>559</v>
      </c>
      <c r="P22" s="145"/>
      <c r="Q22" s="146"/>
      <c r="R22" s="146"/>
      <c r="S22" s="145"/>
      <c r="T22" s="146"/>
      <c r="U22" s="132"/>
    </row>
    <row r="23" spans="1:21">
      <c r="A23" s="144">
        <v>11</v>
      </c>
      <c r="B23" s="145">
        <v>46035</v>
      </c>
      <c r="C23" s="146" t="s">
        <v>610</v>
      </c>
      <c r="D23" s="146" t="s">
        <v>486</v>
      </c>
      <c r="E23" s="146" t="s">
        <v>584</v>
      </c>
      <c r="F23" s="146" t="s">
        <v>611</v>
      </c>
      <c r="G23" s="146" t="s">
        <v>612</v>
      </c>
      <c r="H23" s="146" t="s">
        <v>520</v>
      </c>
      <c r="I23" s="145">
        <v>46038</v>
      </c>
      <c r="J23" s="145">
        <v>46035</v>
      </c>
      <c r="K23" s="144">
        <v>54</v>
      </c>
      <c r="L23" s="178">
        <v>919200</v>
      </c>
      <c r="M23" s="176">
        <v>0.24</v>
      </c>
      <c r="N23" s="178">
        <f>IFERROR(Tabela225[[#This Row],[VALOR  (R$)]]/Tabela225[[#This Row],[PRAZO
EXECUÇÃO]],0)</f>
        <v>17022.222222222223</v>
      </c>
      <c r="O23" s="194" t="s">
        <v>559</v>
      </c>
      <c r="P23" s="145"/>
      <c r="Q23" s="146"/>
      <c r="R23" s="146"/>
      <c r="S23" s="145"/>
      <c r="T23" s="146"/>
      <c r="U23" s="132"/>
    </row>
    <row r="24" spans="1:21">
      <c r="A24" s="144">
        <v>12</v>
      </c>
      <c r="B24" s="145">
        <v>46036</v>
      </c>
      <c r="C24" s="146" t="s">
        <v>613</v>
      </c>
      <c r="D24" s="146" t="s">
        <v>816</v>
      </c>
      <c r="E24" s="146" t="s">
        <v>495</v>
      </c>
      <c r="F24" s="146" t="s">
        <v>614</v>
      </c>
      <c r="G24" s="146" t="s">
        <v>615</v>
      </c>
      <c r="H24" s="146" t="s">
        <v>520</v>
      </c>
      <c r="I24" s="145">
        <v>46036</v>
      </c>
      <c r="J24" s="145"/>
      <c r="K24" s="144"/>
      <c r="L24" s="178"/>
      <c r="M24" s="176"/>
      <c r="N24" s="178">
        <f>IFERROR(Tabela225[[#This Row],[VALOR  (R$)]]/Tabela225[[#This Row],[PRAZO
EXECUÇÃO]],0)</f>
        <v>0</v>
      </c>
      <c r="O24" s="194" t="s">
        <v>525</v>
      </c>
      <c r="P24" s="145"/>
      <c r="Q24" s="146"/>
      <c r="R24" s="146"/>
      <c r="S24" s="145"/>
      <c r="T24" s="146"/>
      <c r="U24" s="132"/>
    </row>
    <row r="25" spans="1:21">
      <c r="A25" s="144">
        <v>13</v>
      </c>
      <c r="B25" s="145">
        <v>46036</v>
      </c>
      <c r="C25" s="146" t="s">
        <v>616</v>
      </c>
      <c r="D25" s="146" t="s">
        <v>486</v>
      </c>
      <c r="E25" s="146" t="s">
        <v>584</v>
      </c>
      <c r="F25" s="146" t="s">
        <v>617</v>
      </c>
      <c r="G25" s="146" t="s">
        <v>618</v>
      </c>
      <c r="H25" s="146" t="s">
        <v>520</v>
      </c>
      <c r="I25" s="145">
        <v>46038</v>
      </c>
      <c r="J25" s="145">
        <v>46038</v>
      </c>
      <c r="K25" s="144">
        <f>15*3</f>
        <v>45</v>
      </c>
      <c r="L25" s="178">
        <v>538800</v>
      </c>
      <c r="M25" s="176">
        <v>0.22</v>
      </c>
      <c r="N25" s="178">
        <f>IFERROR(Tabela225[[#This Row],[VALOR  (R$)]]/Tabela225[[#This Row],[PRAZO
EXECUÇÃO]],0)</f>
        <v>11973.333333333334</v>
      </c>
      <c r="O25" s="194" t="s">
        <v>559</v>
      </c>
      <c r="P25" s="145"/>
      <c r="Q25" s="146"/>
      <c r="R25" s="146"/>
      <c r="S25" s="145"/>
      <c r="T25" s="146"/>
      <c r="U25" s="132"/>
    </row>
    <row r="26" spans="1:21">
      <c r="A26" s="144">
        <v>14</v>
      </c>
      <c r="B26" s="145">
        <v>46036</v>
      </c>
      <c r="C26" s="146" t="s">
        <v>619</v>
      </c>
      <c r="D26" s="146" t="s">
        <v>486</v>
      </c>
      <c r="E26" s="146" t="s">
        <v>584</v>
      </c>
      <c r="F26" s="146" t="s">
        <v>620</v>
      </c>
      <c r="G26" s="146" t="s">
        <v>621</v>
      </c>
      <c r="H26" s="146" t="s">
        <v>520</v>
      </c>
      <c r="I26" s="145">
        <v>46041</v>
      </c>
      <c r="J26" s="145">
        <v>46038</v>
      </c>
      <c r="K26" s="144">
        <f>13*3</f>
        <v>39</v>
      </c>
      <c r="L26" s="178">
        <v>479700</v>
      </c>
      <c r="M26" s="176">
        <v>0.24</v>
      </c>
      <c r="N26" s="178">
        <f>IFERROR(Tabela225[[#This Row],[VALOR  (R$)]]/Tabela225[[#This Row],[PRAZO
EXECUÇÃO]],0)</f>
        <v>12300</v>
      </c>
      <c r="O26" s="194" t="s">
        <v>559</v>
      </c>
      <c r="P26" s="145"/>
      <c r="Q26" s="146"/>
      <c r="R26" s="146"/>
      <c r="S26" s="145"/>
      <c r="T26" s="146"/>
      <c r="U26" s="132"/>
    </row>
    <row r="27" spans="1:21">
      <c r="A27" s="144">
        <v>15</v>
      </c>
      <c r="B27" s="145">
        <v>46036</v>
      </c>
      <c r="C27" s="146" t="s">
        <v>622</v>
      </c>
      <c r="D27" s="146" t="s">
        <v>624</v>
      </c>
      <c r="E27" s="146" t="s">
        <v>584</v>
      </c>
      <c r="F27" s="146" t="s">
        <v>623</v>
      </c>
      <c r="G27" s="146" t="s">
        <v>625</v>
      </c>
      <c r="H27" s="146" t="s">
        <v>520</v>
      </c>
      <c r="I27" s="145">
        <v>46036</v>
      </c>
      <c r="J27" s="145">
        <v>46036</v>
      </c>
      <c r="K27" s="144">
        <v>2</v>
      </c>
      <c r="L27" s="178">
        <v>245985</v>
      </c>
      <c r="M27" s="176">
        <v>0.23</v>
      </c>
      <c r="N27" s="178">
        <f>IFERROR(Tabela225[[#This Row],[VALOR  (R$)]]/Tabela225[[#This Row],[PRAZO
EXECUÇÃO]],0)</f>
        <v>122992.5</v>
      </c>
      <c r="O27" s="194" t="s">
        <v>559</v>
      </c>
      <c r="P27" s="145"/>
      <c r="Q27" s="146"/>
      <c r="R27" s="146"/>
      <c r="S27" s="145"/>
      <c r="T27" s="146"/>
      <c r="U27" s="132"/>
    </row>
    <row r="28" spans="1:21">
      <c r="A28" s="144">
        <v>16</v>
      </c>
      <c r="B28" s="145">
        <v>46036</v>
      </c>
      <c r="C28" s="146" t="s">
        <v>626</v>
      </c>
      <c r="D28" s="146" t="s">
        <v>486</v>
      </c>
      <c r="E28" s="146" t="s">
        <v>584</v>
      </c>
      <c r="F28" s="146" t="s">
        <v>627</v>
      </c>
      <c r="G28" s="146" t="s">
        <v>943</v>
      </c>
      <c r="H28" s="146" t="s">
        <v>520</v>
      </c>
      <c r="I28" s="145">
        <v>46041</v>
      </c>
      <c r="J28" s="145">
        <v>46036</v>
      </c>
      <c r="K28" s="144">
        <v>35</v>
      </c>
      <c r="L28" s="178">
        <v>310000</v>
      </c>
      <c r="M28" s="180">
        <v>0.20499999999999999</v>
      </c>
      <c r="N28" s="178">
        <f>IFERROR(Tabela225[[#This Row],[VALOR  (R$)]]/Tabela225[[#This Row],[PRAZO
EXECUÇÃO]],0)</f>
        <v>8857.1428571428569</v>
      </c>
      <c r="O28" s="194" t="s">
        <v>599</v>
      </c>
      <c r="P28" s="145">
        <v>46062</v>
      </c>
      <c r="Q28" s="146"/>
      <c r="R28" s="146"/>
      <c r="S28" s="145"/>
      <c r="T28" s="146" t="s">
        <v>1043</v>
      </c>
      <c r="U28" s="132"/>
    </row>
    <row r="29" spans="1:21">
      <c r="A29" s="144">
        <v>17</v>
      </c>
      <c r="B29" s="145">
        <v>46036</v>
      </c>
      <c r="C29" s="146" t="s">
        <v>626</v>
      </c>
      <c r="D29" s="146" t="s">
        <v>486</v>
      </c>
      <c r="E29" s="146" t="s">
        <v>584</v>
      </c>
      <c r="F29" s="146" t="s">
        <v>627</v>
      </c>
      <c r="G29" s="146" t="s">
        <v>1045</v>
      </c>
      <c r="H29" s="145">
        <v>46041</v>
      </c>
      <c r="I29" s="145">
        <v>46036</v>
      </c>
      <c r="J29" s="145">
        <v>46036</v>
      </c>
      <c r="K29" s="144">
        <v>35</v>
      </c>
      <c r="L29" s="178">
        <v>103250</v>
      </c>
      <c r="M29" s="180">
        <v>0.20499999999999999</v>
      </c>
      <c r="N29" s="178">
        <f>IFERROR(Tabela225[[#This Row],[VALOR  (R$)]]/Tabela225[[#This Row],[PRAZO
EXECUÇÃO]],0)</f>
        <v>2950</v>
      </c>
      <c r="O29" s="194" t="s">
        <v>599</v>
      </c>
      <c r="P29" s="145">
        <v>46062</v>
      </c>
      <c r="Q29" s="146"/>
      <c r="R29" s="146"/>
      <c r="S29" s="145"/>
      <c r="T29" s="146" t="s">
        <v>1040</v>
      </c>
      <c r="U29" s="132"/>
    </row>
    <row r="30" spans="1:21">
      <c r="A30" s="144">
        <v>18</v>
      </c>
      <c r="B30" s="145">
        <v>46036</v>
      </c>
      <c r="C30" s="146" t="s">
        <v>628</v>
      </c>
      <c r="D30" s="146" t="s">
        <v>524</v>
      </c>
      <c r="E30" s="146" t="s">
        <v>584</v>
      </c>
      <c r="F30" s="146" t="s">
        <v>629</v>
      </c>
      <c r="G30" s="146" t="s">
        <v>869</v>
      </c>
      <c r="H30" s="146" t="s">
        <v>501</v>
      </c>
      <c r="I30" s="145">
        <v>46037</v>
      </c>
      <c r="J30" s="145">
        <v>46036</v>
      </c>
      <c r="K30" s="144">
        <v>2</v>
      </c>
      <c r="L30" s="178">
        <v>77544.88</v>
      </c>
      <c r="M30" s="176">
        <v>0.25</v>
      </c>
      <c r="N30" s="178">
        <f>IFERROR(Tabela225[[#This Row],[VALOR  (R$)]]/Tabela225[[#This Row],[PRAZO
EXECUÇÃO]],0)</f>
        <v>38772.44</v>
      </c>
      <c r="O30" s="194" t="s">
        <v>599</v>
      </c>
      <c r="P30" s="145">
        <v>46073</v>
      </c>
      <c r="Q30" s="146"/>
      <c r="R30" s="146"/>
      <c r="S30" s="145"/>
      <c r="T30" s="146" t="s">
        <v>1042</v>
      </c>
      <c r="U30" s="132"/>
    </row>
    <row r="31" spans="1:21">
      <c r="A31" s="144">
        <v>19</v>
      </c>
      <c r="B31" s="145">
        <v>46036</v>
      </c>
      <c r="C31" s="146" t="s">
        <v>630</v>
      </c>
      <c r="D31" s="146" t="s">
        <v>601</v>
      </c>
      <c r="E31" s="146" t="s">
        <v>495</v>
      </c>
      <c r="F31" s="146" t="s">
        <v>602</v>
      </c>
      <c r="G31" s="146" t="s">
        <v>633</v>
      </c>
      <c r="H31" s="146" t="s">
        <v>520</v>
      </c>
      <c r="I31" s="145">
        <v>46036</v>
      </c>
      <c r="J31" s="145">
        <v>46036</v>
      </c>
      <c r="K31" s="144">
        <v>1</v>
      </c>
      <c r="L31" s="178">
        <v>69940</v>
      </c>
      <c r="M31" s="176">
        <v>0.22</v>
      </c>
      <c r="N31" s="178">
        <f>IFERROR(Tabela225[[#This Row],[VALOR  (R$)]]/Tabela225[[#This Row],[PRAZO
EXECUÇÃO]],0)</f>
        <v>69940</v>
      </c>
      <c r="O31" s="194" t="s">
        <v>559</v>
      </c>
      <c r="P31" s="145"/>
      <c r="Q31" s="146"/>
      <c r="R31" s="146"/>
      <c r="S31" s="145"/>
      <c r="T31" s="146"/>
      <c r="U31" s="132"/>
    </row>
    <row r="32" spans="1:21">
      <c r="A32" s="144">
        <v>20</v>
      </c>
      <c r="B32" s="145">
        <v>46036</v>
      </c>
      <c r="C32" s="146" t="s">
        <v>631</v>
      </c>
      <c r="D32" s="146" t="s">
        <v>601</v>
      </c>
      <c r="E32" s="146" t="s">
        <v>495</v>
      </c>
      <c r="F32" s="146" t="s">
        <v>602</v>
      </c>
      <c r="G32" s="146" t="s">
        <v>632</v>
      </c>
      <c r="H32" s="146" t="s">
        <v>520</v>
      </c>
      <c r="I32" s="145">
        <v>46036</v>
      </c>
      <c r="J32" s="145">
        <v>46036</v>
      </c>
      <c r="K32" s="144">
        <v>1</v>
      </c>
      <c r="L32" s="178">
        <v>36000</v>
      </c>
      <c r="M32" s="176">
        <v>0.23</v>
      </c>
      <c r="N32" s="178">
        <f>IFERROR(Tabela225[[#This Row],[VALOR  (R$)]]/Tabela225[[#This Row],[PRAZO
EXECUÇÃO]],0)</f>
        <v>36000</v>
      </c>
      <c r="O32" s="194" t="s">
        <v>559</v>
      </c>
      <c r="P32" s="145"/>
      <c r="Q32" s="146"/>
      <c r="R32" s="146"/>
      <c r="S32" s="145"/>
      <c r="T32" s="146"/>
      <c r="U32" s="132"/>
    </row>
    <row r="33" spans="1:21">
      <c r="A33" s="144">
        <v>2025</v>
      </c>
      <c r="B33" s="145">
        <v>46037</v>
      </c>
      <c r="C33" s="145" t="s">
        <v>730</v>
      </c>
      <c r="D33" s="146" t="s">
        <v>486</v>
      </c>
      <c r="E33" s="146" t="s">
        <v>584</v>
      </c>
      <c r="F33" s="146" t="s">
        <v>728</v>
      </c>
      <c r="G33" s="146" t="s">
        <v>729</v>
      </c>
      <c r="H33" s="146" t="s">
        <v>501</v>
      </c>
      <c r="I33" s="145">
        <v>46052</v>
      </c>
      <c r="J33" s="145">
        <v>46052</v>
      </c>
      <c r="K33" s="144">
        <v>1</v>
      </c>
      <c r="L33" s="178">
        <v>184000</v>
      </c>
      <c r="M33" s="176">
        <v>0.2</v>
      </c>
      <c r="N33" s="178">
        <f>IFERROR(Tabela225[[#This Row],[VALOR  (R$)]]/Tabela225[[#This Row],[PRAZO
EXECUÇÃO]],0)</f>
        <v>184000</v>
      </c>
      <c r="O33" s="193" t="s">
        <v>599</v>
      </c>
      <c r="P33" s="145">
        <v>46052</v>
      </c>
      <c r="Q33" s="146" t="s">
        <v>104</v>
      </c>
      <c r="R33" s="146"/>
      <c r="S33" s="145" t="s">
        <v>1039</v>
      </c>
      <c r="T33" s="146" t="s">
        <v>1042</v>
      </c>
      <c r="U33" s="132"/>
    </row>
    <row r="34" spans="1:21">
      <c r="A34" s="144">
        <v>21</v>
      </c>
      <c r="B34" s="145">
        <v>46037</v>
      </c>
      <c r="C34" s="146" t="s">
        <v>634</v>
      </c>
      <c r="D34" s="146" t="s">
        <v>595</v>
      </c>
      <c r="E34" s="146" t="s">
        <v>495</v>
      </c>
      <c r="F34" s="146" t="s">
        <v>635</v>
      </c>
      <c r="G34" s="146" t="s">
        <v>636</v>
      </c>
      <c r="H34" s="146" t="s">
        <v>520</v>
      </c>
      <c r="I34" s="145">
        <v>46037</v>
      </c>
      <c r="J34" s="145">
        <v>46037</v>
      </c>
      <c r="K34" s="144">
        <v>3</v>
      </c>
      <c r="L34" s="178">
        <v>34940</v>
      </c>
      <c r="M34" s="180">
        <v>0.22</v>
      </c>
      <c r="N34" s="178">
        <f>IFERROR(Tabela225[[#This Row],[VALOR  (R$)]]/Tabela225[[#This Row],[PRAZO
EXECUÇÃO]],0)</f>
        <v>11646.666666666666</v>
      </c>
      <c r="O34" s="194" t="s">
        <v>559</v>
      </c>
      <c r="P34" s="145"/>
      <c r="Q34" s="146"/>
      <c r="R34" s="146"/>
      <c r="S34" s="145"/>
      <c r="T34" s="146"/>
      <c r="U34" s="132"/>
    </row>
    <row r="35" spans="1:21">
      <c r="A35" s="144">
        <v>22</v>
      </c>
      <c r="B35" s="145">
        <v>46037</v>
      </c>
      <c r="C35" s="146" t="s">
        <v>637</v>
      </c>
      <c r="D35" s="146" t="s">
        <v>569</v>
      </c>
      <c r="E35" s="146" t="s">
        <v>584</v>
      </c>
      <c r="F35" s="146" t="s">
        <v>657</v>
      </c>
      <c r="G35" s="146" t="s">
        <v>638</v>
      </c>
      <c r="H35" s="146" t="s">
        <v>520</v>
      </c>
      <c r="I35" s="145">
        <v>46037</v>
      </c>
      <c r="J35" s="145">
        <v>46037</v>
      </c>
      <c r="K35" s="144">
        <v>15</v>
      </c>
      <c r="L35" s="178">
        <v>319960.09999999998</v>
      </c>
      <c r="M35" s="176">
        <v>0.22</v>
      </c>
      <c r="N35" s="178">
        <f>IFERROR(Tabela225[[#This Row],[VALOR  (R$)]]/Tabela225[[#This Row],[PRAZO
EXECUÇÃO]],0)</f>
        <v>21330.673333333332</v>
      </c>
      <c r="O35" s="194" t="s">
        <v>504</v>
      </c>
      <c r="P35" s="145"/>
      <c r="Q35" s="146"/>
      <c r="R35" s="146"/>
      <c r="S35" s="145"/>
      <c r="T35" s="146"/>
      <c r="U35" s="132"/>
    </row>
    <row r="36" spans="1:21">
      <c r="A36" s="144">
        <v>23</v>
      </c>
      <c r="B36" s="145">
        <v>46038</v>
      </c>
      <c r="C36" s="146" t="s">
        <v>639</v>
      </c>
      <c r="D36" s="146" t="s">
        <v>469</v>
      </c>
      <c r="E36" s="146" t="s">
        <v>584</v>
      </c>
      <c r="F36" s="146" t="s">
        <v>640</v>
      </c>
      <c r="G36" s="146" t="s">
        <v>641</v>
      </c>
      <c r="H36" s="146" t="s">
        <v>520</v>
      </c>
      <c r="I36" s="145">
        <v>46038</v>
      </c>
      <c r="J36" s="145">
        <v>46038</v>
      </c>
      <c r="K36" s="144">
        <v>12</v>
      </c>
      <c r="L36" s="178">
        <v>228643.51</v>
      </c>
      <c r="M36" s="176">
        <v>0.21</v>
      </c>
      <c r="N36" s="178">
        <f>IFERROR(Tabela225[[#This Row],[VALOR  (R$)]]/Tabela225[[#This Row],[PRAZO
EXECUÇÃO]],0)</f>
        <v>19053.625833333335</v>
      </c>
      <c r="O36" s="194" t="s">
        <v>559</v>
      </c>
      <c r="P36" s="145"/>
      <c r="Q36" s="146"/>
      <c r="R36" s="146"/>
      <c r="S36" s="145"/>
      <c r="T36" s="146"/>
      <c r="U36" s="132"/>
    </row>
    <row r="37" spans="1:21">
      <c r="A37" s="144">
        <v>24</v>
      </c>
      <c r="B37" s="145">
        <v>46038</v>
      </c>
      <c r="C37" s="146" t="s">
        <v>642</v>
      </c>
      <c r="D37" s="146" t="s">
        <v>394</v>
      </c>
      <c r="E37" s="146" t="s">
        <v>495</v>
      </c>
      <c r="F37" s="146" t="s">
        <v>643</v>
      </c>
      <c r="G37" s="146" t="s">
        <v>644</v>
      </c>
      <c r="H37" s="146" t="s">
        <v>520</v>
      </c>
      <c r="I37" s="145">
        <v>46038</v>
      </c>
      <c r="J37" s="145">
        <v>46038</v>
      </c>
      <c r="K37" s="144">
        <v>6</v>
      </c>
      <c r="L37" s="178">
        <v>199925</v>
      </c>
      <c r="M37" s="176">
        <v>0.2</v>
      </c>
      <c r="N37" s="178">
        <f>IFERROR(Tabela225[[#This Row],[VALOR  (R$)]]/Tabela225[[#This Row],[PRAZO
EXECUÇÃO]],0)</f>
        <v>33320.833333333336</v>
      </c>
      <c r="O37" s="194" t="s">
        <v>599</v>
      </c>
      <c r="P37" s="145">
        <v>46043</v>
      </c>
      <c r="Q37" s="146">
        <v>19698</v>
      </c>
      <c r="R37" s="146"/>
      <c r="S37" s="145" t="s">
        <v>1039</v>
      </c>
      <c r="T37" s="146" t="s">
        <v>1042</v>
      </c>
      <c r="U37" s="132"/>
    </row>
    <row r="38" spans="1:21">
      <c r="A38" s="144">
        <v>25</v>
      </c>
      <c r="B38" s="145">
        <v>46038</v>
      </c>
      <c r="C38" s="146" t="s">
        <v>645</v>
      </c>
      <c r="D38" s="146" t="s">
        <v>486</v>
      </c>
      <c r="E38" s="146" t="s">
        <v>584</v>
      </c>
      <c r="F38" s="146" t="s">
        <v>646</v>
      </c>
      <c r="G38" s="146" t="s">
        <v>647</v>
      </c>
      <c r="H38" s="146" t="s">
        <v>520</v>
      </c>
      <c r="I38" s="145">
        <v>46041</v>
      </c>
      <c r="J38" s="145">
        <v>46041</v>
      </c>
      <c r="K38" s="144">
        <v>13</v>
      </c>
      <c r="L38" s="178">
        <v>224280</v>
      </c>
      <c r="M38" s="176">
        <v>0.24</v>
      </c>
      <c r="N38" s="178">
        <f>IFERROR(Tabela225[[#This Row],[VALOR  (R$)]]/Tabela225[[#This Row],[PRAZO
EXECUÇÃO]],0)</f>
        <v>17252.307692307691</v>
      </c>
      <c r="O38" s="194" t="s">
        <v>559</v>
      </c>
      <c r="P38" s="145"/>
      <c r="Q38" s="146"/>
      <c r="R38" s="146"/>
      <c r="S38" s="145"/>
      <c r="T38" s="146"/>
      <c r="U38" s="132"/>
    </row>
    <row r="39" spans="1:21">
      <c r="A39" s="144">
        <v>26</v>
      </c>
      <c r="B39" s="145">
        <v>46041</v>
      </c>
      <c r="C39" s="146" t="s">
        <v>658</v>
      </c>
      <c r="D39" s="146" t="s">
        <v>486</v>
      </c>
      <c r="E39" s="146" t="s">
        <v>584</v>
      </c>
      <c r="F39" s="146" t="s">
        <v>659</v>
      </c>
      <c r="G39" s="146" t="s">
        <v>660</v>
      </c>
      <c r="H39" s="146" t="s">
        <v>520</v>
      </c>
      <c r="I39" s="145">
        <v>46045</v>
      </c>
      <c r="J39" s="145">
        <v>46045</v>
      </c>
      <c r="K39" s="144">
        <v>1</v>
      </c>
      <c r="L39" s="178">
        <v>45490</v>
      </c>
      <c r="M39" s="176">
        <v>0.24</v>
      </c>
      <c r="N39" s="178">
        <f>IFERROR(Tabela225[[#This Row],[VALOR  (R$)]]/Tabela225[[#This Row],[PRAZO
EXECUÇÃO]],0)</f>
        <v>45490</v>
      </c>
      <c r="O39" s="194" t="s">
        <v>559</v>
      </c>
      <c r="P39" s="145"/>
      <c r="Q39" s="146"/>
      <c r="R39" s="146"/>
      <c r="S39" s="145"/>
      <c r="T39" s="146"/>
      <c r="U39" s="132"/>
    </row>
    <row r="40" spans="1:21">
      <c r="A40" s="144">
        <v>27</v>
      </c>
      <c r="B40" s="145">
        <v>46043</v>
      </c>
      <c r="C40" s="146" t="s">
        <v>661</v>
      </c>
      <c r="D40" s="146" t="s">
        <v>486</v>
      </c>
      <c r="E40" s="146" t="s">
        <v>584</v>
      </c>
      <c r="F40" s="146" t="s">
        <v>662</v>
      </c>
      <c r="G40" s="146" t="s">
        <v>663</v>
      </c>
      <c r="H40" s="146" t="s">
        <v>520</v>
      </c>
      <c r="I40" s="145">
        <v>46052</v>
      </c>
      <c r="J40" s="145">
        <v>46052</v>
      </c>
      <c r="K40" s="144">
        <v>5</v>
      </c>
      <c r="L40" s="178">
        <v>119200</v>
      </c>
      <c r="M40" s="176">
        <v>0.23</v>
      </c>
      <c r="N40" s="178">
        <f>IFERROR(Tabela225[[#This Row],[VALOR  (R$)]]/Tabela225[[#This Row],[PRAZO
EXECUÇÃO]],0)</f>
        <v>23840</v>
      </c>
      <c r="O40" s="194" t="s">
        <v>559</v>
      </c>
      <c r="P40" s="145"/>
      <c r="Q40" s="146"/>
      <c r="R40" s="146"/>
      <c r="S40" s="145"/>
      <c r="T40" s="146"/>
      <c r="U40" s="132"/>
    </row>
    <row r="41" spans="1:21">
      <c r="A41" s="144">
        <v>28</v>
      </c>
      <c r="B41" s="145">
        <v>46044</v>
      </c>
      <c r="C41" s="146" t="s">
        <v>664</v>
      </c>
      <c r="D41" s="146" t="s">
        <v>486</v>
      </c>
      <c r="E41" s="146" t="s">
        <v>584</v>
      </c>
      <c r="F41" s="146" t="s">
        <v>665</v>
      </c>
      <c r="G41" s="146" t="s">
        <v>671</v>
      </c>
      <c r="H41" s="146" t="s">
        <v>520</v>
      </c>
      <c r="I41" s="145">
        <v>46050</v>
      </c>
      <c r="J41" s="145">
        <v>46044</v>
      </c>
      <c r="K41" s="144">
        <v>2</v>
      </c>
      <c r="L41" s="178">
        <v>49900</v>
      </c>
      <c r="M41" s="176">
        <v>0.24</v>
      </c>
      <c r="N41" s="178">
        <f>IFERROR(Tabela225[[#This Row],[VALOR  (R$)]]/Tabela225[[#This Row],[PRAZO
EXECUÇÃO]],0)</f>
        <v>24950</v>
      </c>
      <c r="O41" s="194" t="s">
        <v>559</v>
      </c>
      <c r="P41" s="145"/>
      <c r="Q41" s="146"/>
      <c r="R41" s="146"/>
      <c r="S41" s="145"/>
      <c r="T41" s="146"/>
      <c r="U41" s="132"/>
    </row>
    <row r="42" spans="1:21">
      <c r="A42" s="144">
        <v>29</v>
      </c>
      <c r="B42" s="145">
        <v>46044</v>
      </c>
      <c r="C42" s="146" t="s">
        <v>672</v>
      </c>
      <c r="D42" s="146" t="s">
        <v>589</v>
      </c>
      <c r="E42" s="146" t="s">
        <v>495</v>
      </c>
      <c r="F42" s="146" t="s">
        <v>590</v>
      </c>
      <c r="G42" s="146" t="s">
        <v>673</v>
      </c>
      <c r="H42" s="146" t="s">
        <v>520</v>
      </c>
      <c r="I42" s="145">
        <v>46044</v>
      </c>
      <c r="J42" s="145">
        <v>46044</v>
      </c>
      <c r="K42" s="144">
        <v>1</v>
      </c>
      <c r="L42" s="178">
        <v>15000</v>
      </c>
      <c r="M42" s="176">
        <v>0.22</v>
      </c>
      <c r="N42" s="178">
        <f>IFERROR(Tabela225[[#This Row],[VALOR  (R$)]]/Tabela225[[#This Row],[PRAZO
EXECUÇÃO]],0)</f>
        <v>15000</v>
      </c>
      <c r="O42" s="194" t="s">
        <v>559</v>
      </c>
      <c r="P42" s="145"/>
      <c r="Q42" s="146"/>
      <c r="R42" s="146"/>
      <c r="S42" s="145"/>
      <c r="T42" s="146"/>
      <c r="U42" s="132"/>
    </row>
    <row r="43" spans="1:21">
      <c r="A43" s="144">
        <v>30</v>
      </c>
      <c r="B43" s="145">
        <v>46044</v>
      </c>
      <c r="C43" s="146" t="s">
        <v>674</v>
      </c>
      <c r="D43" s="146" t="s">
        <v>675</v>
      </c>
      <c r="E43" s="146" t="s">
        <v>495</v>
      </c>
      <c r="F43" s="146" t="s">
        <v>623</v>
      </c>
      <c r="G43" s="146" t="s">
        <v>676</v>
      </c>
      <c r="H43" s="146" t="s">
        <v>520</v>
      </c>
      <c r="I43" s="145">
        <v>46044</v>
      </c>
      <c r="J43" s="145">
        <v>46044</v>
      </c>
      <c r="K43" s="144">
        <v>7</v>
      </c>
      <c r="L43" s="178">
        <f>27430.2+39190.2+7350+10290+4410</f>
        <v>88670.399999999994</v>
      </c>
      <c r="M43" s="176">
        <v>0.2</v>
      </c>
      <c r="N43" s="178">
        <f>IFERROR(Tabela225[[#This Row],[VALOR  (R$)]]/Tabela225[[#This Row],[PRAZO
EXECUÇÃO]],0)</f>
        <v>12667.199999999999</v>
      </c>
      <c r="O43" s="194" t="s">
        <v>599</v>
      </c>
      <c r="P43" s="145">
        <v>46050</v>
      </c>
      <c r="Q43" s="146">
        <v>19825</v>
      </c>
      <c r="R43" s="146"/>
      <c r="S43" s="145" t="s">
        <v>1039</v>
      </c>
      <c r="T43" s="146" t="s">
        <v>1042</v>
      </c>
      <c r="U43" s="132"/>
    </row>
    <row r="44" spans="1:21">
      <c r="A44" s="144">
        <v>31</v>
      </c>
      <c r="B44" s="145">
        <v>46048</v>
      </c>
      <c r="C44" s="146" t="s">
        <v>686</v>
      </c>
      <c r="D44" s="146" t="s">
        <v>486</v>
      </c>
      <c r="E44" s="146" t="s">
        <v>584</v>
      </c>
      <c r="F44" s="146" t="s">
        <v>687</v>
      </c>
      <c r="G44" s="146" t="s">
        <v>688</v>
      </c>
      <c r="H44" s="146" t="s">
        <v>520</v>
      </c>
      <c r="I44" s="145">
        <v>46050</v>
      </c>
      <c r="J44" s="145" t="s">
        <v>704</v>
      </c>
      <c r="K44" s="144">
        <v>10</v>
      </c>
      <c r="L44" s="178">
        <v>163200</v>
      </c>
      <c r="M44" s="176">
        <v>0.23</v>
      </c>
      <c r="N44" s="178">
        <f>IFERROR(Tabela225[[#This Row],[VALOR  (R$)]]/Tabela225[[#This Row],[PRAZO
EXECUÇÃO]],0)</f>
        <v>16320</v>
      </c>
      <c r="O44" s="194" t="s">
        <v>559</v>
      </c>
      <c r="P44" s="145"/>
      <c r="Q44" s="146"/>
      <c r="R44" s="146"/>
      <c r="S44" s="145"/>
      <c r="T44" s="146"/>
      <c r="U44" s="132"/>
    </row>
    <row r="45" spans="1:21">
      <c r="A45" s="144">
        <v>32</v>
      </c>
      <c r="B45" s="145">
        <v>46048</v>
      </c>
      <c r="C45" s="146" t="s">
        <v>677</v>
      </c>
      <c r="D45" s="146" t="s">
        <v>486</v>
      </c>
      <c r="E45" s="146" t="s">
        <v>584</v>
      </c>
      <c r="F45" s="146" t="s">
        <v>678</v>
      </c>
      <c r="G45" s="146" t="s">
        <v>679</v>
      </c>
      <c r="H45" s="146" t="s">
        <v>520</v>
      </c>
      <c r="I45" s="145">
        <v>46052</v>
      </c>
      <c r="J45" s="145">
        <v>46050</v>
      </c>
      <c r="K45" s="144">
        <v>7</v>
      </c>
      <c r="L45" s="178">
        <v>120990</v>
      </c>
      <c r="M45" s="176">
        <v>0.23</v>
      </c>
      <c r="N45" s="178">
        <f>IFERROR(Tabela225[[#This Row],[VALOR  (R$)]]/Tabela225[[#This Row],[PRAZO
EXECUÇÃO]],0)</f>
        <v>17284.285714285714</v>
      </c>
      <c r="O45" s="194" t="s">
        <v>559</v>
      </c>
      <c r="P45" s="145"/>
      <c r="Q45" s="146"/>
      <c r="R45" s="146"/>
      <c r="S45" s="145"/>
      <c r="T45" s="146"/>
      <c r="U45" s="132"/>
    </row>
    <row r="46" spans="1:21">
      <c r="A46" s="144">
        <v>33</v>
      </c>
      <c r="B46" s="145">
        <v>46048</v>
      </c>
      <c r="C46" s="146" t="s">
        <v>680</v>
      </c>
      <c r="D46" s="146" t="s">
        <v>486</v>
      </c>
      <c r="E46" s="146" t="s">
        <v>584</v>
      </c>
      <c r="F46" s="146" t="s">
        <v>681</v>
      </c>
      <c r="G46" s="146" t="s">
        <v>682</v>
      </c>
      <c r="H46" s="146" t="s">
        <v>520</v>
      </c>
      <c r="I46" s="145">
        <v>46051</v>
      </c>
      <c r="J46" s="145">
        <v>46051</v>
      </c>
      <c r="K46" s="144">
        <v>15</v>
      </c>
      <c r="L46" s="178">
        <v>232700</v>
      </c>
      <c r="M46" s="180">
        <v>0.23</v>
      </c>
      <c r="N46" s="178">
        <f>IFERROR(Tabela225[[#This Row],[VALOR  (R$)]]/Tabela225[[#This Row],[PRAZO
EXECUÇÃO]],0)</f>
        <v>15513.333333333334</v>
      </c>
      <c r="O46" s="194" t="s">
        <v>559</v>
      </c>
      <c r="P46" s="145"/>
      <c r="Q46" s="146"/>
      <c r="R46" s="146"/>
      <c r="S46" s="145"/>
      <c r="T46" s="146"/>
      <c r="U46" s="132"/>
    </row>
    <row r="47" spans="1:21">
      <c r="A47" s="144">
        <v>34</v>
      </c>
      <c r="B47" s="145">
        <v>46049</v>
      </c>
      <c r="C47" s="146" t="s">
        <v>683</v>
      </c>
      <c r="D47" s="146" t="s">
        <v>486</v>
      </c>
      <c r="E47" s="146" t="s">
        <v>584</v>
      </c>
      <c r="F47" s="146" t="s">
        <v>684</v>
      </c>
      <c r="G47" s="146" t="s">
        <v>685</v>
      </c>
      <c r="H47" s="146" t="s">
        <v>520</v>
      </c>
      <c r="I47" s="145">
        <v>46051</v>
      </c>
      <c r="J47" s="145">
        <v>46049</v>
      </c>
      <c r="K47" s="144">
        <v>10</v>
      </c>
      <c r="L47" s="178">
        <v>123380</v>
      </c>
      <c r="M47" s="180">
        <v>0.22</v>
      </c>
      <c r="N47" s="178">
        <f>IFERROR(Tabela225[[#This Row],[VALOR  (R$)]]/Tabela225[[#This Row],[PRAZO
EXECUÇÃO]],0)</f>
        <v>12338</v>
      </c>
      <c r="O47" s="194" t="s">
        <v>559</v>
      </c>
      <c r="P47" s="145"/>
      <c r="Q47" s="146"/>
      <c r="R47" s="146"/>
      <c r="S47" s="145"/>
      <c r="T47" s="146"/>
      <c r="U47" s="132"/>
    </row>
    <row r="48" spans="1:21">
      <c r="A48" s="144">
        <v>35</v>
      </c>
      <c r="B48" s="145">
        <v>46049</v>
      </c>
      <c r="C48" s="146" t="s">
        <v>689</v>
      </c>
      <c r="D48" s="146" t="s">
        <v>394</v>
      </c>
      <c r="E48" s="146" t="s">
        <v>495</v>
      </c>
      <c r="F48" s="146" t="s">
        <v>690</v>
      </c>
      <c r="G48" s="146" t="s">
        <v>817</v>
      </c>
      <c r="H48" s="146" t="s">
        <v>501</v>
      </c>
      <c r="I48" s="145">
        <v>46049</v>
      </c>
      <c r="J48" s="145">
        <v>46049</v>
      </c>
      <c r="K48" s="144">
        <v>1</v>
      </c>
      <c r="L48" s="178">
        <f>14487+6000</f>
        <v>20487</v>
      </c>
      <c r="M48" s="176">
        <v>0.2</v>
      </c>
      <c r="N48" s="178">
        <f>IFERROR(Tabela225[[#This Row],[VALOR  (R$)]]/Tabela225[[#This Row],[PRAZO
EXECUÇÃO]],0)</f>
        <v>20487</v>
      </c>
      <c r="O48" s="194" t="s">
        <v>599</v>
      </c>
      <c r="P48" s="145">
        <v>46065</v>
      </c>
      <c r="Q48" s="146">
        <v>19698</v>
      </c>
      <c r="R48" s="146"/>
      <c r="S48" s="145"/>
      <c r="T48" s="146" t="s">
        <v>1042</v>
      </c>
      <c r="U48" s="132"/>
    </row>
    <row r="49" spans="1:21">
      <c r="A49" s="144">
        <v>36</v>
      </c>
      <c r="B49" s="145">
        <v>46049</v>
      </c>
      <c r="C49" s="146" t="s">
        <v>691</v>
      </c>
      <c r="D49" s="146" t="s">
        <v>486</v>
      </c>
      <c r="E49" s="146" t="s">
        <v>584</v>
      </c>
      <c r="F49" s="146" t="s">
        <v>692</v>
      </c>
      <c r="G49" s="146" t="s">
        <v>693</v>
      </c>
      <c r="H49" s="146" t="s">
        <v>520</v>
      </c>
      <c r="I49" s="145">
        <v>46049</v>
      </c>
      <c r="J49" s="145">
        <v>46049</v>
      </c>
      <c r="K49" s="144">
        <v>8</v>
      </c>
      <c r="L49" s="178">
        <v>168900</v>
      </c>
      <c r="M49" s="176">
        <v>0.21</v>
      </c>
      <c r="N49" s="178">
        <f>IFERROR(Tabela225[[#This Row],[VALOR  (R$)]]/Tabela225[[#This Row],[PRAZO
EXECUÇÃO]],0)</f>
        <v>21112.5</v>
      </c>
      <c r="O49" s="194" t="s">
        <v>559</v>
      </c>
      <c r="P49" s="145"/>
      <c r="Q49" s="146"/>
      <c r="R49" s="146"/>
      <c r="S49" s="145"/>
      <c r="T49" s="146"/>
      <c r="U49" s="132"/>
    </row>
    <row r="50" spans="1:21">
      <c r="A50" s="144">
        <v>37</v>
      </c>
      <c r="B50" s="145">
        <v>46049</v>
      </c>
      <c r="C50" s="146" t="s">
        <v>694</v>
      </c>
      <c r="D50" s="146" t="s">
        <v>486</v>
      </c>
      <c r="E50" s="146" t="s">
        <v>584</v>
      </c>
      <c r="F50" s="146" t="s">
        <v>695</v>
      </c>
      <c r="G50" s="146" t="s">
        <v>696</v>
      </c>
      <c r="H50" s="146" t="s">
        <v>520</v>
      </c>
      <c r="I50" s="145">
        <v>46055</v>
      </c>
      <c r="J50" s="145">
        <v>46055</v>
      </c>
      <c r="K50" s="144">
        <f>12*3</f>
        <v>36</v>
      </c>
      <c r="L50" s="178">
        <v>517740</v>
      </c>
      <c r="M50" s="176">
        <v>0.22</v>
      </c>
      <c r="N50" s="178">
        <f>IFERROR(Tabela225[[#This Row],[VALOR  (R$)]]/Tabela225[[#This Row],[PRAZO
EXECUÇÃO]],0)</f>
        <v>14381.666666666666</v>
      </c>
      <c r="O50" s="194" t="s">
        <v>559</v>
      </c>
      <c r="P50" s="145"/>
      <c r="Q50" s="146"/>
      <c r="R50" s="146"/>
      <c r="S50" s="145"/>
      <c r="T50" s="146"/>
      <c r="U50" s="132"/>
    </row>
    <row r="51" spans="1:21">
      <c r="A51" s="144">
        <v>38</v>
      </c>
      <c r="B51" s="145">
        <v>46050</v>
      </c>
      <c r="C51" s="146" t="s">
        <v>697</v>
      </c>
      <c r="D51" s="146" t="s">
        <v>698</v>
      </c>
      <c r="E51" s="146" t="s">
        <v>495</v>
      </c>
      <c r="F51" s="146" t="s">
        <v>699</v>
      </c>
      <c r="G51" s="146" t="s">
        <v>700</v>
      </c>
      <c r="H51" s="146" t="s">
        <v>520</v>
      </c>
      <c r="I51" s="145">
        <v>46050</v>
      </c>
      <c r="J51" s="145">
        <v>46050</v>
      </c>
      <c r="K51" s="144">
        <f>98+294+196</f>
        <v>588</v>
      </c>
      <c r="L51" s="178">
        <f>2042600+3063900+1021300</f>
        <v>6127800</v>
      </c>
      <c r="M51" s="180">
        <v>0.26</v>
      </c>
      <c r="N51" s="178">
        <f>IFERROR(Tabela225[[#This Row],[VALOR  (R$)]]/Tabela225[[#This Row],[PRAZO
EXECUÇÃO]],0)</f>
        <v>10421.428571428571</v>
      </c>
      <c r="O51" s="194" t="s">
        <v>559</v>
      </c>
      <c r="P51" s="145"/>
      <c r="Q51" s="146"/>
      <c r="R51" s="146"/>
      <c r="S51" s="145"/>
      <c r="T51" s="146"/>
      <c r="U51" s="132"/>
    </row>
    <row r="52" spans="1:21">
      <c r="A52" s="144">
        <v>39</v>
      </c>
      <c r="B52" s="145">
        <v>46050</v>
      </c>
      <c r="C52" s="146" t="s">
        <v>701</v>
      </c>
      <c r="D52" s="146" t="s">
        <v>486</v>
      </c>
      <c r="E52" s="146" t="s">
        <v>584</v>
      </c>
      <c r="F52" s="146" t="s">
        <v>702</v>
      </c>
      <c r="G52" s="146" t="s">
        <v>703</v>
      </c>
      <c r="H52" s="146" t="s">
        <v>501</v>
      </c>
      <c r="I52" s="145">
        <v>46051</v>
      </c>
      <c r="J52" s="145">
        <v>46051</v>
      </c>
      <c r="K52" s="144">
        <v>1</v>
      </c>
      <c r="L52" s="178">
        <v>49600</v>
      </c>
      <c r="M52" s="176">
        <v>0.2</v>
      </c>
      <c r="N52" s="178">
        <f>IFERROR(Tabela225[[#This Row],[VALOR  (R$)]]/Tabela225[[#This Row],[PRAZO
EXECUÇÃO]],0)</f>
        <v>49600</v>
      </c>
      <c r="O52" s="194" t="s">
        <v>599</v>
      </c>
      <c r="P52" s="145">
        <v>46118</v>
      </c>
      <c r="Q52" s="146"/>
      <c r="R52" s="146"/>
      <c r="S52" s="145" t="s">
        <v>1039</v>
      </c>
      <c r="T52" s="146" t="s">
        <v>1042</v>
      </c>
      <c r="U52" s="132"/>
    </row>
    <row r="53" spans="1:21">
      <c r="A53" s="144">
        <v>40</v>
      </c>
      <c r="B53" s="145">
        <v>46051</v>
      </c>
      <c r="C53" s="146" t="s">
        <v>705</v>
      </c>
      <c r="D53" s="146" t="s">
        <v>675</v>
      </c>
      <c r="E53" s="146" t="s">
        <v>495</v>
      </c>
      <c r="F53" s="146" t="s">
        <v>706</v>
      </c>
      <c r="G53" s="146" t="s">
        <v>707</v>
      </c>
      <c r="H53" s="146" t="s">
        <v>520</v>
      </c>
      <c r="I53" s="145">
        <v>46051</v>
      </c>
      <c r="J53" s="145">
        <v>46051</v>
      </c>
      <c r="K53" s="144">
        <v>3</v>
      </c>
      <c r="L53" s="178">
        <f>16500+23800</f>
        <v>40300</v>
      </c>
      <c r="M53" s="176">
        <v>0.25</v>
      </c>
      <c r="N53" s="178">
        <f>IFERROR(Tabela225[[#This Row],[VALOR  (R$)]]/Tabela225[[#This Row],[PRAZO
EXECUÇÃO]],0)</f>
        <v>13433.333333333334</v>
      </c>
      <c r="O53" s="194" t="s">
        <v>559</v>
      </c>
      <c r="P53" s="145"/>
      <c r="Q53" s="146"/>
      <c r="R53" s="146"/>
      <c r="S53" s="145"/>
      <c r="T53" s="146"/>
      <c r="U53" s="132"/>
    </row>
    <row r="54" spans="1:21">
      <c r="A54" s="144">
        <v>41</v>
      </c>
      <c r="B54" s="145">
        <v>46051</v>
      </c>
      <c r="C54" s="146" t="s">
        <v>708</v>
      </c>
      <c r="D54" s="146" t="s">
        <v>486</v>
      </c>
      <c r="E54" s="146" t="s">
        <v>584</v>
      </c>
      <c r="F54" s="146" t="s">
        <v>711</v>
      </c>
      <c r="G54" s="146" t="s">
        <v>713</v>
      </c>
      <c r="H54" s="146" t="s">
        <v>520</v>
      </c>
      <c r="I54" s="145">
        <v>46055</v>
      </c>
      <c r="J54" s="145">
        <v>46055</v>
      </c>
      <c r="K54" s="144">
        <v>2</v>
      </c>
      <c r="L54" s="178">
        <v>220600</v>
      </c>
      <c r="M54" s="176">
        <v>0.28000000000000003</v>
      </c>
      <c r="N54" s="178">
        <f>IFERROR(Tabela225[[#This Row],[VALOR  (R$)]]/Tabela225[[#This Row],[PRAZO
EXECUÇÃO]],0)</f>
        <v>110300</v>
      </c>
      <c r="O54" s="194" t="s">
        <v>559</v>
      </c>
      <c r="P54" s="145"/>
      <c r="Q54" s="146"/>
      <c r="R54" s="146"/>
      <c r="S54" s="145"/>
      <c r="T54" s="146"/>
      <c r="U54" s="132"/>
    </row>
    <row r="55" spans="1:21">
      <c r="A55" s="144">
        <v>42</v>
      </c>
      <c r="B55" s="145">
        <v>46052</v>
      </c>
      <c r="C55" s="146" t="s">
        <v>709</v>
      </c>
      <c r="D55" s="146" t="s">
        <v>486</v>
      </c>
      <c r="E55" s="146" t="s">
        <v>584</v>
      </c>
      <c r="F55" s="146" t="s">
        <v>710</v>
      </c>
      <c r="G55" s="146" t="s">
        <v>712</v>
      </c>
      <c r="H55" s="146" t="s">
        <v>520</v>
      </c>
      <c r="I55" s="145">
        <v>46055</v>
      </c>
      <c r="J55" s="145">
        <v>46055</v>
      </c>
      <c r="K55" s="144">
        <v>2</v>
      </c>
      <c r="L55" s="178">
        <v>44200</v>
      </c>
      <c r="M55" s="176">
        <v>0.25</v>
      </c>
      <c r="N55" s="178">
        <f>IFERROR(Tabela225[[#This Row],[VALOR  (R$)]]/Tabela225[[#This Row],[PRAZO
EXECUÇÃO]],0)</f>
        <v>22100</v>
      </c>
      <c r="O55" s="194" t="s">
        <v>559</v>
      </c>
      <c r="P55" s="145"/>
      <c r="Q55" s="146"/>
      <c r="R55" s="146"/>
      <c r="S55" s="145"/>
      <c r="T55" s="146"/>
      <c r="U55" s="132"/>
    </row>
    <row r="56" spans="1:21">
      <c r="A56" s="144">
        <v>43</v>
      </c>
      <c r="B56" s="145">
        <v>46052</v>
      </c>
      <c r="C56" s="146" t="s">
        <v>717</v>
      </c>
      <c r="D56" s="146" t="s">
        <v>570</v>
      </c>
      <c r="E56" s="146" t="s">
        <v>584</v>
      </c>
      <c r="F56" s="146" t="s">
        <v>715</v>
      </c>
      <c r="G56" s="146" t="s">
        <v>716</v>
      </c>
      <c r="H56" s="146" t="s">
        <v>520</v>
      </c>
      <c r="I56" s="145">
        <v>46086</v>
      </c>
      <c r="J56" s="145">
        <v>46058</v>
      </c>
      <c r="K56" s="144">
        <v>18</v>
      </c>
      <c r="L56" s="178">
        <v>406162</v>
      </c>
      <c r="M56" s="176">
        <v>0.23</v>
      </c>
      <c r="N56" s="178">
        <f>IFERROR(Tabela225[[#This Row],[VALOR  (R$)]]/Tabela225[[#This Row],[PRAZO
EXECUÇÃO]],0)</f>
        <v>22564.555555555555</v>
      </c>
      <c r="O56" s="194" t="s">
        <v>504</v>
      </c>
      <c r="P56" s="145"/>
      <c r="Q56" s="146"/>
      <c r="R56" s="146"/>
      <c r="S56" s="145"/>
      <c r="T56" s="146"/>
      <c r="U56" s="132"/>
    </row>
    <row r="57" spans="1:21">
      <c r="A57" s="144">
        <v>44</v>
      </c>
      <c r="B57" s="145">
        <v>46052</v>
      </c>
      <c r="C57" s="146" t="s">
        <v>714</v>
      </c>
      <c r="D57" s="132" t="s">
        <v>718</v>
      </c>
      <c r="E57" s="146" t="s">
        <v>584</v>
      </c>
      <c r="F57" s="146" t="s">
        <v>629</v>
      </c>
      <c r="G57" s="146" t="s">
        <v>1446</v>
      </c>
      <c r="H57" s="146" t="s">
        <v>520</v>
      </c>
      <c r="I57" s="145">
        <v>46055</v>
      </c>
      <c r="J57" s="145">
        <v>46055</v>
      </c>
      <c r="K57" s="144">
        <v>48</v>
      </c>
      <c r="L57" s="178">
        <v>735540</v>
      </c>
      <c r="M57" s="176">
        <v>0.25</v>
      </c>
      <c r="N57" s="178">
        <f>IFERROR(Tabela225[[#This Row],[VALOR  (R$)]]/Tabela225[[#This Row],[PRAZO
EXECUÇÃO]],0)</f>
        <v>15323.75</v>
      </c>
      <c r="O57" s="194" t="s">
        <v>559</v>
      </c>
      <c r="P57" s="145"/>
      <c r="Q57" s="146"/>
      <c r="R57" s="146"/>
      <c r="S57" s="145"/>
      <c r="T57" s="146"/>
      <c r="U57" s="132"/>
    </row>
    <row r="58" spans="1:21">
      <c r="A58" s="144">
        <v>45</v>
      </c>
      <c r="B58" s="145">
        <v>46052</v>
      </c>
      <c r="C58" s="145" t="s">
        <v>719</v>
      </c>
      <c r="D58" s="145" t="s">
        <v>720</v>
      </c>
      <c r="E58" s="146" t="s">
        <v>584</v>
      </c>
      <c r="F58" s="146" t="s">
        <v>724</v>
      </c>
      <c r="G58" s="146" t="s">
        <v>721</v>
      </c>
      <c r="H58" s="146" t="s">
        <v>520</v>
      </c>
      <c r="I58" s="145">
        <v>46056</v>
      </c>
      <c r="J58" s="145"/>
      <c r="K58" s="144"/>
      <c r="L58" s="178"/>
      <c r="M58" s="176"/>
      <c r="N58" s="178">
        <f>IFERROR(Tabela225[[#This Row],[VALOR  (R$)]]/Tabela225[[#This Row],[PRAZO
EXECUÇÃO]],0)</f>
        <v>0</v>
      </c>
      <c r="O58" s="194" t="s">
        <v>525</v>
      </c>
      <c r="P58" s="145"/>
      <c r="Q58" s="146"/>
      <c r="R58" s="146"/>
      <c r="S58" s="145"/>
      <c r="T58" s="146"/>
      <c r="U58" s="132"/>
    </row>
    <row r="59" spans="1:21">
      <c r="A59" s="144">
        <v>46</v>
      </c>
      <c r="B59" s="145">
        <v>46055</v>
      </c>
      <c r="C59" s="145" t="s">
        <v>722</v>
      </c>
      <c r="D59" s="145" t="s">
        <v>486</v>
      </c>
      <c r="E59" s="146" t="s">
        <v>584</v>
      </c>
      <c r="F59" s="146" t="s">
        <v>605</v>
      </c>
      <c r="G59" s="146" t="s">
        <v>723</v>
      </c>
      <c r="H59" s="146" t="s">
        <v>520</v>
      </c>
      <c r="I59" s="145">
        <v>46055</v>
      </c>
      <c r="J59" s="145"/>
      <c r="K59" s="144"/>
      <c r="L59" s="178"/>
      <c r="M59" s="176"/>
      <c r="N59" s="178">
        <f>IFERROR(Tabela225[[#This Row],[VALOR  (R$)]]/Tabela225[[#This Row],[PRAZO
EXECUÇÃO]],0)</f>
        <v>0</v>
      </c>
      <c r="O59" s="194" t="s">
        <v>525</v>
      </c>
      <c r="P59" s="145"/>
      <c r="Q59" s="146"/>
      <c r="R59" s="146"/>
      <c r="S59" s="145"/>
      <c r="T59" s="146"/>
      <c r="U59" s="132"/>
    </row>
    <row r="60" spans="1:21">
      <c r="A60" s="144">
        <v>47</v>
      </c>
      <c r="B60" s="145">
        <v>46056</v>
      </c>
      <c r="C60" s="146" t="s">
        <v>754</v>
      </c>
      <c r="D60" s="145" t="s">
        <v>486</v>
      </c>
      <c r="E60" s="146" t="s">
        <v>584</v>
      </c>
      <c r="F60" s="146" t="s">
        <v>755</v>
      </c>
      <c r="G60" s="146" t="s">
        <v>756</v>
      </c>
      <c r="H60" s="146" t="s">
        <v>501</v>
      </c>
      <c r="I60" s="145">
        <v>46056</v>
      </c>
      <c r="J60" s="145">
        <v>46056</v>
      </c>
      <c r="K60" s="144">
        <v>1</v>
      </c>
      <c r="L60" s="178">
        <v>14400</v>
      </c>
      <c r="M60" s="176">
        <v>0.26</v>
      </c>
      <c r="N60" s="178">
        <f>IFERROR(Tabela225[[#This Row],[VALOR  (R$)]]/Tabela225[[#This Row],[PRAZO
EXECUÇÃO]],0)</f>
        <v>14400</v>
      </c>
      <c r="O60" s="194" t="s">
        <v>599</v>
      </c>
      <c r="P60" s="145">
        <v>46066</v>
      </c>
      <c r="Q60" s="146"/>
      <c r="R60" s="146"/>
      <c r="S60" s="145" t="s">
        <v>1039</v>
      </c>
      <c r="T60" s="146" t="s">
        <v>1042</v>
      </c>
      <c r="U60" s="132"/>
    </row>
    <row r="61" spans="1:21">
      <c r="A61" s="144">
        <v>58</v>
      </c>
      <c r="B61" s="145">
        <v>46056</v>
      </c>
      <c r="C61" s="145" t="s">
        <v>797</v>
      </c>
      <c r="D61" s="145" t="s">
        <v>486</v>
      </c>
      <c r="E61" s="146" t="s">
        <v>584</v>
      </c>
      <c r="F61" s="146" t="s">
        <v>757</v>
      </c>
      <c r="G61" s="146" t="s">
        <v>693</v>
      </c>
      <c r="H61" s="146" t="s">
        <v>520</v>
      </c>
      <c r="I61" s="145">
        <v>46059</v>
      </c>
      <c r="J61" s="145">
        <v>46056</v>
      </c>
      <c r="K61" s="144">
        <v>7</v>
      </c>
      <c r="L61" s="178">
        <v>100000</v>
      </c>
      <c r="M61" s="176">
        <v>0.21</v>
      </c>
      <c r="N61" s="178">
        <f>IFERROR(Tabela225[[#This Row],[VALOR  (R$)]]/Tabela225[[#This Row],[PRAZO
EXECUÇÃO]],0)</f>
        <v>14285.714285714286</v>
      </c>
      <c r="O61" s="194" t="s">
        <v>599</v>
      </c>
      <c r="P61" s="145">
        <v>46063</v>
      </c>
      <c r="Q61" s="146">
        <v>19986</v>
      </c>
      <c r="R61" s="146"/>
      <c r="S61" s="145"/>
      <c r="T61" s="146" t="s">
        <v>1042</v>
      </c>
      <c r="U61" s="132"/>
    </row>
    <row r="62" spans="1:21">
      <c r="A62" s="144">
        <v>48</v>
      </c>
      <c r="B62" s="145">
        <v>46057</v>
      </c>
      <c r="C62" s="145" t="s">
        <v>758</v>
      </c>
      <c r="D62" s="145" t="s">
        <v>486</v>
      </c>
      <c r="E62" s="146" t="s">
        <v>584</v>
      </c>
      <c r="F62" s="146" t="s">
        <v>759</v>
      </c>
      <c r="G62" s="146" t="s">
        <v>760</v>
      </c>
      <c r="H62" s="146" t="s">
        <v>520</v>
      </c>
      <c r="I62" s="145">
        <v>46057</v>
      </c>
      <c r="J62" s="145">
        <v>46057</v>
      </c>
      <c r="K62" s="144">
        <v>6</v>
      </c>
      <c r="L62" s="178">
        <v>120000</v>
      </c>
      <c r="M62" s="176">
        <v>0.24</v>
      </c>
      <c r="N62" s="178">
        <f>IFERROR(Tabela225[[#This Row],[VALOR  (R$)]]/Tabela225[[#This Row],[PRAZO
EXECUÇÃO]],0)</f>
        <v>20000</v>
      </c>
      <c r="O62" s="194" t="s">
        <v>559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761</v>
      </c>
      <c r="D63" s="146" t="s">
        <v>524</v>
      </c>
      <c r="E63" s="146" t="s">
        <v>495</v>
      </c>
      <c r="F63" s="146" t="s">
        <v>762</v>
      </c>
      <c r="G63" s="146" t="s">
        <v>763</v>
      </c>
      <c r="H63" s="146" t="s">
        <v>520</v>
      </c>
      <c r="I63" s="145">
        <v>46058</v>
      </c>
      <c r="J63" s="145">
        <v>46058</v>
      </c>
      <c r="K63" s="144">
        <v>39</v>
      </c>
      <c r="L63" s="178">
        <v>449900</v>
      </c>
      <c r="M63" s="181">
        <v>0.26</v>
      </c>
      <c r="N63" s="178">
        <f>IFERROR(Tabela225[[#This Row],[VALOR  (R$)]]/Tabela225[[#This Row],[PRAZO
EXECUÇÃO]],0)</f>
        <v>11535.897435897436</v>
      </c>
      <c r="O63" s="194" t="s">
        <v>504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764</v>
      </c>
      <c r="D64" s="145" t="s">
        <v>486</v>
      </c>
      <c r="E64" s="146" t="s">
        <v>584</v>
      </c>
      <c r="F64" s="146" t="s">
        <v>765</v>
      </c>
      <c r="G64" s="146" t="s">
        <v>766</v>
      </c>
      <c r="H64" s="146" t="s">
        <v>520</v>
      </c>
      <c r="I64" s="145">
        <v>46059</v>
      </c>
      <c r="J64" s="145">
        <v>46058</v>
      </c>
      <c r="K64" s="144">
        <v>10</v>
      </c>
      <c r="L64" s="178">
        <v>114900</v>
      </c>
      <c r="M64" s="176">
        <v>0.22</v>
      </c>
      <c r="N64" s="178">
        <f>IFERROR(Tabela225[[#This Row],[VALOR  (R$)]]/Tabela225[[#This Row],[PRAZO
EXECUÇÃO]],0)</f>
        <v>11490</v>
      </c>
      <c r="O64" s="194" t="s">
        <v>599</v>
      </c>
      <c r="P64" s="145">
        <v>46062</v>
      </c>
      <c r="Q64" s="146">
        <v>19948</v>
      </c>
      <c r="R64" s="146"/>
      <c r="S64" s="145"/>
      <c r="T64" s="146" t="s">
        <v>1042</v>
      </c>
      <c r="U64" s="132"/>
    </row>
    <row r="65" spans="1:21">
      <c r="A65" s="144">
        <v>51</v>
      </c>
      <c r="B65" s="145">
        <v>46058</v>
      </c>
      <c r="C65" s="146" t="s">
        <v>767</v>
      </c>
      <c r="D65" s="146" t="s">
        <v>486</v>
      </c>
      <c r="E65" s="146" t="s">
        <v>584</v>
      </c>
      <c r="F65" s="146" t="s">
        <v>768</v>
      </c>
      <c r="G65" s="146" t="s">
        <v>647</v>
      </c>
      <c r="H65" s="146" t="s">
        <v>520</v>
      </c>
      <c r="I65" s="145">
        <v>46062</v>
      </c>
      <c r="J65" s="145">
        <v>46058</v>
      </c>
      <c r="K65" s="144">
        <v>12</v>
      </c>
      <c r="L65" s="178">
        <v>233800</v>
      </c>
      <c r="M65" s="176">
        <v>0.21</v>
      </c>
      <c r="N65" s="178">
        <f>IFERROR(Tabela225[[#This Row],[VALOR  (R$)]]/Tabela225[[#This Row],[PRAZO
EXECUÇÃO]],0)</f>
        <v>19483.333333333332</v>
      </c>
      <c r="O65" s="194" t="s">
        <v>559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769</v>
      </c>
      <c r="D66" s="146" t="s">
        <v>486</v>
      </c>
      <c r="E66" s="146" t="s">
        <v>584</v>
      </c>
      <c r="F66" s="146" t="s">
        <v>770</v>
      </c>
      <c r="G66" s="146" t="s">
        <v>771</v>
      </c>
      <c r="H66" s="146" t="s">
        <v>520</v>
      </c>
      <c r="I66" s="145">
        <v>46062</v>
      </c>
      <c r="J66" s="145">
        <v>46058</v>
      </c>
      <c r="K66" s="144">
        <v>7</v>
      </c>
      <c r="L66" s="178">
        <v>135000</v>
      </c>
      <c r="M66" s="176">
        <v>0.21</v>
      </c>
      <c r="N66" s="178">
        <f>IFERROR(Tabela225[[#This Row],[VALOR  (R$)]]/Tabela225[[#This Row],[PRAZO
EXECUÇÃO]],0)</f>
        <v>19285.714285714286</v>
      </c>
      <c r="O66" s="194" t="s">
        <v>599</v>
      </c>
      <c r="P66" s="145">
        <v>46099</v>
      </c>
      <c r="Q66" s="146">
        <v>20371</v>
      </c>
      <c r="R66" s="146"/>
      <c r="S66" s="145"/>
      <c r="T66" s="146" t="s">
        <v>1042</v>
      </c>
      <c r="U66" s="132"/>
    </row>
    <row r="67" spans="1:21">
      <c r="A67" s="144">
        <v>53</v>
      </c>
      <c r="B67" s="145">
        <v>46058</v>
      </c>
      <c r="C67" s="146" t="s">
        <v>772</v>
      </c>
      <c r="D67" s="146" t="s">
        <v>486</v>
      </c>
      <c r="E67" s="146" t="s">
        <v>584</v>
      </c>
      <c r="F67" s="146" t="s">
        <v>773</v>
      </c>
      <c r="G67" s="146" t="s">
        <v>774</v>
      </c>
      <c r="H67" s="146" t="s">
        <v>520</v>
      </c>
      <c r="I67" s="145">
        <v>46064</v>
      </c>
      <c r="J67" s="145">
        <v>46178</v>
      </c>
      <c r="K67" s="144">
        <v>42</v>
      </c>
      <c r="L67" s="178">
        <f>184900*3</f>
        <v>554700</v>
      </c>
      <c r="M67" s="176">
        <v>0.22</v>
      </c>
      <c r="N67" s="178">
        <f>IFERROR(Tabela225[[#This Row],[VALOR  (R$)]]/Tabela225[[#This Row],[PRAZO
EXECUÇÃO]],0)</f>
        <v>13207.142857142857</v>
      </c>
      <c r="O67" s="194" t="s">
        <v>559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775</v>
      </c>
      <c r="D68" s="146" t="s">
        <v>486</v>
      </c>
      <c r="E68" s="146" t="s">
        <v>584</v>
      </c>
      <c r="F68" s="146" t="s">
        <v>776</v>
      </c>
      <c r="G68" s="146" t="s">
        <v>777</v>
      </c>
      <c r="H68" s="146" t="s">
        <v>520</v>
      </c>
      <c r="I68" s="145">
        <v>46065</v>
      </c>
      <c r="J68" s="145">
        <v>46178</v>
      </c>
      <c r="K68" s="144">
        <f>14*4</f>
        <v>56</v>
      </c>
      <c r="L68" s="178">
        <f>155900*4</f>
        <v>623600</v>
      </c>
      <c r="M68" s="176">
        <v>0.22</v>
      </c>
      <c r="N68" s="178">
        <f>IFERROR(Tabela225[[#This Row],[VALOR  (R$)]]/Tabela225[[#This Row],[PRAZO
EXECUÇÃO]],0)</f>
        <v>11135.714285714286</v>
      </c>
      <c r="O68" s="194" t="s">
        <v>559</v>
      </c>
      <c r="P68" s="145"/>
      <c r="Q68" s="146"/>
      <c r="R68" s="146"/>
      <c r="S68" s="145"/>
      <c r="T68" s="146"/>
      <c r="U68" s="132"/>
    </row>
    <row r="69" spans="1:21">
      <c r="A69" s="144">
        <v>56</v>
      </c>
      <c r="B69" s="145">
        <v>46059</v>
      </c>
      <c r="C69" s="146" t="s">
        <v>778</v>
      </c>
      <c r="D69" s="146" t="s">
        <v>779</v>
      </c>
      <c r="E69" s="146" t="s">
        <v>495</v>
      </c>
      <c r="F69" s="146" t="s">
        <v>782</v>
      </c>
      <c r="G69" s="146" t="s">
        <v>780</v>
      </c>
      <c r="H69" s="146" t="s">
        <v>520</v>
      </c>
      <c r="I69" s="145">
        <v>46065</v>
      </c>
      <c r="J69" s="145">
        <v>46059</v>
      </c>
      <c r="K69" s="144">
        <v>1</v>
      </c>
      <c r="L69" s="178">
        <f>4464+4212+4914</f>
        <v>13590</v>
      </c>
      <c r="M69" s="176">
        <v>0.22</v>
      </c>
      <c r="N69" s="178">
        <f>IFERROR(Tabela225[[#This Row],[VALOR  (R$)]]/Tabela225[[#This Row],[PRAZO
EXECUÇÃO]],0)</f>
        <v>13590</v>
      </c>
      <c r="O69" s="194" t="s">
        <v>559</v>
      </c>
      <c r="P69" s="145"/>
      <c r="Q69" s="146"/>
      <c r="R69" s="146"/>
      <c r="S69" s="145"/>
      <c r="T69" s="146"/>
      <c r="U69" s="132"/>
    </row>
    <row r="70" spans="1:21">
      <c r="A70" s="144">
        <v>57</v>
      </c>
      <c r="B70" s="145">
        <v>46059</v>
      </c>
      <c r="C70" s="146" t="s">
        <v>781</v>
      </c>
      <c r="D70" s="146" t="s">
        <v>601</v>
      </c>
      <c r="E70" s="146" t="s">
        <v>495</v>
      </c>
      <c r="F70" s="146" t="s">
        <v>783</v>
      </c>
      <c r="G70" s="146" t="s">
        <v>784</v>
      </c>
      <c r="H70" s="146" t="s">
        <v>520</v>
      </c>
      <c r="I70" s="145">
        <v>46065</v>
      </c>
      <c r="J70" s="145">
        <v>46059</v>
      </c>
      <c r="K70" s="144">
        <v>2</v>
      </c>
      <c r="L70" s="178">
        <v>66240</v>
      </c>
      <c r="M70" s="176">
        <v>0.25</v>
      </c>
      <c r="N70" s="178">
        <f>IFERROR(Tabela225[[#This Row],[VALOR  (R$)]]/Tabela225[[#This Row],[PRAZO
EXECUÇÃO]],0)</f>
        <v>33120</v>
      </c>
      <c r="O70" s="194" t="s">
        <v>559</v>
      </c>
      <c r="P70" s="145"/>
      <c r="Q70" s="146"/>
      <c r="R70" s="146"/>
      <c r="S70" s="145"/>
      <c r="T70" s="146"/>
      <c r="U70" s="132"/>
    </row>
    <row r="71" spans="1:21">
      <c r="A71" s="144">
        <v>59</v>
      </c>
      <c r="B71" s="145">
        <v>46059</v>
      </c>
      <c r="C71" s="146" t="s">
        <v>797</v>
      </c>
      <c r="D71" s="146" t="s">
        <v>486</v>
      </c>
      <c r="E71" s="146" t="s">
        <v>584</v>
      </c>
      <c r="F71" s="146" t="s">
        <v>785</v>
      </c>
      <c r="G71" s="146" t="s">
        <v>786</v>
      </c>
      <c r="H71" s="146" t="s">
        <v>520</v>
      </c>
      <c r="I71" s="145">
        <v>46062</v>
      </c>
      <c r="J71" s="145">
        <v>46062</v>
      </c>
      <c r="K71" s="144">
        <v>7</v>
      </c>
      <c r="L71" s="178">
        <v>100000</v>
      </c>
      <c r="M71" s="176">
        <v>0.21</v>
      </c>
      <c r="N71" s="178">
        <f>IFERROR(Tabela225[[#This Row],[VALOR  (R$)]]/Tabela225[[#This Row],[PRAZO
EXECUÇÃO]],0)</f>
        <v>14285.714285714286</v>
      </c>
      <c r="O71" s="194" t="s">
        <v>599</v>
      </c>
      <c r="P71" s="145">
        <v>46063</v>
      </c>
      <c r="Q71" s="146">
        <v>19986</v>
      </c>
      <c r="R71" s="146"/>
      <c r="S71" s="145"/>
      <c r="T71" s="146" t="s">
        <v>1042</v>
      </c>
      <c r="U71" s="132"/>
    </row>
    <row r="72" spans="1:21">
      <c r="A72" s="144">
        <v>60</v>
      </c>
      <c r="B72" s="145">
        <v>46059</v>
      </c>
      <c r="C72" s="146" t="s">
        <v>797</v>
      </c>
      <c r="D72" s="146" t="s">
        <v>486</v>
      </c>
      <c r="E72" s="146" t="s">
        <v>584</v>
      </c>
      <c r="F72" s="146" t="s">
        <v>787</v>
      </c>
      <c r="G72" s="146" t="s">
        <v>786</v>
      </c>
      <c r="H72" s="146" t="s">
        <v>520</v>
      </c>
      <c r="I72" s="145">
        <v>46062</v>
      </c>
      <c r="J72" s="145">
        <v>46062</v>
      </c>
      <c r="K72" s="144">
        <v>7</v>
      </c>
      <c r="L72" s="178">
        <v>100000</v>
      </c>
      <c r="M72" s="176">
        <v>0.21</v>
      </c>
      <c r="N72" s="178">
        <f>IFERROR(Tabela225[[#This Row],[VALOR  (R$)]]/Tabela225[[#This Row],[PRAZO
EXECUÇÃO]],0)</f>
        <v>14285.714285714286</v>
      </c>
      <c r="O72" s="194" t="s">
        <v>599</v>
      </c>
      <c r="P72" s="145">
        <v>46063</v>
      </c>
      <c r="Q72" s="146">
        <v>19986</v>
      </c>
      <c r="R72" s="146"/>
      <c r="S72" s="145"/>
      <c r="T72" s="146" t="s">
        <v>1042</v>
      </c>
      <c r="U72" s="132"/>
    </row>
    <row r="73" spans="1:21">
      <c r="A73" s="144">
        <v>61</v>
      </c>
      <c r="B73" s="145">
        <v>46059</v>
      </c>
      <c r="C73" s="146" t="s">
        <v>788</v>
      </c>
      <c r="D73" s="146" t="s">
        <v>486</v>
      </c>
      <c r="E73" s="146" t="s">
        <v>584</v>
      </c>
      <c r="F73" s="146" t="s">
        <v>627</v>
      </c>
      <c r="G73" s="146" t="s">
        <v>1046</v>
      </c>
      <c r="H73" s="146" t="s">
        <v>501</v>
      </c>
      <c r="I73" s="145">
        <v>46062</v>
      </c>
      <c r="J73" s="145">
        <v>46062</v>
      </c>
      <c r="K73" s="144">
        <v>1</v>
      </c>
      <c r="L73" s="178">
        <v>430000</v>
      </c>
      <c r="M73" s="176" t="s">
        <v>104</v>
      </c>
      <c r="N73" s="178">
        <f>IFERROR(Tabela225[[#This Row],[VALOR  (R$)]]/Tabela225[[#This Row],[PRAZO
EXECUÇÃO]],0)</f>
        <v>430000</v>
      </c>
      <c r="O73" s="194" t="s">
        <v>599</v>
      </c>
      <c r="P73" s="145">
        <v>46237</v>
      </c>
      <c r="Q73" s="146"/>
      <c r="R73" s="146"/>
      <c r="S73" s="145"/>
      <c r="T73" s="146" t="s">
        <v>1040</v>
      </c>
      <c r="U73" s="132"/>
    </row>
    <row r="74" spans="1:21">
      <c r="A74" s="144">
        <v>55</v>
      </c>
      <c r="B74" s="145">
        <v>46062</v>
      </c>
      <c r="C74" s="146" t="s">
        <v>798</v>
      </c>
      <c r="D74" s="146" t="s">
        <v>801</v>
      </c>
      <c r="E74" s="146" t="s">
        <v>495</v>
      </c>
      <c r="F74" s="146" t="s">
        <v>799</v>
      </c>
      <c r="G74" s="146" t="s">
        <v>800</v>
      </c>
      <c r="H74" s="146" t="s">
        <v>520</v>
      </c>
      <c r="I74" s="145">
        <v>46065</v>
      </c>
      <c r="J74" s="145"/>
      <c r="K74" s="144"/>
      <c r="L74" s="178"/>
      <c r="M74" s="176"/>
      <c r="N74" s="178">
        <f>IFERROR(Tabela225[[#This Row],[VALOR  (R$)]]/Tabela225[[#This Row],[PRAZO
EXECUÇÃO]],0)</f>
        <v>0</v>
      </c>
      <c r="O74" s="194" t="s">
        <v>559</v>
      </c>
      <c r="P74" s="145"/>
      <c r="Q74" s="146"/>
      <c r="R74" s="146"/>
      <c r="S74" s="145"/>
      <c r="T74" s="146"/>
      <c r="U74" s="132"/>
    </row>
    <row r="75" spans="1:21">
      <c r="A75" s="144">
        <v>62</v>
      </c>
      <c r="B75" s="145">
        <v>46062</v>
      </c>
      <c r="C75" s="146" t="s">
        <v>789</v>
      </c>
      <c r="D75" s="146" t="s">
        <v>486</v>
      </c>
      <c r="E75" s="146" t="s">
        <v>584</v>
      </c>
      <c r="F75" s="146" t="s">
        <v>790</v>
      </c>
      <c r="G75" s="146" t="s">
        <v>791</v>
      </c>
      <c r="H75" s="146" t="s">
        <v>520</v>
      </c>
      <c r="I75" s="145">
        <v>46062</v>
      </c>
      <c r="J75" s="145">
        <v>46062</v>
      </c>
      <c r="K75" s="144">
        <v>7</v>
      </c>
      <c r="L75" s="178">
        <v>100000</v>
      </c>
      <c r="M75" s="176">
        <v>0.2</v>
      </c>
      <c r="N75" s="178">
        <f>IFERROR(Tabela225[[#This Row],[VALOR  (R$)]]/Tabela225[[#This Row],[PRAZO
EXECUÇÃO]],0)</f>
        <v>14285.714285714286</v>
      </c>
      <c r="O75" s="194" t="s">
        <v>599</v>
      </c>
      <c r="P75" s="145">
        <v>46066</v>
      </c>
      <c r="Q75" s="146">
        <v>20034</v>
      </c>
      <c r="R75" s="146"/>
      <c r="S75" s="145"/>
      <c r="T75" s="146" t="s">
        <v>1042</v>
      </c>
      <c r="U75" s="132"/>
    </row>
    <row r="76" spans="1:21">
      <c r="A76" s="144">
        <v>63</v>
      </c>
      <c r="B76" s="145">
        <v>46062</v>
      </c>
      <c r="C76" s="146" t="s">
        <v>792</v>
      </c>
      <c r="D76" s="146" t="s">
        <v>486</v>
      </c>
      <c r="E76" s="146" t="s">
        <v>584</v>
      </c>
      <c r="F76" s="146" t="s">
        <v>793</v>
      </c>
      <c r="G76" s="146" t="s">
        <v>794</v>
      </c>
      <c r="H76" s="146" t="s">
        <v>520</v>
      </c>
      <c r="I76" s="145">
        <v>46062</v>
      </c>
      <c r="J76" s="145">
        <v>46062</v>
      </c>
      <c r="K76" s="144">
        <v>7</v>
      </c>
      <c r="L76" s="178">
        <v>100000</v>
      </c>
      <c r="M76" s="176">
        <v>0.2</v>
      </c>
      <c r="N76" s="178">
        <f>IFERROR(Tabela225[[#This Row],[VALOR  (R$)]]/Tabela225[[#This Row],[PRAZO
EXECUÇÃO]],0)</f>
        <v>14285.714285714286</v>
      </c>
      <c r="O76" s="194" t="s">
        <v>599</v>
      </c>
      <c r="P76" s="145">
        <v>46066</v>
      </c>
      <c r="Q76" s="146">
        <v>20034</v>
      </c>
      <c r="R76" s="146"/>
      <c r="S76" s="145"/>
      <c r="T76" s="146" t="s">
        <v>1042</v>
      </c>
      <c r="U76" s="132"/>
    </row>
    <row r="77" spans="1:21">
      <c r="A77" s="144">
        <v>64</v>
      </c>
      <c r="B77" s="145">
        <v>46062</v>
      </c>
      <c r="C77" s="146" t="s">
        <v>796</v>
      </c>
      <c r="D77" s="146" t="s">
        <v>486</v>
      </c>
      <c r="E77" s="146" t="s">
        <v>584</v>
      </c>
      <c r="F77" s="146" t="s">
        <v>795</v>
      </c>
      <c r="G77" s="146" t="s">
        <v>794</v>
      </c>
      <c r="H77" s="146" t="s">
        <v>520</v>
      </c>
      <c r="I77" s="145">
        <v>46062</v>
      </c>
      <c r="J77" s="145">
        <v>46062</v>
      </c>
      <c r="K77" s="144">
        <v>6</v>
      </c>
      <c r="L77" s="178">
        <v>100000</v>
      </c>
      <c r="M77" s="176">
        <v>0.2</v>
      </c>
      <c r="N77" s="178">
        <f>IFERROR(Tabela225[[#This Row],[VALOR  (R$)]]/Tabela225[[#This Row],[PRAZO
EXECUÇÃO]],0)</f>
        <v>16666.666666666668</v>
      </c>
      <c r="O77" s="194" t="s">
        <v>599</v>
      </c>
      <c r="P77" s="145">
        <v>46066</v>
      </c>
      <c r="Q77" s="146">
        <v>20034</v>
      </c>
      <c r="R77" s="146"/>
      <c r="S77" s="145"/>
      <c r="T77" s="146" t="s">
        <v>1042</v>
      </c>
      <c r="U77" s="132"/>
    </row>
    <row r="78" spans="1:21">
      <c r="A78" s="144">
        <v>65</v>
      </c>
      <c r="B78" s="145">
        <v>46062</v>
      </c>
      <c r="C78" s="146" t="s">
        <v>802</v>
      </c>
      <c r="D78" s="146" t="s">
        <v>486</v>
      </c>
      <c r="E78" s="146" t="s">
        <v>584</v>
      </c>
      <c r="F78" s="146" t="s">
        <v>803</v>
      </c>
      <c r="G78" s="146" t="s">
        <v>804</v>
      </c>
      <c r="H78" s="146" t="s">
        <v>520</v>
      </c>
      <c r="I78" s="145">
        <v>46065</v>
      </c>
      <c r="J78" s="145"/>
      <c r="K78" s="144"/>
      <c r="L78" s="178"/>
      <c r="M78" s="176"/>
      <c r="N78" s="178">
        <f>IFERROR(Tabela225[[#This Row],[VALOR  (R$)]]/Tabela225[[#This Row],[PRAZO
EXECUÇÃO]],0)</f>
        <v>0</v>
      </c>
      <c r="O78" s="194" t="s">
        <v>559</v>
      </c>
      <c r="P78" s="145"/>
      <c r="Q78" s="146"/>
      <c r="R78" s="146"/>
      <c r="S78" s="145"/>
      <c r="T78" s="146"/>
      <c r="U78" s="132"/>
    </row>
    <row r="79" spans="1:21">
      <c r="A79" s="144">
        <v>66</v>
      </c>
      <c r="B79" s="145">
        <v>46063</v>
      </c>
      <c r="C79" s="146" t="s">
        <v>805</v>
      </c>
      <c r="D79" s="146" t="s">
        <v>563</v>
      </c>
      <c r="E79" s="146" t="s">
        <v>495</v>
      </c>
      <c r="F79" s="146" t="s">
        <v>806</v>
      </c>
      <c r="G79" s="146" t="s">
        <v>807</v>
      </c>
      <c r="H79" s="146" t="s">
        <v>520</v>
      </c>
      <c r="I79" s="145">
        <v>46065</v>
      </c>
      <c r="J79" s="145">
        <v>46065</v>
      </c>
      <c r="K79" s="144">
        <v>2</v>
      </c>
      <c r="L79" s="178">
        <v>132900</v>
      </c>
      <c r="M79" s="176">
        <v>0.22</v>
      </c>
      <c r="N79" s="178">
        <f>IFERROR(Tabela225[[#This Row],[VALOR  (R$)]]/Tabela225[[#This Row],[PRAZO
EXECUÇÃO]],0)</f>
        <v>66450</v>
      </c>
      <c r="O79" s="194" t="s">
        <v>559</v>
      </c>
      <c r="P79" s="145"/>
      <c r="Q79" s="146"/>
      <c r="R79" s="146"/>
      <c r="S79" s="145"/>
      <c r="T79" s="146"/>
      <c r="U79" s="132"/>
    </row>
    <row r="80" spans="1:21">
      <c r="A80" s="144">
        <v>67</v>
      </c>
      <c r="B80" s="145">
        <v>46064</v>
      </c>
      <c r="C80" s="146" t="s">
        <v>808</v>
      </c>
      <c r="D80" s="146" t="s">
        <v>486</v>
      </c>
      <c r="E80" s="146" t="s">
        <v>584</v>
      </c>
      <c r="F80" s="146" t="s">
        <v>809</v>
      </c>
      <c r="G80" s="146" t="s">
        <v>810</v>
      </c>
      <c r="H80" s="146" t="s">
        <v>520</v>
      </c>
      <c r="I80" s="145">
        <v>46064</v>
      </c>
      <c r="J80" s="145">
        <v>46064</v>
      </c>
      <c r="K80" s="144">
        <v>7</v>
      </c>
      <c r="L80" s="178">
        <v>139900</v>
      </c>
      <c r="M80" s="176">
        <v>0.2</v>
      </c>
      <c r="N80" s="178">
        <f>IFERROR(Tabela225[[#This Row],[VALOR  (R$)]]/Tabela225[[#This Row],[PRAZO
EXECUÇÃO]],0)</f>
        <v>19985.714285714286</v>
      </c>
      <c r="O80" s="194" t="s">
        <v>559</v>
      </c>
      <c r="P80" s="145"/>
      <c r="Q80" s="146"/>
      <c r="R80" s="146"/>
      <c r="S80" s="145"/>
      <c r="T80" s="146"/>
      <c r="U80" s="132"/>
    </row>
    <row r="81" spans="1:21">
      <c r="A81" s="144">
        <v>68</v>
      </c>
      <c r="B81" s="145">
        <v>46064</v>
      </c>
      <c r="C81" s="146" t="s">
        <v>811</v>
      </c>
      <c r="D81" s="146" t="s">
        <v>486</v>
      </c>
      <c r="E81" s="146" t="s">
        <v>584</v>
      </c>
      <c r="F81" s="146" t="s">
        <v>812</v>
      </c>
      <c r="G81" s="146" t="s">
        <v>941</v>
      </c>
      <c r="H81" s="146" t="s">
        <v>520</v>
      </c>
      <c r="I81" s="145">
        <v>46064</v>
      </c>
      <c r="J81" s="145">
        <v>46064</v>
      </c>
      <c r="K81" s="144">
        <v>5</v>
      </c>
      <c r="L81" s="178">
        <v>118140</v>
      </c>
      <c r="M81" s="176">
        <v>0.25</v>
      </c>
      <c r="N81" s="178">
        <f>IFERROR(Tabela225[[#This Row],[VALOR  (R$)]]/Tabela225[[#This Row],[PRAZO
EXECUÇÃO]],0)</f>
        <v>23628</v>
      </c>
      <c r="O81" s="194" t="s">
        <v>599</v>
      </c>
      <c r="P81" s="145">
        <v>46066</v>
      </c>
      <c r="Q81" s="146">
        <v>20040</v>
      </c>
      <c r="R81" s="146"/>
      <c r="S81" s="145"/>
      <c r="T81" s="146" t="s">
        <v>1042</v>
      </c>
      <c r="U81" s="132"/>
    </row>
    <row r="82" spans="1:21">
      <c r="A82" s="144">
        <v>69</v>
      </c>
      <c r="B82" s="145">
        <v>46065</v>
      </c>
      <c r="C82" s="146" t="s">
        <v>818</v>
      </c>
      <c r="D82" s="146" t="s">
        <v>486</v>
      </c>
      <c r="E82" s="146" t="s">
        <v>584</v>
      </c>
      <c r="F82" s="146" t="s">
        <v>819</v>
      </c>
      <c r="G82" s="146" t="s">
        <v>820</v>
      </c>
      <c r="H82" s="146" t="s">
        <v>520</v>
      </c>
      <c r="I82" s="145">
        <v>46065</v>
      </c>
      <c r="J82" s="145">
        <v>46065</v>
      </c>
      <c r="K82" s="144">
        <v>5</v>
      </c>
      <c r="L82" s="178">
        <v>89900</v>
      </c>
      <c r="M82" s="176">
        <v>0.22</v>
      </c>
      <c r="N82" s="178">
        <f>IFERROR(Tabela225[[#This Row],[VALOR  (R$)]]/Tabela225[[#This Row],[PRAZO
EXECUÇÃO]],0)</f>
        <v>17980</v>
      </c>
      <c r="O82" s="194" t="s">
        <v>559</v>
      </c>
      <c r="P82" s="145"/>
      <c r="Q82" s="146"/>
      <c r="R82" s="146"/>
      <c r="S82" s="145"/>
      <c r="T82" s="146"/>
      <c r="U82" s="132"/>
    </row>
    <row r="83" spans="1:21">
      <c r="A83" s="144">
        <v>70</v>
      </c>
      <c r="B83" s="145">
        <v>46065</v>
      </c>
      <c r="C83" s="146" t="s">
        <v>821</v>
      </c>
      <c r="D83" s="146" t="s">
        <v>486</v>
      </c>
      <c r="E83" s="146" t="s">
        <v>584</v>
      </c>
      <c r="F83" s="146" t="s">
        <v>822</v>
      </c>
      <c r="G83" s="146" t="s">
        <v>823</v>
      </c>
      <c r="H83" s="146" t="s">
        <v>520</v>
      </c>
      <c r="I83" s="145">
        <v>46069</v>
      </c>
      <c r="J83" s="145">
        <v>46065</v>
      </c>
      <c r="K83" s="144">
        <v>14</v>
      </c>
      <c r="L83" s="178">
        <v>219800</v>
      </c>
      <c r="M83" s="176">
        <v>0.22</v>
      </c>
      <c r="N83" s="178">
        <f>IFERROR(Tabela225[[#This Row],[VALOR  (R$)]]/Tabela225[[#This Row],[PRAZO
EXECUÇÃO]],0)</f>
        <v>15700</v>
      </c>
      <c r="O83" s="194" t="s">
        <v>559</v>
      </c>
      <c r="P83" s="145"/>
      <c r="Q83" s="146"/>
      <c r="R83" s="146"/>
      <c r="S83" s="145"/>
      <c r="T83" s="146"/>
      <c r="U83" s="132"/>
    </row>
    <row r="84" spans="1:21">
      <c r="A84" s="144">
        <v>73</v>
      </c>
      <c r="B84" s="145">
        <v>46066</v>
      </c>
      <c r="C84" s="146" t="s">
        <v>831</v>
      </c>
      <c r="D84" s="146" t="s">
        <v>486</v>
      </c>
      <c r="E84" s="146" t="s">
        <v>584</v>
      </c>
      <c r="F84" s="146" t="s">
        <v>832</v>
      </c>
      <c r="G84" s="146" t="s">
        <v>688</v>
      </c>
      <c r="H84" s="146" t="s">
        <v>520</v>
      </c>
      <c r="I84" s="145">
        <v>46069</v>
      </c>
      <c r="J84" s="145">
        <v>46066</v>
      </c>
      <c r="K84" s="144">
        <v>10</v>
      </c>
      <c r="L84" s="178">
        <v>139900</v>
      </c>
      <c r="M84" s="176">
        <v>0.24</v>
      </c>
      <c r="N84" s="178">
        <f>IFERROR(Tabela225[[#This Row],[VALOR  (R$)]]/Tabela225[[#This Row],[PRAZO
EXECUÇÃO]],0)</f>
        <v>13990</v>
      </c>
      <c r="O84" s="194" t="s">
        <v>559</v>
      </c>
      <c r="P84" s="145"/>
      <c r="Q84" s="146"/>
      <c r="R84" s="146"/>
      <c r="S84" s="145"/>
      <c r="T84" s="146"/>
      <c r="U84" s="132"/>
    </row>
    <row r="85" spans="1:21">
      <c r="A85" s="144">
        <v>75</v>
      </c>
      <c r="B85" s="145">
        <v>46071</v>
      </c>
      <c r="C85" s="146" t="s">
        <v>833</v>
      </c>
      <c r="D85" s="146" t="s">
        <v>486</v>
      </c>
      <c r="E85" s="146" t="s">
        <v>584</v>
      </c>
      <c r="F85" s="146" t="s">
        <v>834</v>
      </c>
      <c r="G85" s="146" t="s">
        <v>835</v>
      </c>
      <c r="H85" s="146" t="s">
        <v>520</v>
      </c>
      <c r="I85" s="145">
        <v>46073</v>
      </c>
      <c r="J85" s="145">
        <v>46072</v>
      </c>
      <c r="K85" s="144">
        <v>18</v>
      </c>
      <c r="L85" s="178">
        <v>413200</v>
      </c>
      <c r="M85" s="176">
        <v>0.23</v>
      </c>
      <c r="N85" s="178">
        <f>IFERROR(Tabela225[[#This Row],[VALOR  (R$)]]/Tabela225[[#This Row],[PRAZO
EXECUÇÃO]],0)</f>
        <v>22955.555555555555</v>
      </c>
      <c r="O85" s="194" t="s">
        <v>559</v>
      </c>
      <c r="P85" s="145"/>
      <c r="Q85" s="146"/>
      <c r="R85" s="146"/>
      <c r="S85" s="145"/>
      <c r="T85" s="146"/>
      <c r="U85" s="132"/>
    </row>
    <row r="86" spans="1:21">
      <c r="A86" s="144">
        <v>76</v>
      </c>
      <c r="B86" s="145">
        <v>46071</v>
      </c>
      <c r="C86" s="146" t="s">
        <v>836</v>
      </c>
      <c r="D86" s="146" t="s">
        <v>486</v>
      </c>
      <c r="E86" s="146" t="s">
        <v>584</v>
      </c>
      <c r="F86" s="146" t="s">
        <v>837</v>
      </c>
      <c r="G86" s="146" t="s">
        <v>838</v>
      </c>
      <c r="H86" s="146" t="s">
        <v>520</v>
      </c>
      <c r="I86" s="145">
        <v>46073</v>
      </c>
      <c r="J86" s="145">
        <v>46072</v>
      </c>
      <c r="K86" s="144">
        <v>18</v>
      </c>
      <c r="L86" s="178">
        <v>239900</v>
      </c>
      <c r="M86" s="176">
        <v>0.22</v>
      </c>
      <c r="N86" s="178">
        <f>IFERROR(Tabela225[[#This Row],[VALOR  (R$)]]/Tabela225[[#This Row],[PRAZO
EXECUÇÃO]],0)</f>
        <v>13327.777777777777</v>
      </c>
      <c r="O86" s="194" t="s">
        <v>559</v>
      </c>
      <c r="P86" s="145"/>
      <c r="Q86" s="146"/>
      <c r="R86" s="146"/>
      <c r="S86" s="145"/>
      <c r="T86" s="146"/>
      <c r="U86" s="132"/>
    </row>
    <row r="87" spans="1:21">
      <c r="A87" s="144">
        <v>77</v>
      </c>
      <c r="B87" s="145">
        <v>46071</v>
      </c>
      <c r="C87" s="146" t="s">
        <v>839</v>
      </c>
      <c r="D87" s="146" t="s">
        <v>486</v>
      </c>
      <c r="E87" s="146" t="s">
        <v>584</v>
      </c>
      <c r="F87" s="146" t="s">
        <v>840</v>
      </c>
      <c r="G87" s="146" t="s">
        <v>841</v>
      </c>
      <c r="H87" s="146" t="s">
        <v>520</v>
      </c>
      <c r="I87" s="145">
        <v>46073</v>
      </c>
      <c r="J87" s="145">
        <v>46072</v>
      </c>
      <c r="K87" s="144">
        <v>10</v>
      </c>
      <c r="L87" s="178">
        <v>152064.70000000001</v>
      </c>
      <c r="M87" s="180">
        <v>0.24</v>
      </c>
      <c r="N87" s="178">
        <f>IFERROR(Tabela225[[#This Row],[VALOR  (R$)]]/Tabela225[[#This Row],[PRAZO
EXECUÇÃO]],0)</f>
        <v>15206.470000000001</v>
      </c>
      <c r="O87" s="194" t="s">
        <v>559</v>
      </c>
      <c r="P87" s="145"/>
      <c r="Q87" s="146"/>
      <c r="R87" s="146"/>
      <c r="S87" s="145"/>
      <c r="T87" s="146"/>
      <c r="U87" s="132"/>
    </row>
    <row r="88" spans="1:21">
      <c r="A88" s="144">
        <v>78</v>
      </c>
      <c r="B88" s="145">
        <v>46071</v>
      </c>
      <c r="C88" s="146" t="s">
        <v>842</v>
      </c>
      <c r="D88" s="146" t="s">
        <v>486</v>
      </c>
      <c r="E88" s="146" t="s">
        <v>584</v>
      </c>
      <c r="F88" s="146" t="s">
        <v>843</v>
      </c>
      <c r="G88" s="146" t="s">
        <v>844</v>
      </c>
      <c r="H88" s="146" t="s">
        <v>520</v>
      </c>
      <c r="I88" s="145">
        <v>46073</v>
      </c>
      <c r="J88" s="145">
        <v>46072</v>
      </c>
      <c r="K88" s="144">
        <v>7</v>
      </c>
      <c r="L88" s="178">
        <v>142270</v>
      </c>
      <c r="M88" s="176">
        <v>0.23</v>
      </c>
      <c r="N88" s="178">
        <f>IFERROR(Tabela225[[#This Row],[VALOR  (R$)]]/Tabela225[[#This Row],[PRAZO
EXECUÇÃO]],0)</f>
        <v>20324.285714285714</v>
      </c>
      <c r="O88" s="194" t="s">
        <v>559</v>
      </c>
      <c r="P88" s="145"/>
      <c r="Q88" s="146"/>
      <c r="R88" s="146"/>
      <c r="S88" s="145"/>
      <c r="T88" s="146"/>
      <c r="U88" s="132"/>
    </row>
    <row r="89" spans="1:21">
      <c r="A89" s="144">
        <v>79</v>
      </c>
      <c r="B89" s="145">
        <v>46071</v>
      </c>
      <c r="C89" s="146" t="s">
        <v>845</v>
      </c>
      <c r="D89" s="146" t="s">
        <v>486</v>
      </c>
      <c r="E89" s="146" t="s">
        <v>584</v>
      </c>
      <c r="F89" s="146" t="s">
        <v>846</v>
      </c>
      <c r="G89" s="146" t="s">
        <v>838</v>
      </c>
      <c r="H89" s="146" t="s">
        <v>520</v>
      </c>
      <c r="I89" s="145">
        <v>46073</v>
      </c>
      <c r="J89" s="145">
        <v>46072</v>
      </c>
      <c r="K89" s="144">
        <v>18</v>
      </c>
      <c r="L89" s="178">
        <v>239900</v>
      </c>
      <c r="M89" s="176">
        <v>0.22</v>
      </c>
      <c r="N89" s="178">
        <f>IFERROR(Tabela225[[#This Row],[VALOR  (R$)]]/Tabela225[[#This Row],[PRAZO
EXECUÇÃO]],0)</f>
        <v>13327.777777777777</v>
      </c>
      <c r="O89" s="194" t="s">
        <v>559</v>
      </c>
      <c r="P89" s="145"/>
      <c r="Q89" s="146"/>
      <c r="R89" s="146"/>
      <c r="S89" s="145"/>
      <c r="T89" s="146"/>
      <c r="U89" s="132"/>
    </row>
    <row r="90" spans="1:21">
      <c r="A90" s="144">
        <v>80</v>
      </c>
      <c r="B90" s="145">
        <v>46072</v>
      </c>
      <c r="C90" s="146" t="s">
        <v>847</v>
      </c>
      <c r="D90" s="146" t="s">
        <v>486</v>
      </c>
      <c r="E90" s="146" t="s">
        <v>584</v>
      </c>
      <c r="F90" s="146" t="s">
        <v>854</v>
      </c>
      <c r="G90" s="146" t="s">
        <v>838</v>
      </c>
      <c r="H90" s="146" t="s">
        <v>520</v>
      </c>
      <c r="I90" s="145">
        <v>46073</v>
      </c>
      <c r="J90" s="145">
        <v>46072</v>
      </c>
      <c r="K90" s="144">
        <v>18</v>
      </c>
      <c r="L90" s="178">
        <v>239900</v>
      </c>
      <c r="M90" s="181">
        <v>0.22</v>
      </c>
      <c r="N90" s="178">
        <f>IFERROR(Tabela225[[#This Row],[VALOR  (R$)]]/Tabela225[[#This Row],[PRAZO
EXECUÇÃO]],0)</f>
        <v>13327.777777777777</v>
      </c>
      <c r="O90" s="194" t="s">
        <v>559</v>
      </c>
      <c r="P90" s="145"/>
      <c r="Q90" s="146"/>
      <c r="R90" s="146"/>
      <c r="S90" s="145"/>
      <c r="T90" s="146"/>
      <c r="U90" s="132"/>
    </row>
    <row r="91" spans="1:21">
      <c r="A91" s="144">
        <v>81</v>
      </c>
      <c r="B91" s="145">
        <v>46072</v>
      </c>
      <c r="C91" s="146" t="s">
        <v>851</v>
      </c>
      <c r="D91" s="146" t="s">
        <v>486</v>
      </c>
      <c r="E91" s="146" t="s">
        <v>584</v>
      </c>
      <c r="F91" s="146" t="s">
        <v>858</v>
      </c>
      <c r="G91" s="146" t="s">
        <v>857</v>
      </c>
      <c r="H91" s="146" t="s">
        <v>520</v>
      </c>
      <c r="I91" s="145">
        <v>46076</v>
      </c>
      <c r="J91" s="145"/>
      <c r="K91" s="144"/>
      <c r="L91" s="178"/>
      <c r="M91" s="176"/>
      <c r="N91" s="178">
        <f>IFERROR(Tabela225[[#This Row],[VALOR  (R$)]]/Tabela225[[#This Row],[PRAZO
EXECUÇÃO]],0)</f>
        <v>0</v>
      </c>
      <c r="O91" s="194" t="s">
        <v>559</v>
      </c>
      <c r="P91" s="145"/>
      <c r="Q91" s="146"/>
      <c r="R91" s="146"/>
      <c r="S91" s="145"/>
      <c r="T91" s="146"/>
      <c r="U91" s="132"/>
    </row>
    <row r="92" spans="1:21">
      <c r="A92" s="144">
        <v>82</v>
      </c>
      <c r="B92" s="145">
        <v>46072</v>
      </c>
      <c r="C92" s="146" t="s">
        <v>852</v>
      </c>
      <c r="D92" s="146" t="s">
        <v>583</v>
      </c>
      <c r="E92" s="146" t="s">
        <v>584</v>
      </c>
      <c r="F92" s="146" t="s">
        <v>855</v>
      </c>
      <c r="G92" s="146" t="s">
        <v>856</v>
      </c>
      <c r="H92" s="146" t="s">
        <v>520</v>
      </c>
      <c r="I92" s="145">
        <v>46083</v>
      </c>
      <c r="J92" s="145">
        <v>46072</v>
      </c>
      <c r="K92" s="144">
        <v>7</v>
      </c>
      <c r="L92" s="178">
        <v>75000</v>
      </c>
      <c r="M92" s="176">
        <v>0.2</v>
      </c>
      <c r="N92" s="178">
        <f>IFERROR(Tabela225[[#This Row],[VALOR  (R$)]]/Tabela225[[#This Row],[PRAZO
EXECUÇÃO]],0)</f>
        <v>10714.285714285714</v>
      </c>
      <c r="O92" s="194" t="s">
        <v>599</v>
      </c>
      <c r="P92" s="145">
        <v>46076</v>
      </c>
      <c r="Q92" s="146">
        <v>20123</v>
      </c>
      <c r="R92" s="146"/>
      <c r="S92" s="145"/>
      <c r="T92" s="146" t="s">
        <v>1042</v>
      </c>
      <c r="U92" s="132"/>
    </row>
    <row r="93" spans="1:21">
      <c r="A93" s="144">
        <v>83</v>
      </c>
      <c r="B93" s="145">
        <v>46072</v>
      </c>
      <c r="C93" s="146" t="s">
        <v>853</v>
      </c>
      <c r="D93" s="146" t="s">
        <v>848</v>
      </c>
      <c r="E93" s="146" t="s">
        <v>584</v>
      </c>
      <c r="F93" s="146" t="s">
        <v>849</v>
      </c>
      <c r="G93" s="146" t="s">
        <v>850</v>
      </c>
      <c r="H93" s="146" t="s">
        <v>520</v>
      </c>
      <c r="I93" s="145"/>
      <c r="J93" s="145"/>
      <c r="K93" s="144"/>
      <c r="L93" s="178"/>
      <c r="M93" s="176"/>
      <c r="N93" s="178">
        <f>IFERROR(Tabela225[[#This Row],[VALOR  (R$)]]/Tabela225[[#This Row],[PRAZO
EXECUÇÃO]],0)</f>
        <v>0</v>
      </c>
      <c r="O93" s="194" t="s">
        <v>559</v>
      </c>
      <c r="P93" s="145"/>
      <c r="Q93" s="146"/>
      <c r="R93" s="146"/>
      <c r="S93" s="145"/>
      <c r="T93" s="146"/>
      <c r="U93" s="132"/>
    </row>
    <row r="94" spans="1:21">
      <c r="A94" s="144">
        <v>84</v>
      </c>
      <c r="B94" s="145">
        <v>46073</v>
      </c>
      <c r="C94" s="146" t="s">
        <v>859</v>
      </c>
      <c r="D94" s="146" t="s">
        <v>486</v>
      </c>
      <c r="E94" s="146" t="s">
        <v>584</v>
      </c>
      <c r="F94" s="146" t="s">
        <v>860</v>
      </c>
      <c r="G94" s="146" t="s">
        <v>861</v>
      </c>
      <c r="H94" s="146" t="s">
        <v>520</v>
      </c>
      <c r="I94" s="145">
        <v>46078</v>
      </c>
      <c r="J94" s="145">
        <v>46076</v>
      </c>
      <c r="K94" s="144">
        <f>20*4</f>
        <v>80</v>
      </c>
      <c r="L94" s="178">
        <v>839800</v>
      </c>
      <c r="M94" s="180">
        <v>0.22</v>
      </c>
      <c r="N94" s="178">
        <f>IFERROR(Tabela225[[#This Row],[VALOR  (R$)]]/Tabela225[[#This Row],[PRAZO
EXECUÇÃO]],0)</f>
        <v>10497.5</v>
      </c>
      <c r="O94" s="194" t="s">
        <v>559</v>
      </c>
      <c r="P94" s="145"/>
      <c r="Q94" s="146"/>
      <c r="R94" s="146"/>
      <c r="S94" s="145"/>
      <c r="T94" s="146"/>
      <c r="U94" s="132"/>
    </row>
    <row r="95" spans="1:21">
      <c r="A95" s="144">
        <v>2025</v>
      </c>
      <c r="B95" s="145">
        <v>46076</v>
      </c>
      <c r="C95" s="145" t="s">
        <v>104</v>
      </c>
      <c r="D95" s="146" t="s">
        <v>486</v>
      </c>
      <c r="E95" s="146" t="s">
        <v>584</v>
      </c>
      <c r="F95" s="146" t="s">
        <v>755</v>
      </c>
      <c r="G95" s="146" t="s">
        <v>890</v>
      </c>
      <c r="H95" s="146" t="s">
        <v>501</v>
      </c>
      <c r="I95" s="145">
        <v>46076</v>
      </c>
      <c r="J95" s="145">
        <v>46076</v>
      </c>
      <c r="K95" s="144"/>
      <c r="L95" s="178">
        <v>202370</v>
      </c>
      <c r="M95" s="176">
        <v>0.2</v>
      </c>
      <c r="N95" s="178">
        <f>IFERROR(Tabela225[[#This Row],[VALOR  (R$)]]/Tabela225[[#This Row],[PRAZO
EXECUÇÃO]],0)</f>
        <v>0</v>
      </c>
      <c r="O95" s="193" t="s">
        <v>599</v>
      </c>
      <c r="P95" s="145">
        <v>46076</v>
      </c>
      <c r="Q95" s="146"/>
      <c r="R95" s="146"/>
      <c r="S95" s="145" t="s">
        <v>1039</v>
      </c>
      <c r="T95" s="146" t="s">
        <v>1042</v>
      </c>
      <c r="U95" s="132"/>
    </row>
    <row r="96" spans="1:21">
      <c r="A96" s="144">
        <v>2025</v>
      </c>
      <c r="B96" s="145">
        <v>46076</v>
      </c>
      <c r="C96" s="145" t="s">
        <v>104</v>
      </c>
      <c r="D96" s="146" t="s">
        <v>486</v>
      </c>
      <c r="E96" s="146" t="s">
        <v>584</v>
      </c>
      <c r="F96" s="146" t="s">
        <v>891</v>
      </c>
      <c r="G96" s="146" t="s">
        <v>892</v>
      </c>
      <c r="H96" s="146" t="s">
        <v>501</v>
      </c>
      <c r="I96" s="145">
        <v>46076</v>
      </c>
      <c r="J96" s="145">
        <v>46076</v>
      </c>
      <c r="K96" s="144"/>
      <c r="L96" s="178">
        <v>54500</v>
      </c>
      <c r="M96" s="176">
        <v>0.2</v>
      </c>
      <c r="N96" s="178">
        <f>IFERROR(Tabela225[[#This Row],[VALOR  (R$)]]/Tabela225[[#This Row],[PRAZO
EXECUÇÃO]],0)</f>
        <v>0</v>
      </c>
      <c r="O96" s="193" t="s">
        <v>599</v>
      </c>
      <c r="P96" s="145">
        <v>46076</v>
      </c>
      <c r="Q96" s="146"/>
      <c r="R96" s="146"/>
      <c r="S96" s="145" t="s">
        <v>1039</v>
      </c>
      <c r="T96" s="146" t="s">
        <v>1042</v>
      </c>
      <c r="U96" s="132"/>
    </row>
    <row r="97" spans="1:21">
      <c r="A97" s="144">
        <v>85</v>
      </c>
      <c r="B97" s="145">
        <v>46076</v>
      </c>
      <c r="C97" s="146" t="s">
        <v>862</v>
      </c>
      <c r="D97" s="146" t="s">
        <v>563</v>
      </c>
      <c r="E97" s="146" t="s">
        <v>495</v>
      </c>
      <c r="F97" s="146" t="s">
        <v>863</v>
      </c>
      <c r="G97" s="146" t="s">
        <v>864</v>
      </c>
      <c r="H97" s="146" t="s">
        <v>520</v>
      </c>
      <c r="I97" s="145">
        <v>46076</v>
      </c>
      <c r="J97" s="145">
        <v>46076</v>
      </c>
      <c r="K97" s="144">
        <v>15</v>
      </c>
      <c r="L97" s="178">
        <v>21320</v>
      </c>
      <c r="M97" s="176">
        <v>0.2</v>
      </c>
      <c r="N97" s="178">
        <f>IFERROR(Tabela225[[#This Row],[VALOR  (R$)]]/Tabela225[[#This Row],[PRAZO
EXECUÇÃO]],0)</f>
        <v>1421.3333333333333</v>
      </c>
      <c r="O97" s="194" t="s">
        <v>559</v>
      </c>
      <c r="P97" s="145"/>
      <c r="Q97" s="146"/>
      <c r="R97" s="146"/>
      <c r="S97" s="145"/>
      <c r="T97" s="146"/>
      <c r="U97" s="132"/>
    </row>
    <row r="98" spans="1:21">
      <c r="A98" s="144">
        <v>86</v>
      </c>
      <c r="B98" s="145">
        <v>46076</v>
      </c>
      <c r="C98" s="146" t="s">
        <v>865</v>
      </c>
      <c r="D98" s="146" t="s">
        <v>866</v>
      </c>
      <c r="E98" s="146" t="s">
        <v>495</v>
      </c>
      <c r="F98" s="146" t="s">
        <v>867</v>
      </c>
      <c r="G98" s="146" t="s">
        <v>868</v>
      </c>
      <c r="H98" s="146" t="s">
        <v>520</v>
      </c>
      <c r="I98" s="145">
        <v>46079</v>
      </c>
      <c r="J98" s="145">
        <v>46084</v>
      </c>
      <c r="K98" s="144">
        <f>5*4</f>
        <v>20</v>
      </c>
      <c r="L98" s="178">
        <v>249600</v>
      </c>
      <c r="M98" s="176">
        <v>0.3</v>
      </c>
      <c r="N98" s="178">
        <f>IFERROR(Tabela225[[#This Row],[VALOR  (R$)]]/Tabela225[[#This Row],[PRAZO
EXECUÇÃO]],0)</f>
        <v>12480</v>
      </c>
      <c r="O98" s="194" t="s">
        <v>656</v>
      </c>
      <c r="P98" s="145"/>
      <c r="Q98" s="146"/>
      <c r="R98" s="146"/>
      <c r="S98" s="145"/>
      <c r="T98" s="146"/>
      <c r="U98" s="132"/>
    </row>
    <row r="99" spans="1:21">
      <c r="A99" s="144">
        <v>87</v>
      </c>
      <c r="B99" s="145">
        <v>46076</v>
      </c>
      <c r="C99" s="146" t="s">
        <v>871</v>
      </c>
      <c r="D99" s="146" t="s">
        <v>486</v>
      </c>
      <c r="E99" s="146" t="s">
        <v>584</v>
      </c>
      <c r="F99" s="146" t="s">
        <v>812</v>
      </c>
      <c r="G99" s="146" t="s">
        <v>942</v>
      </c>
      <c r="H99" s="146" t="s">
        <v>501</v>
      </c>
      <c r="I99" s="145">
        <v>46078</v>
      </c>
      <c r="J99" s="145">
        <v>46079</v>
      </c>
      <c r="K99" s="144">
        <v>10</v>
      </c>
      <c r="L99" s="178">
        <v>123785</v>
      </c>
      <c r="M99" s="176">
        <v>0.28999999999999998</v>
      </c>
      <c r="N99" s="178">
        <f>IFERROR(Tabela225[[#This Row],[VALOR  (R$)]]/Tabela225[[#This Row],[PRAZO
EXECUÇÃO]],0)</f>
        <v>12378.5</v>
      </c>
      <c r="O99" s="194" t="s">
        <v>599</v>
      </c>
      <c r="P99" s="145">
        <v>46079</v>
      </c>
      <c r="Q99" s="146">
        <v>20040</v>
      </c>
      <c r="R99" s="146"/>
      <c r="S99" s="145"/>
      <c r="T99" s="146" t="s">
        <v>1042</v>
      </c>
      <c r="U99" s="132"/>
    </row>
    <row r="100" spans="1:21">
      <c r="A100" s="144">
        <v>88</v>
      </c>
      <c r="B100" s="145">
        <v>46076</v>
      </c>
      <c r="C100" s="146" t="s">
        <v>872</v>
      </c>
      <c r="D100" s="146" t="s">
        <v>469</v>
      </c>
      <c r="E100" s="146" t="s">
        <v>584</v>
      </c>
      <c r="F100" s="146" t="s">
        <v>873</v>
      </c>
      <c r="G100" s="146" t="s">
        <v>874</v>
      </c>
      <c r="H100" s="146" t="s">
        <v>520</v>
      </c>
      <c r="I100" s="145">
        <v>46197</v>
      </c>
      <c r="J100" s="145">
        <v>46077</v>
      </c>
      <c r="K100" s="144">
        <v>6</v>
      </c>
      <c r="L100" s="178">
        <f>113500+76500</f>
        <v>190000</v>
      </c>
      <c r="M100" s="176">
        <v>0.27</v>
      </c>
      <c r="N100" s="178">
        <f>IFERROR(Tabela225[[#This Row],[VALOR  (R$)]]/Tabela225[[#This Row],[PRAZO
EXECUÇÃO]],0)</f>
        <v>31666.666666666668</v>
      </c>
      <c r="O100" s="194" t="s">
        <v>559</v>
      </c>
      <c r="P100" s="145"/>
      <c r="Q100" s="146"/>
      <c r="R100" s="146"/>
      <c r="S100" s="145"/>
      <c r="T100" s="146"/>
      <c r="U100" s="132"/>
    </row>
    <row r="101" spans="1:21">
      <c r="A101" s="144">
        <v>89</v>
      </c>
      <c r="B101" s="145">
        <v>46077</v>
      </c>
      <c r="C101" s="146" t="s">
        <v>875</v>
      </c>
      <c r="D101" s="146" t="s">
        <v>486</v>
      </c>
      <c r="E101" s="146" t="s">
        <v>584</v>
      </c>
      <c r="F101" s="146" t="s">
        <v>876</v>
      </c>
      <c r="G101" s="146" t="s">
        <v>877</v>
      </c>
      <c r="H101" s="146" t="s">
        <v>520</v>
      </c>
      <c r="I101" s="145">
        <v>46079</v>
      </c>
      <c r="J101" s="145">
        <v>46077</v>
      </c>
      <c r="K101" s="144">
        <v>14</v>
      </c>
      <c r="L101" s="178">
        <v>204980</v>
      </c>
      <c r="M101" s="176">
        <v>0.25</v>
      </c>
      <c r="N101" s="178">
        <f>IFERROR(Tabela225[[#This Row],[VALOR  (R$)]]/Tabela225[[#This Row],[PRAZO
EXECUÇÃO]],0)</f>
        <v>14641.428571428571</v>
      </c>
      <c r="O101" s="194" t="s">
        <v>559</v>
      </c>
      <c r="P101" s="145"/>
      <c r="Q101" s="146"/>
      <c r="R101" s="146"/>
      <c r="S101" s="145"/>
      <c r="T101" s="146"/>
      <c r="U101" s="132"/>
    </row>
    <row r="102" spans="1:21">
      <c r="A102" s="144">
        <v>90</v>
      </c>
      <c r="B102" s="145">
        <v>46077</v>
      </c>
      <c r="C102" s="146" t="s">
        <v>878</v>
      </c>
      <c r="D102" s="146" t="s">
        <v>486</v>
      </c>
      <c r="E102" s="146" t="s">
        <v>584</v>
      </c>
      <c r="F102" s="146" t="s">
        <v>879</v>
      </c>
      <c r="G102" s="146" t="s">
        <v>880</v>
      </c>
      <c r="H102" s="146" t="s">
        <v>520</v>
      </c>
      <c r="I102" s="145">
        <v>46083</v>
      </c>
      <c r="J102" s="145">
        <v>46077</v>
      </c>
      <c r="K102" s="144">
        <v>12</v>
      </c>
      <c r="L102" s="178">
        <v>165400</v>
      </c>
      <c r="M102" s="176">
        <v>0.25</v>
      </c>
      <c r="N102" s="178">
        <f>IFERROR(Tabela225[[#This Row],[VALOR  (R$)]]/Tabela225[[#This Row],[PRAZO
EXECUÇÃO]],0)</f>
        <v>13783.333333333334</v>
      </c>
      <c r="O102" s="194" t="s">
        <v>559</v>
      </c>
      <c r="P102" s="145"/>
      <c r="Q102" s="146"/>
      <c r="R102" s="146"/>
      <c r="S102" s="145"/>
      <c r="T102" s="146"/>
      <c r="U102" s="132"/>
    </row>
    <row r="103" spans="1:21">
      <c r="A103" s="144">
        <v>91</v>
      </c>
      <c r="B103" s="145">
        <v>46077</v>
      </c>
      <c r="C103" s="146" t="s">
        <v>881</v>
      </c>
      <c r="D103" s="146" t="s">
        <v>589</v>
      </c>
      <c r="E103" s="146" t="s">
        <v>495</v>
      </c>
      <c r="F103" s="146" t="s">
        <v>590</v>
      </c>
      <c r="G103" s="146" t="s">
        <v>882</v>
      </c>
      <c r="H103" s="146" t="s">
        <v>520</v>
      </c>
      <c r="I103" s="145">
        <v>46077</v>
      </c>
      <c r="J103" s="145">
        <v>46077</v>
      </c>
      <c r="K103" s="144">
        <v>249</v>
      </c>
      <c r="L103" s="178">
        <f>128800+1680000+271908</f>
        <v>2080708</v>
      </c>
      <c r="M103" s="176">
        <v>0.2</v>
      </c>
      <c r="N103" s="178">
        <f>IFERROR(Tabela225[[#This Row],[VALOR  (R$)]]/Tabela225[[#This Row],[PRAZO
EXECUÇÃO]],0)</f>
        <v>8356.2570281124499</v>
      </c>
      <c r="O103" s="194" t="s">
        <v>599</v>
      </c>
      <c r="P103" s="145">
        <v>46093</v>
      </c>
      <c r="Q103" s="146">
        <v>20306</v>
      </c>
      <c r="R103" s="146"/>
      <c r="S103" s="145"/>
      <c r="T103" s="146" t="s">
        <v>1042</v>
      </c>
      <c r="U103" s="132"/>
    </row>
    <row r="104" spans="1:21">
      <c r="A104" s="144">
        <v>92</v>
      </c>
      <c r="B104" s="145">
        <v>46078</v>
      </c>
      <c r="C104" s="146" t="s">
        <v>883</v>
      </c>
      <c r="D104" s="146" t="s">
        <v>884</v>
      </c>
      <c r="E104" s="146" t="s">
        <v>495</v>
      </c>
      <c r="F104" s="146" t="s">
        <v>885</v>
      </c>
      <c r="G104" s="146" t="s">
        <v>889</v>
      </c>
      <c r="H104" s="146" t="s">
        <v>520</v>
      </c>
      <c r="I104" s="145">
        <v>46079</v>
      </c>
      <c r="J104" s="145">
        <v>46083</v>
      </c>
      <c r="K104" s="144">
        <v>36</v>
      </c>
      <c r="L104" s="178">
        <v>449820</v>
      </c>
      <c r="M104" s="176">
        <v>0.25</v>
      </c>
      <c r="N104" s="178">
        <f>IFERROR(Tabela225[[#This Row],[VALOR  (R$)]]/Tabela225[[#This Row],[PRAZO
EXECUÇÃO]],0)</f>
        <v>12495</v>
      </c>
      <c r="O104" s="194" t="s">
        <v>559</v>
      </c>
      <c r="P104" s="145"/>
      <c r="Q104" s="146"/>
      <c r="R104" s="146"/>
      <c r="S104" s="145"/>
      <c r="T104" s="146"/>
      <c r="U104" s="132"/>
    </row>
    <row r="105" spans="1:21">
      <c r="A105" s="144">
        <v>93</v>
      </c>
      <c r="B105" s="145">
        <v>46078</v>
      </c>
      <c r="C105" s="146" t="s">
        <v>886</v>
      </c>
      <c r="D105" s="146" t="s">
        <v>720</v>
      </c>
      <c r="E105" s="146" t="s">
        <v>495</v>
      </c>
      <c r="F105" s="146" t="s">
        <v>887</v>
      </c>
      <c r="G105" s="146" t="s">
        <v>888</v>
      </c>
      <c r="H105" s="146" t="s">
        <v>520</v>
      </c>
      <c r="I105" s="145">
        <v>46079</v>
      </c>
      <c r="J105" s="145">
        <v>46079</v>
      </c>
      <c r="K105" s="144">
        <f>6*3</f>
        <v>18</v>
      </c>
      <c r="L105" s="178">
        <v>188625</v>
      </c>
      <c r="M105" s="180">
        <v>0.21</v>
      </c>
      <c r="N105" s="178">
        <f>IFERROR(Tabela225[[#This Row],[VALOR  (R$)]]/Tabela225[[#This Row],[PRAZO
EXECUÇÃO]],0)</f>
        <v>10479.166666666666</v>
      </c>
      <c r="O105" s="194" t="s">
        <v>599</v>
      </c>
      <c r="P105" s="145">
        <v>46189</v>
      </c>
      <c r="Q105" s="146"/>
      <c r="R105" s="146"/>
      <c r="S105" s="145"/>
      <c r="T105" s="146" t="s">
        <v>1042</v>
      </c>
      <c r="U105" s="132"/>
    </row>
    <row r="106" spans="1:21">
      <c r="A106" s="144">
        <v>94</v>
      </c>
      <c r="B106" s="145">
        <v>46079</v>
      </c>
      <c r="C106" s="146" t="s">
        <v>893</v>
      </c>
      <c r="D106" s="146" t="s">
        <v>486</v>
      </c>
      <c r="E106" s="146" t="s">
        <v>584</v>
      </c>
      <c r="F106" s="146" t="s">
        <v>896</v>
      </c>
      <c r="G106" s="146" t="s">
        <v>894</v>
      </c>
      <c r="H106" s="146" t="s">
        <v>520</v>
      </c>
      <c r="I106" s="145">
        <v>46081</v>
      </c>
      <c r="J106" s="145">
        <v>46083</v>
      </c>
      <c r="K106" s="144">
        <v>10</v>
      </c>
      <c r="L106" s="178">
        <v>149900</v>
      </c>
      <c r="M106" s="176">
        <v>0.24</v>
      </c>
      <c r="N106" s="178">
        <f>IFERROR(Tabela225[[#This Row],[VALOR  (R$)]]/Tabela225[[#This Row],[PRAZO
EXECUÇÃO]],0)</f>
        <v>14990</v>
      </c>
      <c r="O106" s="194" t="s">
        <v>559</v>
      </c>
      <c r="P106" s="145"/>
      <c r="Q106" s="146"/>
      <c r="R106" s="146"/>
      <c r="S106" s="145"/>
      <c r="T106" s="146"/>
      <c r="U106" s="132"/>
    </row>
    <row r="107" spans="1:21">
      <c r="A107" s="144">
        <v>95</v>
      </c>
      <c r="B107" s="145">
        <v>46079</v>
      </c>
      <c r="C107" s="146" t="s">
        <v>895</v>
      </c>
      <c r="D107" s="146" t="s">
        <v>486</v>
      </c>
      <c r="E107" s="146" t="s">
        <v>584</v>
      </c>
      <c r="F107" s="146" t="s">
        <v>897</v>
      </c>
      <c r="G107" s="146" t="s">
        <v>898</v>
      </c>
      <c r="H107" s="146" t="s">
        <v>520</v>
      </c>
      <c r="I107" s="145">
        <v>46056</v>
      </c>
      <c r="J107" s="145">
        <v>46083</v>
      </c>
      <c r="K107" s="144">
        <v>10</v>
      </c>
      <c r="L107" s="178">
        <v>183174</v>
      </c>
      <c r="M107" s="176">
        <v>0.22</v>
      </c>
      <c r="N107" s="178">
        <f>IFERROR(Tabela225[[#This Row],[VALOR  (R$)]]/Tabela225[[#This Row],[PRAZO
EXECUÇÃO]],0)</f>
        <v>18317.400000000001</v>
      </c>
      <c r="O107" s="194" t="s">
        <v>559</v>
      </c>
      <c r="P107" s="145"/>
      <c r="Q107" s="146"/>
      <c r="R107" s="146"/>
      <c r="S107" s="145"/>
      <c r="T107" s="146"/>
      <c r="U107" s="132"/>
    </row>
    <row r="108" spans="1:21">
      <c r="A108" s="144">
        <v>96</v>
      </c>
      <c r="B108" s="145">
        <v>46079</v>
      </c>
      <c r="C108" s="146" t="s">
        <v>899</v>
      </c>
      <c r="D108" s="146" t="s">
        <v>486</v>
      </c>
      <c r="E108" s="146" t="s">
        <v>584</v>
      </c>
      <c r="F108" s="146" t="s">
        <v>659</v>
      </c>
      <c r="G108" s="146" t="s">
        <v>900</v>
      </c>
      <c r="H108" s="146" t="s">
        <v>520</v>
      </c>
      <c r="I108" s="145">
        <v>46056</v>
      </c>
      <c r="J108" s="145">
        <v>46083</v>
      </c>
      <c r="K108" s="144">
        <v>15</v>
      </c>
      <c r="L108" s="178">
        <v>291360</v>
      </c>
      <c r="M108" s="176">
        <v>0.22</v>
      </c>
      <c r="N108" s="178">
        <f>IFERROR(Tabela225[[#This Row],[VALOR  (R$)]]/Tabela225[[#This Row],[PRAZO
EXECUÇÃO]],0)</f>
        <v>19424</v>
      </c>
      <c r="O108" s="194" t="s">
        <v>559</v>
      </c>
      <c r="P108" s="145"/>
      <c r="Q108" s="146"/>
      <c r="R108" s="146"/>
      <c r="S108" s="145"/>
      <c r="T108" s="146"/>
      <c r="U108" s="132"/>
    </row>
    <row r="109" spans="1:21">
      <c r="A109" s="144">
        <v>97</v>
      </c>
      <c r="B109" s="145">
        <v>46080</v>
      </c>
      <c r="C109" s="146" t="s">
        <v>901</v>
      </c>
      <c r="D109" s="146" t="s">
        <v>486</v>
      </c>
      <c r="E109" s="146" t="s">
        <v>584</v>
      </c>
      <c r="F109" s="146" t="s">
        <v>902</v>
      </c>
      <c r="G109" s="146" t="s">
        <v>903</v>
      </c>
      <c r="H109" s="146" t="s">
        <v>520</v>
      </c>
      <c r="I109" s="145">
        <v>46080</v>
      </c>
      <c r="J109" s="145"/>
      <c r="K109" s="144"/>
      <c r="L109" s="178"/>
      <c r="M109" s="176"/>
      <c r="N109" s="178"/>
      <c r="O109" s="194" t="s">
        <v>525</v>
      </c>
      <c r="P109" s="145"/>
      <c r="Q109" s="146"/>
      <c r="R109" s="146"/>
      <c r="S109" s="145"/>
      <c r="T109" s="146"/>
      <c r="U109" s="132"/>
    </row>
    <row r="110" spans="1:21">
      <c r="A110" s="144">
        <v>98</v>
      </c>
      <c r="B110" s="145">
        <v>46083</v>
      </c>
      <c r="C110" s="146" t="s">
        <v>905</v>
      </c>
      <c r="D110" s="146" t="s">
        <v>486</v>
      </c>
      <c r="E110" s="146" t="s">
        <v>584</v>
      </c>
      <c r="F110" s="146" t="s">
        <v>732</v>
      </c>
      <c r="G110" s="146" t="s">
        <v>904</v>
      </c>
      <c r="H110" s="146" t="s">
        <v>520</v>
      </c>
      <c r="I110" s="145">
        <v>46083</v>
      </c>
      <c r="J110" s="145">
        <v>46083</v>
      </c>
      <c r="K110" s="144">
        <v>15</v>
      </c>
      <c r="L110" s="178">
        <v>178752</v>
      </c>
      <c r="M110" s="176">
        <v>0.21</v>
      </c>
      <c r="N110" s="178">
        <f>IFERROR(Tabela225[[#This Row],[VALOR  (R$)]]/Tabela225[[#This Row],[PRAZO
EXECUÇÃO]],0)</f>
        <v>11916.8</v>
      </c>
      <c r="O110" s="194" t="s">
        <v>599</v>
      </c>
      <c r="P110" s="145">
        <v>46108</v>
      </c>
      <c r="Q110" s="146">
        <v>20499</v>
      </c>
      <c r="R110" s="146"/>
      <c r="S110" s="145"/>
      <c r="T110" s="146" t="s">
        <v>1042</v>
      </c>
      <c r="U110" s="132"/>
    </row>
    <row r="111" spans="1:21">
      <c r="A111" s="144">
        <v>99</v>
      </c>
      <c r="B111" s="145">
        <v>46083</v>
      </c>
      <c r="C111" s="146" t="s">
        <v>906</v>
      </c>
      <c r="D111" s="146" t="s">
        <v>486</v>
      </c>
      <c r="E111" s="146" t="s">
        <v>584</v>
      </c>
      <c r="F111" s="146" t="s">
        <v>907</v>
      </c>
      <c r="G111" s="146" t="s">
        <v>908</v>
      </c>
      <c r="H111" s="146" t="s">
        <v>520</v>
      </c>
      <c r="I111" s="145">
        <v>46086</v>
      </c>
      <c r="J111" s="145">
        <v>46083</v>
      </c>
      <c r="K111" s="144">
        <f>15*3</f>
        <v>45</v>
      </c>
      <c r="L111" s="178">
        <v>476784</v>
      </c>
      <c r="M111" s="176">
        <v>0.25</v>
      </c>
      <c r="N111" s="178">
        <f>IFERROR(Tabela225[[#This Row],[VALOR  (R$)]]/Tabela225[[#This Row],[PRAZO
EXECUÇÃO]],0)</f>
        <v>10595.2</v>
      </c>
      <c r="O111" s="194" t="s">
        <v>559</v>
      </c>
      <c r="P111" s="145"/>
      <c r="Q111" s="146"/>
      <c r="R111" s="146"/>
      <c r="S111" s="145"/>
      <c r="T111" s="146"/>
      <c r="U111" s="132"/>
    </row>
    <row r="112" spans="1:21">
      <c r="A112" s="144">
        <v>100</v>
      </c>
      <c r="B112" s="145">
        <v>46083</v>
      </c>
      <c r="C112" s="146" t="s">
        <v>909</v>
      </c>
      <c r="D112" s="146" t="s">
        <v>486</v>
      </c>
      <c r="E112" s="146" t="s">
        <v>584</v>
      </c>
      <c r="F112" s="146" t="s">
        <v>902</v>
      </c>
      <c r="G112" s="146" t="s">
        <v>910</v>
      </c>
      <c r="H112" s="146" t="s">
        <v>520</v>
      </c>
      <c r="I112" s="145">
        <v>46086</v>
      </c>
      <c r="J112" s="145">
        <v>46083</v>
      </c>
      <c r="K112" s="144">
        <v>10</v>
      </c>
      <c r="L112" s="178">
        <v>88940</v>
      </c>
      <c r="M112" s="176">
        <v>0.23</v>
      </c>
      <c r="N112" s="178">
        <f>IFERROR(Tabela225[[#This Row],[VALOR  (R$)]]/Tabela225[[#This Row],[PRAZO
EXECUÇÃO]],0)</f>
        <v>8894</v>
      </c>
      <c r="O112" s="194" t="s">
        <v>599</v>
      </c>
      <c r="P112" s="145">
        <v>46098</v>
      </c>
      <c r="Q112" s="146">
        <v>20369</v>
      </c>
      <c r="R112" s="146"/>
      <c r="S112" s="145"/>
      <c r="T112" s="146" t="s">
        <v>1042</v>
      </c>
      <c r="U112" s="132"/>
    </row>
    <row r="113" spans="1:21">
      <c r="A113" s="144">
        <v>71</v>
      </c>
      <c r="B113" s="145">
        <v>46084</v>
      </c>
      <c r="C113" s="146" t="s">
        <v>824</v>
      </c>
      <c r="D113" s="146" t="s">
        <v>486</v>
      </c>
      <c r="E113" s="146" t="s">
        <v>584</v>
      </c>
      <c r="F113" s="146" t="s">
        <v>825</v>
      </c>
      <c r="G113" s="146" t="s">
        <v>688</v>
      </c>
      <c r="H113" s="146" t="s">
        <v>520</v>
      </c>
      <c r="I113" s="145">
        <v>46069</v>
      </c>
      <c r="J113" s="145">
        <v>46066</v>
      </c>
      <c r="K113" s="144">
        <v>10</v>
      </c>
      <c r="L113" s="178">
        <v>139900</v>
      </c>
      <c r="M113" s="176">
        <v>0.22</v>
      </c>
      <c r="N113" s="178">
        <f>IFERROR(Tabela225[[#This Row],[VALOR  (R$)]]/Tabela225[[#This Row],[PRAZO
EXECUÇÃO]],0)</f>
        <v>13990</v>
      </c>
      <c r="O113" s="194" t="s">
        <v>559</v>
      </c>
      <c r="P113" s="145"/>
      <c r="Q113" s="146"/>
      <c r="R113" s="146"/>
      <c r="S113" s="145"/>
      <c r="T113" s="146"/>
      <c r="U113" s="132"/>
    </row>
    <row r="114" spans="1:21">
      <c r="A114" s="144">
        <v>72</v>
      </c>
      <c r="B114" s="145">
        <v>46084</v>
      </c>
      <c r="C114" s="146" t="s">
        <v>826</v>
      </c>
      <c r="D114" s="146" t="s">
        <v>486</v>
      </c>
      <c r="E114" s="146" t="s">
        <v>584</v>
      </c>
      <c r="F114" s="146" t="s">
        <v>827</v>
      </c>
      <c r="G114" s="146" t="s">
        <v>688</v>
      </c>
      <c r="H114" s="146" t="s">
        <v>520</v>
      </c>
      <c r="I114" s="145">
        <v>46069</v>
      </c>
      <c r="J114" s="145">
        <v>46066</v>
      </c>
      <c r="K114" s="144">
        <v>10</v>
      </c>
      <c r="L114" s="178">
        <v>139900</v>
      </c>
      <c r="M114" s="180">
        <v>0.22</v>
      </c>
      <c r="N114" s="178">
        <f>IFERROR(Tabela225[[#This Row],[VALOR  (R$)]]/Tabela225[[#This Row],[PRAZO
EXECUÇÃO]],0)</f>
        <v>13990</v>
      </c>
      <c r="O114" s="194" t="s">
        <v>559</v>
      </c>
      <c r="P114" s="145"/>
      <c r="Q114" s="146"/>
      <c r="R114" s="146"/>
      <c r="S114" s="145"/>
      <c r="T114" s="146"/>
      <c r="U114" s="132"/>
    </row>
    <row r="115" spans="1:21">
      <c r="A115" s="144">
        <v>74</v>
      </c>
      <c r="B115" s="145">
        <v>46084</v>
      </c>
      <c r="C115" s="146" t="s">
        <v>828</v>
      </c>
      <c r="D115" s="146" t="s">
        <v>486</v>
      </c>
      <c r="E115" s="146" t="s">
        <v>584</v>
      </c>
      <c r="F115" s="146" t="s">
        <v>829</v>
      </c>
      <c r="G115" s="146" t="s">
        <v>830</v>
      </c>
      <c r="H115" s="146" t="s">
        <v>520</v>
      </c>
      <c r="I115" s="145">
        <v>46069</v>
      </c>
      <c r="J115" s="145">
        <v>46066</v>
      </c>
      <c r="K115" s="144">
        <v>10</v>
      </c>
      <c r="L115" s="178">
        <v>129900</v>
      </c>
      <c r="M115" s="180">
        <v>0.24</v>
      </c>
      <c r="N115" s="178">
        <f>IFERROR(Tabela225[[#This Row],[VALOR  (R$)]]/Tabela225[[#This Row],[PRAZO
EXECUÇÃO]],0)</f>
        <v>12990</v>
      </c>
      <c r="O115" s="194" t="s">
        <v>559</v>
      </c>
      <c r="P115" s="145"/>
      <c r="Q115" s="146"/>
      <c r="R115" s="146"/>
      <c r="S115" s="145"/>
      <c r="T115" s="146"/>
      <c r="U115" s="132"/>
    </row>
    <row r="116" spans="1:21">
      <c r="A116" s="144">
        <v>101</v>
      </c>
      <c r="B116" s="145">
        <v>46084</v>
      </c>
      <c r="C116" s="146" t="s">
        <v>911</v>
      </c>
      <c r="D116" s="146" t="s">
        <v>486</v>
      </c>
      <c r="E116" s="146" t="s">
        <v>584</v>
      </c>
      <c r="F116" s="146" t="s">
        <v>629</v>
      </c>
      <c r="G116" s="146" t="s">
        <v>912</v>
      </c>
      <c r="H116" s="146" t="s">
        <v>520</v>
      </c>
      <c r="I116" s="145">
        <v>46090</v>
      </c>
      <c r="J116" s="145">
        <v>46084</v>
      </c>
      <c r="K116" s="144">
        <v>15</v>
      </c>
      <c r="L116" s="178">
        <v>279090</v>
      </c>
      <c r="M116" s="180">
        <v>0.23</v>
      </c>
      <c r="N116" s="178">
        <f>IFERROR(Tabela225[[#This Row],[VALOR  (R$)]]/Tabela225[[#This Row],[PRAZO
EXECUÇÃO]],0)</f>
        <v>18606</v>
      </c>
      <c r="O116" s="194" t="s">
        <v>559</v>
      </c>
      <c r="P116" s="145"/>
      <c r="Q116" s="146"/>
      <c r="R116" s="146"/>
      <c r="S116" s="145"/>
      <c r="T116" s="146"/>
      <c r="U116" s="132"/>
    </row>
    <row r="117" spans="1:21">
      <c r="A117" s="144">
        <v>102</v>
      </c>
      <c r="B117" s="145">
        <v>46084</v>
      </c>
      <c r="C117" s="146" t="s">
        <v>913</v>
      </c>
      <c r="D117" s="146" t="s">
        <v>486</v>
      </c>
      <c r="E117" s="146" t="s">
        <v>584</v>
      </c>
      <c r="F117" s="146" t="s">
        <v>837</v>
      </c>
      <c r="G117" s="146" t="s">
        <v>914</v>
      </c>
      <c r="H117" s="146" t="s">
        <v>520</v>
      </c>
      <c r="I117" s="145">
        <v>46084</v>
      </c>
      <c r="J117" s="145">
        <v>46084</v>
      </c>
      <c r="K117" s="144">
        <v>5</v>
      </c>
      <c r="L117" s="178">
        <v>149300</v>
      </c>
      <c r="M117" s="176">
        <v>0.22</v>
      </c>
      <c r="N117" s="178">
        <f>IFERROR(Tabela225[[#This Row],[VALOR  (R$)]]/Tabela225[[#This Row],[PRAZO
EXECUÇÃO]],0)</f>
        <v>29860</v>
      </c>
      <c r="O117" s="194" t="s">
        <v>559</v>
      </c>
      <c r="P117" s="145"/>
      <c r="Q117" s="146"/>
      <c r="R117" s="146"/>
      <c r="S117" s="145"/>
      <c r="T117" s="146"/>
      <c r="U117" s="132"/>
    </row>
    <row r="118" spans="1:21">
      <c r="A118" s="144">
        <v>103</v>
      </c>
      <c r="B118" s="145">
        <v>46084</v>
      </c>
      <c r="C118" s="146" t="s">
        <v>925</v>
      </c>
      <c r="D118" s="146" t="s">
        <v>486</v>
      </c>
      <c r="E118" s="146" t="s">
        <v>584</v>
      </c>
      <c r="F118" s="146" t="s">
        <v>627</v>
      </c>
      <c r="G118" s="146" t="s">
        <v>944</v>
      </c>
      <c r="H118" s="146" t="s">
        <v>520</v>
      </c>
      <c r="I118" s="145">
        <v>46090</v>
      </c>
      <c r="J118" s="145">
        <v>46085</v>
      </c>
      <c r="K118" s="144">
        <v>35</v>
      </c>
      <c r="L118" s="178">
        <v>310000</v>
      </c>
      <c r="M118" s="181">
        <v>0.2</v>
      </c>
      <c r="N118" s="178">
        <f>IFERROR(Tabela225[[#This Row],[VALOR  (R$)]]/Tabela225[[#This Row],[PRAZO
EXECUÇÃO]],0)</f>
        <v>8857.1428571428569</v>
      </c>
      <c r="O118" s="194" t="s">
        <v>599</v>
      </c>
      <c r="P118" s="145">
        <v>46105</v>
      </c>
      <c r="Q118" s="146"/>
      <c r="R118" s="146"/>
      <c r="S118" s="145"/>
      <c r="T118" s="146" t="s">
        <v>1040</v>
      </c>
      <c r="U118" s="132"/>
    </row>
    <row r="119" spans="1:21">
      <c r="A119" s="144">
        <v>104</v>
      </c>
      <c r="B119" s="145">
        <v>46084</v>
      </c>
      <c r="C119" s="146" t="s">
        <v>925</v>
      </c>
      <c r="D119" s="146" t="s">
        <v>486</v>
      </c>
      <c r="E119" s="146" t="s">
        <v>584</v>
      </c>
      <c r="F119" s="146" t="s">
        <v>627</v>
      </c>
      <c r="G119" s="146" t="s">
        <v>1044</v>
      </c>
      <c r="H119" s="146" t="s">
        <v>520</v>
      </c>
      <c r="I119" s="145">
        <v>46085</v>
      </c>
      <c r="J119" s="145">
        <v>46085</v>
      </c>
      <c r="K119" s="144">
        <v>35</v>
      </c>
      <c r="L119" s="178">
        <v>103250</v>
      </c>
      <c r="M119" s="181">
        <v>0.2</v>
      </c>
      <c r="N119" s="178">
        <f>IFERROR(Tabela225[[#This Row],[VALOR  (R$)]]/Tabela225[[#This Row],[PRAZO
EXECUÇÃO]],0)</f>
        <v>2950</v>
      </c>
      <c r="O119" s="194" t="s">
        <v>599</v>
      </c>
      <c r="P119" s="145">
        <v>46105</v>
      </c>
      <c r="Q119" s="146"/>
      <c r="R119" s="146"/>
      <c r="S119" s="145"/>
      <c r="T119" s="146" t="s">
        <v>1040</v>
      </c>
      <c r="U119" s="132"/>
    </row>
    <row r="120" spans="1:21">
      <c r="A120" s="144">
        <v>105</v>
      </c>
      <c r="B120" s="145">
        <v>46084</v>
      </c>
      <c r="C120" s="146" t="s">
        <v>915</v>
      </c>
      <c r="D120" s="146" t="s">
        <v>866</v>
      </c>
      <c r="E120" s="146" t="s">
        <v>495</v>
      </c>
      <c r="F120" s="146" t="s">
        <v>916</v>
      </c>
      <c r="G120" s="146" t="s">
        <v>917</v>
      </c>
      <c r="H120" s="146" t="s">
        <v>520</v>
      </c>
      <c r="I120" s="145">
        <v>46084</v>
      </c>
      <c r="J120" s="145">
        <v>46084</v>
      </c>
      <c r="K120" s="144">
        <f>5*4</f>
        <v>20</v>
      </c>
      <c r="L120" s="178">
        <v>98000</v>
      </c>
      <c r="M120" s="180">
        <v>0.2</v>
      </c>
      <c r="N120" s="178">
        <f>IFERROR(Tabela225[[#This Row],[VALOR  (R$)]]/Tabela225[[#This Row],[PRAZO
EXECUÇÃO]],0)</f>
        <v>4900</v>
      </c>
      <c r="O120" s="194" t="s">
        <v>656</v>
      </c>
      <c r="P120" s="145"/>
      <c r="Q120" s="146"/>
      <c r="R120" s="146"/>
      <c r="S120" s="145"/>
      <c r="T120" s="146"/>
      <c r="U120" s="132"/>
    </row>
    <row r="121" spans="1:21">
      <c r="A121" s="144">
        <v>106</v>
      </c>
      <c r="B121" s="145">
        <v>46084</v>
      </c>
      <c r="C121" s="146" t="s">
        <v>918</v>
      </c>
      <c r="D121" s="146" t="s">
        <v>919</v>
      </c>
      <c r="E121" s="146" t="s">
        <v>495</v>
      </c>
      <c r="F121" s="146" t="s">
        <v>759</v>
      </c>
      <c r="G121" s="146" t="s">
        <v>920</v>
      </c>
      <c r="H121" s="146" t="s">
        <v>520</v>
      </c>
      <c r="I121" s="145">
        <v>46085</v>
      </c>
      <c r="J121" s="145">
        <v>46085</v>
      </c>
      <c r="K121" s="144">
        <v>1</v>
      </c>
      <c r="L121" s="178">
        <v>25200</v>
      </c>
      <c r="M121" s="180">
        <v>0.22</v>
      </c>
      <c r="N121" s="178">
        <f>IFERROR(Tabela225[[#This Row],[VALOR  (R$)]]/Tabela225[[#This Row],[PRAZO
EXECUÇÃO]],0)</f>
        <v>25200</v>
      </c>
      <c r="O121" s="194" t="s">
        <v>599</v>
      </c>
      <c r="P121" s="145">
        <v>46163</v>
      </c>
      <c r="Q121" s="146">
        <v>21244</v>
      </c>
      <c r="R121" s="146"/>
      <c r="S121" s="145"/>
      <c r="T121" s="146" t="s">
        <v>1042</v>
      </c>
      <c r="U121" s="132"/>
    </row>
    <row r="122" spans="1:21">
      <c r="A122" s="144">
        <v>107</v>
      </c>
      <c r="B122" s="145">
        <v>46084</v>
      </c>
      <c r="C122" s="146" t="s">
        <v>921</v>
      </c>
      <c r="D122" s="146" t="s">
        <v>866</v>
      </c>
      <c r="E122" s="146" t="s">
        <v>495</v>
      </c>
      <c r="F122" s="146" t="s">
        <v>922</v>
      </c>
      <c r="G122" s="146" t="s">
        <v>923</v>
      </c>
      <c r="H122" s="146" t="s">
        <v>520</v>
      </c>
      <c r="I122" s="145" t="s">
        <v>924</v>
      </c>
      <c r="J122" s="145">
        <v>46084</v>
      </c>
      <c r="K122" s="144">
        <f>5*3</f>
        <v>15</v>
      </c>
      <c r="L122" s="178">
        <v>79150</v>
      </c>
      <c r="M122" s="180">
        <v>0.2</v>
      </c>
      <c r="N122" s="178">
        <f>IFERROR(Tabela225[[#This Row],[VALOR  (R$)]]/Tabela225[[#This Row],[PRAZO
EXECUÇÃO]],0)</f>
        <v>5276.666666666667</v>
      </c>
      <c r="O122" s="194" t="s">
        <v>656</v>
      </c>
      <c r="P122" s="145"/>
      <c r="Q122" s="146"/>
      <c r="R122" s="146"/>
      <c r="S122" s="145"/>
      <c r="T122" s="146"/>
      <c r="U122" s="132"/>
    </row>
    <row r="123" spans="1:21">
      <c r="A123" s="144">
        <v>108</v>
      </c>
      <c r="B123" s="145">
        <v>46085</v>
      </c>
      <c r="C123" s="146" t="s">
        <v>927</v>
      </c>
      <c r="D123" s="146" t="s">
        <v>486</v>
      </c>
      <c r="E123" s="146" t="s">
        <v>584</v>
      </c>
      <c r="F123" s="146" t="s">
        <v>812</v>
      </c>
      <c r="G123" s="146" t="s">
        <v>928</v>
      </c>
      <c r="H123" s="146" t="s">
        <v>501</v>
      </c>
      <c r="I123" s="145">
        <v>46085</v>
      </c>
      <c r="J123" s="145">
        <v>46085</v>
      </c>
      <c r="K123" s="144">
        <v>10</v>
      </c>
      <c r="L123" s="178">
        <v>53920</v>
      </c>
      <c r="M123" s="181">
        <v>0.25</v>
      </c>
      <c r="N123" s="178">
        <f>IFERROR(Tabela225[[#This Row],[VALOR  (R$)]]/Tabela225[[#This Row],[PRAZO
EXECUÇÃO]],0)</f>
        <v>5392</v>
      </c>
      <c r="O123" s="194" t="s">
        <v>599</v>
      </c>
      <c r="P123" s="145">
        <v>46085</v>
      </c>
      <c r="Q123" s="146"/>
      <c r="R123" s="146"/>
      <c r="S123" s="145"/>
      <c r="T123" s="146" t="s">
        <v>1042</v>
      </c>
      <c r="U123" s="132"/>
    </row>
    <row r="124" spans="1:21">
      <c r="A124" s="144">
        <v>109</v>
      </c>
      <c r="B124" s="145">
        <v>46085</v>
      </c>
      <c r="C124" s="146" t="s">
        <v>926</v>
      </c>
      <c r="D124" s="146" t="s">
        <v>486</v>
      </c>
      <c r="E124" s="146" t="s">
        <v>584</v>
      </c>
      <c r="F124" s="146" t="s">
        <v>765</v>
      </c>
      <c r="G124" s="146" t="s">
        <v>929</v>
      </c>
      <c r="H124" s="146" t="s">
        <v>501</v>
      </c>
      <c r="I124" s="145">
        <v>46085</v>
      </c>
      <c r="J124" s="145">
        <v>46085</v>
      </c>
      <c r="K124" s="144">
        <v>7</v>
      </c>
      <c r="L124" s="178">
        <v>65826</v>
      </c>
      <c r="M124" s="180">
        <v>0.25</v>
      </c>
      <c r="N124" s="178">
        <f>IFERROR(Tabela225[[#This Row],[VALOR  (R$)]]/Tabela225[[#This Row],[PRAZO
EXECUÇÃO]],0)</f>
        <v>9403.7142857142862</v>
      </c>
      <c r="O124" s="194" t="s">
        <v>599</v>
      </c>
      <c r="P124" s="145">
        <v>46085</v>
      </c>
      <c r="Q124" s="146"/>
      <c r="R124" s="146"/>
      <c r="S124" s="145"/>
      <c r="T124" s="146" t="s">
        <v>1789</v>
      </c>
      <c r="U124" s="132"/>
    </row>
    <row r="125" spans="1:21">
      <c r="A125" s="144">
        <v>110</v>
      </c>
      <c r="B125" s="145">
        <v>46085</v>
      </c>
      <c r="C125" s="146" t="s">
        <v>930</v>
      </c>
      <c r="D125" s="146" t="s">
        <v>931</v>
      </c>
      <c r="E125" s="146" t="s">
        <v>495</v>
      </c>
      <c r="F125" s="146" t="s">
        <v>932</v>
      </c>
      <c r="G125" s="146" t="s">
        <v>933</v>
      </c>
      <c r="H125" s="146" t="s">
        <v>520</v>
      </c>
      <c r="I125" s="145">
        <v>46090</v>
      </c>
      <c r="J125" s="145"/>
      <c r="K125" s="144"/>
      <c r="L125" s="178"/>
      <c r="M125" s="180"/>
      <c r="N125" s="178">
        <f>IFERROR(Tabela225[[#This Row],[VALOR  (R$)]]/Tabela225[[#This Row],[PRAZO
EXECUÇÃO]],0)</f>
        <v>0</v>
      </c>
      <c r="O125" s="194" t="s">
        <v>525</v>
      </c>
      <c r="P125" s="145"/>
      <c r="Q125" s="146"/>
      <c r="R125" s="146"/>
      <c r="S125" s="145"/>
      <c r="T125" s="146"/>
      <c r="U125" s="132"/>
    </row>
    <row r="126" spans="1:21">
      <c r="A126" s="144">
        <v>111</v>
      </c>
      <c r="B126" s="145">
        <v>46085</v>
      </c>
      <c r="C126" s="146" t="s">
        <v>934</v>
      </c>
      <c r="D126" s="146" t="s">
        <v>589</v>
      </c>
      <c r="E126" s="146" t="s">
        <v>495</v>
      </c>
      <c r="F126" s="146" t="s">
        <v>935</v>
      </c>
      <c r="G126" s="146" t="s">
        <v>936</v>
      </c>
      <c r="H126" s="146" t="s">
        <v>520</v>
      </c>
      <c r="I126" s="145">
        <v>46090</v>
      </c>
      <c r="J126" s="145">
        <v>46085</v>
      </c>
      <c r="K126" s="144">
        <v>2</v>
      </c>
      <c r="L126" s="188">
        <v>152130</v>
      </c>
      <c r="M126" s="181">
        <v>0.25</v>
      </c>
      <c r="N126" s="178">
        <f>IFERROR(Tabela225[[#This Row],[VALOR  (R$)]]/Tabela225[[#This Row],[PRAZO
EXECUÇÃO]],0)</f>
        <v>76065</v>
      </c>
      <c r="O126" s="194" t="s">
        <v>559</v>
      </c>
      <c r="P126" s="145"/>
      <c r="Q126" s="146"/>
      <c r="R126" s="146"/>
      <c r="S126" s="145"/>
      <c r="T126" s="146"/>
      <c r="U126" s="132"/>
    </row>
    <row r="127" spans="1:21">
      <c r="A127" s="144">
        <v>112</v>
      </c>
      <c r="B127" s="145">
        <v>46085</v>
      </c>
      <c r="C127" s="146" t="s">
        <v>937</v>
      </c>
      <c r="D127" s="146" t="s">
        <v>589</v>
      </c>
      <c r="E127" s="146" t="s">
        <v>495</v>
      </c>
      <c r="F127" s="146" t="s">
        <v>938</v>
      </c>
      <c r="G127" s="146" t="s">
        <v>939</v>
      </c>
      <c r="H127" s="146" t="s">
        <v>520</v>
      </c>
      <c r="I127" s="145">
        <v>46090</v>
      </c>
      <c r="J127" s="145">
        <v>46087</v>
      </c>
      <c r="K127" s="144">
        <v>2</v>
      </c>
      <c r="L127" s="178">
        <v>54200</v>
      </c>
      <c r="M127" s="176">
        <v>0.23</v>
      </c>
      <c r="N127" s="178">
        <f>IFERROR(Tabela225[[#This Row],[VALOR  (R$)]]/Tabela225[[#This Row],[PRAZO
EXECUÇÃO]],0)</f>
        <v>27100</v>
      </c>
      <c r="O127" s="194" t="s">
        <v>559</v>
      </c>
      <c r="P127" s="145"/>
      <c r="Q127" s="146"/>
      <c r="R127" s="146"/>
      <c r="S127" s="145"/>
      <c r="T127" s="146"/>
      <c r="U127" s="132"/>
    </row>
    <row r="128" spans="1:21">
      <c r="A128" s="144">
        <v>113</v>
      </c>
      <c r="B128" s="145">
        <v>46086</v>
      </c>
      <c r="C128" s="146" t="s">
        <v>940</v>
      </c>
      <c r="D128" s="146" t="s">
        <v>486</v>
      </c>
      <c r="E128" s="146" t="s">
        <v>584</v>
      </c>
      <c r="F128" s="146" t="s">
        <v>695</v>
      </c>
      <c r="G128" s="146" t="s">
        <v>696</v>
      </c>
      <c r="H128" s="146" t="s">
        <v>520</v>
      </c>
      <c r="I128" s="145">
        <v>46087</v>
      </c>
      <c r="J128" s="145">
        <v>46087</v>
      </c>
      <c r="K128" s="144">
        <v>45</v>
      </c>
      <c r="L128" s="178">
        <v>599400</v>
      </c>
      <c r="M128" s="176">
        <v>0.24</v>
      </c>
      <c r="N128" s="178">
        <f>IFERROR(Tabela225[[#This Row],[VALOR  (R$)]]/Tabela225[[#This Row],[PRAZO
EXECUÇÃO]],0)</f>
        <v>13320</v>
      </c>
      <c r="O128" s="194" t="s">
        <v>559</v>
      </c>
      <c r="P128" s="145"/>
      <c r="Q128" s="146"/>
      <c r="R128" s="146"/>
      <c r="S128" s="145"/>
      <c r="T128" s="146"/>
      <c r="U128" s="132"/>
    </row>
    <row r="129" spans="1:21">
      <c r="A129" s="144">
        <v>114</v>
      </c>
      <c r="B129" s="145">
        <v>46086</v>
      </c>
      <c r="C129" s="146" t="s">
        <v>945</v>
      </c>
      <c r="D129" s="146" t="s">
        <v>570</v>
      </c>
      <c r="E129" s="146" t="s">
        <v>584</v>
      </c>
      <c r="F129" s="146" t="s">
        <v>946</v>
      </c>
      <c r="G129" s="146" t="s">
        <v>947</v>
      </c>
      <c r="H129" s="146" t="s">
        <v>520</v>
      </c>
      <c r="I129" s="145">
        <v>46091</v>
      </c>
      <c r="J129" s="145">
        <v>46094</v>
      </c>
      <c r="K129" s="144">
        <f>(22*4)+(19*4)</f>
        <v>164</v>
      </c>
      <c r="L129" s="178">
        <f>(495000*4)+(435000*4)+(228000*4)+95340+95139+92947+93070+106560+105840+100050+100050</f>
        <v>5420996</v>
      </c>
      <c r="M129" s="176">
        <v>0.26</v>
      </c>
      <c r="N129" s="178">
        <f>IFERROR(Tabela225[[#This Row],[VALOR  (R$)]]/Tabela225[[#This Row],[PRAZO
EXECUÇÃO]],0)</f>
        <v>33054.853658536587</v>
      </c>
      <c r="O129" s="194" t="s">
        <v>504</v>
      </c>
      <c r="P129" s="145"/>
      <c r="Q129" s="146"/>
      <c r="R129" s="146"/>
      <c r="S129" s="145"/>
      <c r="T129" s="146"/>
      <c r="U129" s="132"/>
    </row>
    <row r="130" spans="1:21">
      <c r="A130" s="144">
        <v>115</v>
      </c>
      <c r="B130" s="145">
        <v>46086</v>
      </c>
      <c r="C130" s="146" t="s">
        <v>948</v>
      </c>
      <c r="D130" s="146" t="s">
        <v>589</v>
      </c>
      <c r="E130" s="146" t="s">
        <v>495</v>
      </c>
      <c r="F130" s="146" t="s">
        <v>590</v>
      </c>
      <c r="G130" s="146" t="s">
        <v>949</v>
      </c>
      <c r="H130" s="146" t="s">
        <v>520</v>
      </c>
      <c r="I130" s="145">
        <v>46086</v>
      </c>
      <c r="J130" s="145">
        <v>46091</v>
      </c>
      <c r="K130" s="144">
        <v>1</v>
      </c>
      <c r="L130" s="178">
        <v>10725</v>
      </c>
      <c r="M130" s="176">
        <v>0.23</v>
      </c>
      <c r="N130" s="178">
        <f>IFERROR(Tabela225[[#This Row],[VALOR  (R$)]]/Tabela225[[#This Row],[PRAZO
EXECUÇÃO]],0)</f>
        <v>10725</v>
      </c>
      <c r="O130" s="194" t="s">
        <v>599</v>
      </c>
      <c r="P130" s="145">
        <v>46111</v>
      </c>
      <c r="Q130" s="146"/>
      <c r="R130" s="146"/>
      <c r="S130" s="145"/>
      <c r="T130" s="146" t="s">
        <v>1042</v>
      </c>
      <c r="U130" s="132"/>
    </row>
    <row r="131" spans="1:21">
      <c r="A131" s="144">
        <v>116</v>
      </c>
      <c r="B131" s="145">
        <v>46087</v>
      </c>
      <c r="C131" s="146" t="s">
        <v>951</v>
      </c>
      <c r="D131" s="146" t="s">
        <v>486</v>
      </c>
      <c r="E131" s="146" t="s">
        <v>584</v>
      </c>
      <c r="F131" s="146" t="s">
        <v>952</v>
      </c>
      <c r="G131" s="146" t="s">
        <v>953</v>
      </c>
      <c r="H131" s="146" t="s">
        <v>520</v>
      </c>
      <c r="I131" s="145">
        <v>46092</v>
      </c>
      <c r="J131" s="145">
        <v>46097</v>
      </c>
      <c r="K131" s="144">
        <f>14*4</f>
        <v>56</v>
      </c>
      <c r="L131" s="178">
        <f>165200*4</f>
        <v>660800</v>
      </c>
      <c r="M131" s="176">
        <v>0.22</v>
      </c>
      <c r="N131" s="178">
        <f>IFERROR(Tabela225[[#This Row],[VALOR  (R$)]]/Tabela225[[#This Row],[PRAZO
EXECUÇÃO]],0)</f>
        <v>11800</v>
      </c>
      <c r="O131" s="194" t="s">
        <v>559</v>
      </c>
      <c r="P131" s="145"/>
      <c r="Q131" s="146"/>
      <c r="R131" s="146"/>
      <c r="S131" s="145"/>
      <c r="T131" s="146"/>
      <c r="U131" s="132"/>
    </row>
    <row r="132" spans="1:21">
      <c r="A132" s="144">
        <v>117</v>
      </c>
      <c r="B132" s="145">
        <v>46087</v>
      </c>
      <c r="C132" s="146" t="s">
        <v>954</v>
      </c>
      <c r="D132" s="146" t="s">
        <v>589</v>
      </c>
      <c r="E132" s="146" t="s">
        <v>495</v>
      </c>
      <c r="F132" s="146" t="s">
        <v>590</v>
      </c>
      <c r="G132" s="146" t="s">
        <v>955</v>
      </c>
      <c r="H132" s="146" t="s">
        <v>520</v>
      </c>
      <c r="I132" s="145">
        <v>46087</v>
      </c>
      <c r="J132" s="145">
        <v>46087</v>
      </c>
      <c r="K132" s="144">
        <v>33</v>
      </c>
      <c r="L132" s="178">
        <v>421650</v>
      </c>
      <c r="M132" s="176">
        <v>0.26</v>
      </c>
      <c r="N132" s="178">
        <f>IFERROR(Tabela225[[#This Row],[VALOR  (R$)]]/Tabela225[[#This Row],[PRAZO
EXECUÇÃO]],0)</f>
        <v>12777.272727272728</v>
      </c>
      <c r="O132" s="194" t="s">
        <v>525</v>
      </c>
      <c r="P132" s="145"/>
      <c r="Q132" s="146"/>
      <c r="R132" s="146"/>
      <c r="S132" s="145"/>
      <c r="T132" s="146"/>
      <c r="U132" s="132"/>
    </row>
    <row r="133" spans="1:21">
      <c r="A133" s="144">
        <v>118</v>
      </c>
      <c r="B133" s="145">
        <v>46090</v>
      </c>
      <c r="C133" s="145" t="s">
        <v>1134</v>
      </c>
      <c r="D133" s="146" t="s">
        <v>1135</v>
      </c>
      <c r="E133" s="146" t="s">
        <v>495</v>
      </c>
      <c r="F133" s="146" t="s">
        <v>1137</v>
      </c>
      <c r="G133" s="146" t="s">
        <v>1136</v>
      </c>
      <c r="H133" s="146" t="s">
        <v>520</v>
      </c>
      <c r="I133" s="145">
        <v>46112</v>
      </c>
      <c r="J133" s="145">
        <v>46112</v>
      </c>
      <c r="K133" s="144">
        <v>15</v>
      </c>
      <c r="L133" s="178">
        <v>251210</v>
      </c>
      <c r="M133" s="176">
        <v>0.22</v>
      </c>
      <c r="N133" s="178">
        <f>IFERROR(Tabela225[[#This Row],[VALOR  (R$)]]/Tabela225[[#This Row],[PRAZO
EXECUÇÃO]],0)</f>
        <v>16747.333333333332</v>
      </c>
      <c r="O133" s="194" t="s">
        <v>559</v>
      </c>
      <c r="P133" s="145"/>
      <c r="Q133" s="146"/>
      <c r="R133" s="146"/>
      <c r="S133" s="145"/>
      <c r="T133" s="146"/>
      <c r="U133" s="132"/>
    </row>
    <row r="134" spans="1:21">
      <c r="A134" s="144">
        <v>119</v>
      </c>
      <c r="B134" s="145">
        <v>46090</v>
      </c>
      <c r="C134" s="146" t="s">
        <v>956</v>
      </c>
      <c r="D134" s="146" t="s">
        <v>720</v>
      </c>
      <c r="E134" s="146" t="s">
        <v>495</v>
      </c>
      <c r="F134" s="146" t="s">
        <v>902</v>
      </c>
      <c r="G134" s="146" t="s">
        <v>957</v>
      </c>
      <c r="H134" s="146" t="s">
        <v>520</v>
      </c>
      <c r="I134" s="145">
        <v>46090</v>
      </c>
      <c r="J134" s="145">
        <v>46090</v>
      </c>
      <c r="K134" s="144">
        <v>2</v>
      </c>
      <c r="L134" s="178">
        <v>28040</v>
      </c>
      <c r="M134" s="176">
        <v>0.23</v>
      </c>
      <c r="N134" s="178">
        <f>IFERROR(Tabela225[[#This Row],[VALOR  (R$)]]/Tabela225[[#This Row],[PRAZO
EXECUÇÃO]],0)</f>
        <v>14020</v>
      </c>
      <c r="O134" s="194" t="s">
        <v>559</v>
      </c>
      <c r="P134" s="145"/>
      <c r="Q134" s="146"/>
      <c r="R134" s="146"/>
      <c r="S134" s="145"/>
      <c r="T134" s="146"/>
      <c r="U134" s="132"/>
    </row>
    <row r="135" spans="1:21">
      <c r="A135" s="144">
        <v>120</v>
      </c>
      <c r="B135" s="145">
        <v>46091</v>
      </c>
      <c r="C135" s="146" t="s">
        <v>958</v>
      </c>
      <c r="D135" s="146" t="s">
        <v>486</v>
      </c>
      <c r="E135" s="146" t="s">
        <v>584</v>
      </c>
      <c r="F135" s="146" t="s">
        <v>959</v>
      </c>
      <c r="G135" s="146" t="s">
        <v>960</v>
      </c>
      <c r="H135" s="146" t="s">
        <v>520</v>
      </c>
      <c r="I135" s="145">
        <v>46092</v>
      </c>
      <c r="J135" s="145">
        <v>46092</v>
      </c>
      <c r="K135" s="144">
        <v>7</v>
      </c>
      <c r="L135" s="178">
        <v>128278</v>
      </c>
      <c r="M135" s="176">
        <v>0.22</v>
      </c>
      <c r="N135" s="178">
        <f>IFERROR(Tabela225[[#This Row],[VALOR  (R$)]]/Tabela225[[#This Row],[PRAZO
EXECUÇÃO]],0)</f>
        <v>18325.428571428572</v>
      </c>
      <c r="O135" s="194" t="s">
        <v>559</v>
      </c>
      <c r="P135" s="145"/>
      <c r="Q135" s="146"/>
      <c r="R135" s="146"/>
      <c r="S135" s="145"/>
      <c r="T135" s="146"/>
      <c r="U135" s="132"/>
    </row>
    <row r="136" spans="1:21">
      <c r="A136" s="144">
        <v>121</v>
      </c>
      <c r="B136" s="145">
        <v>46093</v>
      </c>
      <c r="C136" s="146" t="s">
        <v>961</v>
      </c>
      <c r="D136" s="146" t="s">
        <v>486</v>
      </c>
      <c r="E136" s="146" t="s">
        <v>584</v>
      </c>
      <c r="F136" s="146" t="s">
        <v>962</v>
      </c>
      <c r="G136" s="146" t="s">
        <v>963</v>
      </c>
      <c r="H136" s="146" t="s">
        <v>520</v>
      </c>
      <c r="I136" s="145">
        <v>46097</v>
      </c>
      <c r="J136" s="145">
        <v>46093</v>
      </c>
      <c r="K136" s="144">
        <v>20</v>
      </c>
      <c r="L136" s="178">
        <f>107400*2</f>
        <v>214800</v>
      </c>
      <c r="M136" s="176">
        <v>0.23</v>
      </c>
      <c r="N136" s="178">
        <f>IFERROR(Tabela225[[#This Row],[VALOR  (R$)]]/Tabela225[[#This Row],[PRAZO
EXECUÇÃO]],0)</f>
        <v>10740</v>
      </c>
      <c r="O136" s="194" t="s">
        <v>599</v>
      </c>
      <c r="P136" s="145">
        <v>46113</v>
      </c>
      <c r="Q136" s="146"/>
      <c r="R136" s="146"/>
      <c r="S136" s="145"/>
      <c r="T136" s="146" t="s">
        <v>1042</v>
      </c>
      <c r="U136" s="132"/>
    </row>
    <row r="137" spans="1:21">
      <c r="A137" s="144">
        <v>122</v>
      </c>
      <c r="B137" s="145">
        <v>46093</v>
      </c>
      <c r="C137" s="146" t="s">
        <v>964</v>
      </c>
      <c r="D137" s="146" t="s">
        <v>486</v>
      </c>
      <c r="E137" s="146" t="s">
        <v>584</v>
      </c>
      <c r="F137" s="146" t="s">
        <v>611</v>
      </c>
      <c r="G137" s="146" t="s">
        <v>965</v>
      </c>
      <c r="H137" s="146" t="s">
        <v>520</v>
      </c>
      <c r="I137" s="145">
        <v>46097</v>
      </c>
      <c r="J137" s="145">
        <v>46094</v>
      </c>
      <c r="K137" s="144">
        <v>21</v>
      </c>
      <c r="L137" s="178">
        <v>239900</v>
      </c>
      <c r="M137" s="176">
        <v>0.25</v>
      </c>
      <c r="N137" s="178">
        <f>IFERROR(Tabela225[[#This Row],[VALOR  (R$)]]/Tabela225[[#This Row],[PRAZO
EXECUÇÃO]],0)</f>
        <v>11423.809523809523</v>
      </c>
      <c r="O137" s="194" t="s">
        <v>559</v>
      </c>
      <c r="P137" s="145"/>
      <c r="Q137" s="146"/>
      <c r="R137" s="146"/>
      <c r="S137" s="145"/>
      <c r="T137" s="146"/>
      <c r="U137" s="132"/>
    </row>
    <row r="138" spans="1:21">
      <c r="A138" s="144">
        <v>123</v>
      </c>
      <c r="B138" s="145">
        <v>46093</v>
      </c>
      <c r="C138" s="146" t="s">
        <v>966</v>
      </c>
      <c r="D138" s="146" t="s">
        <v>486</v>
      </c>
      <c r="E138" s="146" t="s">
        <v>584</v>
      </c>
      <c r="F138" s="146" t="s">
        <v>967</v>
      </c>
      <c r="G138" s="146" t="s">
        <v>838</v>
      </c>
      <c r="H138" s="146" t="s">
        <v>520</v>
      </c>
      <c r="I138" s="145">
        <v>46097</v>
      </c>
      <c r="J138" s="145">
        <v>46094</v>
      </c>
      <c r="K138" s="144">
        <v>18</v>
      </c>
      <c r="L138" s="178">
        <v>238573</v>
      </c>
      <c r="M138" s="176">
        <v>0.23</v>
      </c>
      <c r="N138" s="178">
        <f>IFERROR(Tabela225[[#This Row],[VALOR  (R$)]]/Tabela225[[#This Row],[PRAZO
EXECUÇÃO]],0)</f>
        <v>13254.055555555555</v>
      </c>
      <c r="O138" s="194" t="s">
        <v>559</v>
      </c>
      <c r="P138" s="145"/>
      <c r="Q138" s="146"/>
      <c r="R138" s="146"/>
      <c r="S138" s="145"/>
      <c r="T138" s="146"/>
      <c r="U138" s="132"/>
    </row>
    <row r="139" spans="1:21">
      <c r="A139" s="144">
        <v>124</v>
      </c>
      <c r="B139" s="145">
        <v>46093</v>
      </c>
      <c r="C139" s="146" t="s">
        <v>968</v>
      </c>
      <c r="D139" s="146" t="s">
        <v>563</v>
      </c>
      <c r="E139" s="146" t="s">
        <v>495</v>
      </c>
      <c r="F139" s="146" t="s">
        <v>969</v>
      </c>
      <c r="G139" s="146" t="s">
        <v>970</v>
      </c>
      <c r="H139" s="146" t="s">
        <v>520</v>
      </c>
      <c r="I139" s="145">
        <v>46101</v>
      </c>
      <c r="J139" s="145">
        <v>46099</v>
      </c>
      <c r="K139" s="144">
        <f>14+12</f>
        <v>26</v>
      </c>
      <c r="L139" s="178">
        <f>192400+236794</f>
        <v>429194</v>
      </c>
      <c r="M139" s="176">
        <v>0.22</v>
      </c>
      <c r="N139" s="178">
        <f>IFERROR(Tabela225[[#This Row],[VALOR  (R$)]]/Tabela225[[#This Row],[PRAZO
EXECUÇÃO]],0)</f>
        <v>16507.461538461539</v>
      </c>
      <c r="O139" s="194" t="s">
        <v>559</v>
      </c>
      <c r="P139" s="145"/>
      <c r="Q139" s="146"/>
      <c r="R139" s="146"/>
      <c r="S139" s="145"/>
      <c r="T139" s="146"/>
      <c r="U139" s="132"/>
    </row>
    <row r="140" spans="1:21">
      <c r="A140" s="144">
        <v>125</v>
      </c>
      <c r="B140" s="145">
        <v>46093</v>
      </c>
      <c r="C140" s="146" t="s">
        <v>971</v>
      </c>
      <c r="D140" s="146" t="s">
        <v>486</v>
      </c>
      <c r="E140" s="146" t="s">
        <v>584</v>
      </c>
      <c r="F140" s="146" t="s">
        <v>812</v>
      </c>
      <c r="G140" s="146" t="s">
        <v>972</v>
      </c>
      <c r="H140" s="146" t="s">
        <v>520</v>
      </c>
      <c r="I140" s="145">
        <v>46093</v>
      </c>
      <c r="J140" s="145">
        <v>46093</v>
      </c>
      <c r="K140" s="144">
        <v>97</v>
      </c>
      <c r="L140" s="178">
        <v>764320</v>
      </c>
      <c r="M140" s="176">
        <v>0.22</v>
      </c>
      <c r="N140" s="178">
        <f>IFERROR(Tabela225[[#This Row],[VALOR  (R$)]]/Tabela225[[#This Row],[PRAZO
EXECUÇÃO]],0)</f>
        <v>7879.5876288659792</v>
      </c>
      <c r="O140" s="194" t="s">
        <v>559</v>
      </c>
      <c r="P140" s="145"/>
      <c r="Q140" s="146"/>
      <c r="R140" s="146"/>
      <c r="S140" s="145"/>
      <c r="T140" s="146"/>
      <c r="U140" s="132"/>
    </row>
    <row r="141" spans="1:21">
      <c r="A141" s="144">
        <v>126</v>
      </c>
      <c r="B141" s="145">
        <v>46093</v>
      </c>
      <c r="C141" s="146" t="s">
        <v>973</v>
      </c>
      <c r="D141" s="146" t="s">
        <v>718</v>
      </c>
      <c r="E141" s="146" t="s">
        <v>495</v>
      </c>
      <c r="F141" s="146" t="s">
        <v>974</v>
      </c>
      <c r="G141" s="146" t="s">
        <v>975</v>
      </c>
      <c r="H141" s="146" t="s">
        <v>520</v>
      </c>
      <c r="I141" s="145">
        <v>46093</v>
      </c>
      <c r="J141" s="145"/>
      <c r="K141" s="144"/>
      <c r="L141" s="178"/>
      <c r="M141" s="176"/>
      <c r="N141" s="178">
        <f>IFERROR(Tabela225[[#This Row],[VALOR  (R$)]]/Tabela225[[#This Row],[PRAZO
EXECUÇÃO]],0)</f>
        <v>0</v>
      </c>
      <c r="O141" s="194" t="s">
        <v>525</v>
      </c>
      <c r="P141" s="145"/>
      <c r="Q141" s="146"/>
      <c r="R141" s="146"/>
      <c r="S141" s="145"/>
      <c r="T141" s="146"/>
      <c r="U141" s="132"/>
    </row>
    <row r="142" spans="1:21">
      <c r="A142" s="144">
        <v>127</v>
      </c>
      <c r="B142" s="145">
        <v>46094</v>
      </c>
      <c r="C142" s="146" t="s">
        <v>976</v>
      </c>
      <c r="D142" s="146" t="s">
        <v>486</v>
      </c>
      <c r="E142" s="146" t="s">
        <v>584</v>
      </c>
      <c r="F142" s="146" t="s">
        <v>977</v>
      </c>
      <c r="G142" s="146" t="s">
        <v>978</v>
      </c>
      <c r="H142" s="146" t="s">
        <v>520</v>
      </c>
      <c r="I142" s="145">
        <v>46098</v>
      </c>
      <c r="J142" s="145">
        <v>46093</v>
      </c>
      <c r="K142" s="144">
        <v>36</v>
      </c>
      <c r="L142" s="178">
        <v>478232</v>
      </c>
      <c r="M142" s="176">
        <v>0.25</v>
      </c>
      <c r="N142" s="178">
        <f>IFERROR(Tabela225[[#This Row],[VALOR  (R$)]]/Tabela225[[#This Row],[PRAZO
EXECUÇÃO]],0)</f>
        <v>13284.222222222223</v>
      </c>
      <c r="O142" s="194" t="s">
        <v>559</v>
      </c>
      <c r="P142" s="145"/>
      <c r="Q142" s="146"/>
      <c r="R142" s="146"/>
      <c r="S142" s="145"/>
      <c r="T142" s="146"/>
      <c r="U142" s="132"/>
    </row>
    <row r="143" spans="1:21">
      <c r="A143" s="144">
        <v>128</v>
      </c>
      <c r="B143" s="145">
        <v>46097</v>
      </c>
      <c r="C143" s="146" t="s">
        <v>979</v>
      </c>
      <c r="D143" s="146" t="s">
        <v>522</v>
      </c>
      <c r="E143" s="146" t="s">
        <v>495</v>
      </c>
      <c r="F143" s="146" t="s">
        <v>980</v>
      </c>
      <c r="G143" s="146" t="s">
        <v>1313</v>
      </c>
      <c r="H143" s="146" t="s">
        <v>520</v>
      </c>
      <c r="I143" s="145">
        <v>46101</v>
      </c>
      <c r="J143" s="145">
        <v>46099</v>
      </c>
      <c r="K143" s="144">
        <v>5</v>
      </c>
      <c r="L143" s="178">
        <v>95460</v>
      </c>
      <c r="M143" s="176">
        <v>0.25</v>
      </c>
      <c r="N143" s="178">
        <f>IFERROR(Tabela225[[#This Row],[VALOR  (R$)]]/Tabela225[[#This Row],[PRAZO
EXECUÇÃO]],0)</f>
        <v>19092</v>
      </c>
      <c r="O143" s="194" t="s">
        <v>504</v>
      </c>
      <c r="P143" s="145"/>
      <c r="Q143" s="146"/>
      <c r="R143" s="146"/>
      <c r="S143" s="145"/>
      <c r="T143" s="146"/>
      <c r="U143" s="132"/>
    </row>
    <row r="144" spans="1:21">
      <c r="A144" s="144">
        <v>129</v>
      </c>
      <c r="B144" s="145">
        <v>46098</v>
      </c>
      <c r="C144" s="146" t="s">
        <v>981</v>
      </c>
      <c r="D144" s="146" t="s">
        <v>982</v>
      </c>
      <c r="E144" s="146" t="s">
        <v>495</v>
      </c>
      <c r="F144" s="146" t="s">
        <v>983</v>
      </c>
      <c r="G144" s="146" t="s">
        <v>984</v>
      </c>
      <c r="H144" s="146" t="s">
        <v>520</v>
      </c>
      <c r="I144" s="145">
        <v>46098</v>
      </c>
      <c r="J144" s="145">
        <v>46098</v>
      </c>
      <c r="K144" s="144">
        <v>3</v>
      </c>
      <c r="L144" s="178">
        <v>44900</v>
      </c>
      <c r="M144" s="176">
        <v>0.25</v>
      </c>
      <c r="N144" s="178">
        <f>IFERROR(Tabela225[[#This Row],[VALOR  (R$)]]/Tabela225[[#This Row],[PRAZO
EXECUÇÃO]],0)</f>
        <v>14966.666666666666</v>
      </c>
      <c r="O144" s="194" t="s">
        <v>599</v>
      </c>
      <c r="P144" s="145">
        <v>46136</v>
      </c>
      <c r="Q144" s="146">
        <v>20875</v>
      </c>
      <c r="R144" s="146"/>
      <c r="S144" s="145"/>
      <c r="T144" s="146" t="s">
        <v>1042</v>
      </c>
      <c r="U144" s="132"/>
    </row>
    <row r="145" spans="1:21">
      <c r="A145" s="144">
        <v>130</v>
      </c>
      <c r="B145" s="145">
        <v>46098</v>
      </c>
      <c r="C145" s="146" t="s">
        <v>985</v>
      </c>
      <c r="D145" s="146" t="s">
        <v>486</v>
      </c>
      <c r="E145" s="146" t="s">
        <v>584</v>
      </c>
      <c r="F145" s="146" t="s">
        <v>662</v>
      </c>
      <c r="G145" s="146" t="s">
        <v>693</v>
      </c>
      <c r="H145" s="146" t="s">
        <v>520</v>
      </c>
      <c r="I145" s="145">
        <v>46099</v>
      </c>
      <c r="J145" s="145">
        <v>46099</v>
      </c>
      <c r="K145" s="144">
        <v>10</v>
      </c>
      <c r="L145" s="178">
        <v>145900</v>
      </c>
      <c r="M145" s="176">
        <v>0.22</v>
      </c>
      <c r="N145" s="178">
        <f>IFERROR(Tabela225[[#This Row],[VALOR  (R$)]]/Tabela225[[#This Row],[PRAZO
EXECUÇÃO]],0)</f>
        <v>14590</v>
      </c>
      <c r="O145" s="194" t="s">
        <v>559</v>
      </c>
      <c r="P145" s="145"/>
      <c r="Q145" s="146"/>
      <c r="R145" s="146"/>
      <c r="S145" s="145"/>
      <c r="T145" s="146"/>
      <c r="U145" s="132"/>
    </row>
    <row r="146" spans="1:21">
      <c r="A146" s="144">
        <v>131</v>
      </c>
      <c r="B146" s="145">
        <v>46098</v>
      </c>
      <c r="C146" s="146" t="s">
        <v>986</v>
      </c>
      <c r="D146" s="146" t="s">
        <v>987</v>
      </c>
      <c r="E146" s="146" t="s">
        <v>495</v>
      </c>
      <c r="F146" s="146" t="s">
        <v>988</v>
      </c>
      <c r="G146" s="146" t="s">
        <v>989</v>
      </c>
      <c r="H146" s="146" t="s">
        <v>520</v>
      </c>
      <c r="I146" s="145">
        <v>46101</v>
      </c>
      <c r="J146" s="145">
        <v>46098</v>
      </c>
      <c r="K146" s="144">
        <v>1</v>
      </c>
      <c r="L146" s="178">
        <v>11900</v>
      </c>
      <c r="M146" s="176">
        <v>0.22</v>
      </c>
      <c r="N146" s="178">
        <f>IFERROR(Tabela225[[#This Row],[VALOR  (R$)]]/Tabela225[[#This Row],[PRAZO
EXECUÇÃO]],0)</f>
        <v>11900</v>
      </c>
      <c r="O146" s="194" t="s">
        <v>559</v>
      </c>
      <c r="P146" s="145"/>
      <c r="Q146" s="146"/>
      <c r="R146" s="146"/>
      <c r="S146" s="145"/>
      <c r="T146" s="146"/>
      <c r="U146" s="132"/>
    </row>
    <row r="147" spans="1:21">
      <c r="A147" s="144">
        <v>133</v>
      </c>
      <c r="B147" s="145">
        <v>46098</v>
      </c>
      <c r="C147" s="146" t="s">
        <v>990</v>
      </c>
      <c r="D147" s="146" t="s">
        <v>919</v>
      </c>
      <c r="E147" s="146" t="s">
        <v>495</v>
      </c>
      <c r="F147" s="146" t="s">
        <v>759</v>
      </c>
      <c r="G147" s="146" t="s">
        <v>991</v>
      </c>
      <c r="H147" s="146" t="s">
        <v>520</v>
      </c>
      <c r="I147" s="145">
        <v>46099</v>
      </c>
      <c r="J147" s="145">
        <v>46099</v>
      </c>
      <c r="K147" s="144">
        <v>2</v>
      </c>
      <c r="L147" s="178">
        <v>13990</v>
      </c>
      <c r="M147" s="176">
        <v>0.2</v>
      </c>
      <c r="N147" s="178">
        <f>IFERROR(Tabela225[[#This Row],[VALOR  (R$)]]/Tabela225[[#This Row],[PRAZO
EXECUÇÃO]],0)</f>
        <v>6995</v>
      </c>
      <c r="O147" s="194" t="s">
        <v>599</v>
      </c>
      <c r="P147" s="145">
        <v>46170</v>
      </c>
      <c r="Q147" s="146"/>
      <c r="R147" s="146"/>
      <c r="S147" s="145"/>
      <c r="T147" s="146" t="s">
        <v>1042</v>
      </c>
      <c r="U147" s="132"/>
    </row>
    <row r="148" spans="1:21">
      <c r="A148" s="144">
        <v>132</v>
      </c>
      <c r="B148" s="145">
        <v>46099</v>
      </c>
      <c r="C148" s="146" t="s">
        <v>992</v>
      </c>
      <c r="D148" s="146" t="s">
        <v>486</v>
      </c>
      <c r="E148" s="146" t="s">
        <v>584</v>
      </c>
      <c r="F148" s="146" t="s">
        <v>993</v>
      </c>
      <c r="G148" s="146" t="s">
        <v>994</v>
      </c>
      <c r="H148" s="146" t="s">
        <v>520</v>
      </c>
      <c r="I148" s="145">
        <v>46099</v>
      </c>
      <c r="J148" s="145">
        <v>46101</v>
      </c>
      <c r="K148" s="144">
        <f>18*4</f>
        <v>72</v>
      </c>
      <c r="L148" s="178">
        <v>692000</v>
      </c>
      <c r="M148" s="176">
        <v>0.22</v>
      </c>
      <c r="N148" s="178">
        <f>IFERROR(Tabela225[[#This Row],[VALOR  (R$)]]/Tabela225[[#This Row],[PRAZO
EXECUÇÃO]],0)</f>
        <v>9611.1111111111113</v>
      </c>
      <c r="O148" s="194" t="s">
        <v>599</v>
      </c>
      <c r="P148" s="145">
        <v>46113</v>
      </c>
      <c r="Q148" s="146"/>
      <c r="R148" s="146"/>
      <c r="S148" s="145"/>
      <c r="T148" s="146" t="s">
        <v>1042</v>
      </c>
      <c r="U148" s="132"/>
    </row>
    <row r="149" spans="1:21">
      <c r="A149" s="144">
        <v>134</v>
      </c>
      <c r="B149" s="145">
        <v>46099</v>
      </c>
      <c r="C149" s="146" t="s">
        <v>995</v>
      </c>
      <c r="D149" s="146" t="s">
        <v>996</v>
      </c>
      <c r="E149" s="146" t="s">
        <v>495</v>
      </c>
      <c r="F149" s="146" t="s">
        <v>997</v>
      </c>
      <c r="G149" s="146" t="s">
        <v>998</v>
      </c>
      <c r="H149" s="146" t="s">
        <v>520</v>
      </c>
      <c r="I149" s="145">
        <v>46099</v>
      </c>
      <c r="J149" s="145">
        <v>46111</v>
      </c>
      <c r="K149" s="144">
        <f>10*2</f>
        <v>20</v>
      </c>
      <c r="L149" s="178">
        <v>334900</v>
      </c>
      <c r="M149" s="176">
        <v>0.21</v>
      </c>
      <c r="N149" s="178">
        <f>IFERROR(Tabela225[[#This Row],[VALOR  (R$)]]/Tabela225[[#This Row],[PRAZO
EXECUÇÃO]],0)</f>
        <v>16745</v>
      </c>
      <c r="O149" s="194" t="s">
        <v>504</v>
      </c>
      <c r="P149" s="145"/>
      <c r="Q149" s="146"/>
      <c r="R149" s="146"/>
      <c r="S149" s="145"/>
      <c r="T149" s="146"/>
      <c r="U149" s="132"/>
    </row>
    <row r="150" spans="1:21">
      <c r="A150" s="144">
        <v>135</v>
      </c>
      <c r="B150" s="145">
        <v>46099</v>
      </c>
      <c r="C150" s="146" t="s">
        <v>999</v>
      </c>
      <c r="D150" s="146" t="s">
        <v>486</v>
      </c>
      <c r="E150" s="146" t="s">
        <v>584</v>
      </c>
      <c r="F150" s="146" t="s">
        <v>1000</v>
      </c>
      <c r="G150" s="146" t="s">
        <v>1001</v>
      </c>
      <c r="H150" s="146" t="s">
        <v>520</v>
      </c>
      <c r="I150" s="145">
        <v>46101</v>
      </c>
      <c r="J150" s="145">
        <v>46100</v>
      </c>
      <c r="K150" s="144">
        <f>(8*4)+(16*4)</f>
        <v>96</v>
      </c>
      <c r="L150" s="178">
        <f>262144+754800</f>
        <v>1016944</v>
      </c>
      <c r="M150" s="176">
        <v>0.23</v>
      </c>
      <c r="N150" s="178">
        <f>IFERROR(Tabela225[[#This Row],[VALOR  (R$)]]/Tabela225[[#This Row],[PRAZO
EXECUÇÃO]],0)</f>
        <v>10593.166666666666</v>
      </c>
      <c r="O150" s="194" t="s">
        <v>559</v>
      </c>
      <c r="P150" s="145"/>
      <c r="Q150" s="146"/>
      <c r="R150" s="146"/>
      <c r="S150" s="145"/>
      <c r="T150" s="146"/>
      <c r="U150" s="132"/>
    </row>
    <row r="151" spans="1:21">
      <c r="A151" s="144">
        <v>136</v>
      </c>
      <c r="B151" s="145">
        <v>46099</v>
      </c>
      <c r="C151" s="146" t="s">
        <v>1002</v>
      </c>
      <c r="D151" s="146" t="s">
        <v>486</v>
      </c>
      <c r="E151" s="146" t="s">
        <v>584</v>
      </c>
      <c r="F151" s="146" t="s">
        <v>1003</v>
      </c>
      <c r="G151" s="146" t="s">
        <v>1004</v>
      </c>
      <c r="H151" s="146" t="s">
        <v>520</v>
      </c>
      <c r="I151" s="145">
        <v>46104</v>
      </c>
      <c r="J151" s="145">
        <v>46104</v>
      </c>
      <c r="K151" s="144">
        <f>15*3</f>
        <v>45</v>
      </c>
      <c r="L151" s="178">
        <v>553800</v>
      </c>
      <c r="M151" s="176">
        <v>0.23</v>
      </c>
      <c r="N151" s="178">
        <f>IFERROR(Tabela225[[#This Row],[VALOR  (R$)]]/Tabela225[[#This Row],[PRAZO
EXECUÇÃO]],0)</f>
        <v>12306.666666666666</v>
      </c>
      <c r="O151" s="194" t="s">
        <v>559</v>
      </c>
      <c r="P151" s="145"/>
      <c r="Q151" s="146"/>
      <c r="R151" s="146"/>
      <c r="S151" s="145"/>
      <c r="T151" s="146"/>
      <c r="U151" s="132"/>
    </row>
    <row r="152" spans="1:21">
      <c r="A152" s="144">
        <v>137</v>
      </c>
      <c r="B152" s="145">
        <v>46099</v>
      </c>
      <c r="C152" s="146" t="s">
        <v>1005</v>
      </c>
      <c r="D152" s="146" t="s">
        <v>486</v>
      </c>
      <c r="E152" s="146" t="s">
        <v>584</v>
      </c>
      <c r="F152" s="146" t="s">
        <v>762</v>
      </c>
      <c r="G152" s="146" t="s">
        <v>1006</v>
      </c>
      <c r="H152" s="146" t="s">
        <v>520</v>
      </c>
      <c r="I152" s="145">
        <v>46105</v>
      </c>
      <c r="J152" s="145">
        <v>46104</v>
      </c>
      <c r="K152" s="144">
        <f>13*4</f>
        <v>52</v>
      </c>
      <c r="L152" s="178">
        <f>136500*4</f>
        <v>546000</v>
      </c>
      <c r="M152" s="176">
        <v>0.22</v>
      </c>
      <c r="N152" s="178">
        <f>IFERROR(Tabela225[[#This Row],[VALOR  (R$)]]/Tabela225[[#This Row],[PRAZO
EXECUÇÃO]],0)</f>
        <v>10500</v>
      </c>
      <c r="O152" s="194" t="s">
        <v>599</v>
      </c>
      <c r="P152" s="145">
        <v>46111</v>
      </c>
      <c r="Q152" s="146"/>
      <c r="R152" s="146"/>
      <c r="S152" s="145"/>
      <c r="T152" s="146" t="s">
        <v>1042</v>
      </c>
      <c r="U152" s="132"/>
    </row>
    <row r="153" spans="1:21">
      <c r="A153" s="144">
        <v>138</v>
      </c>
      <c r="B153" s="145">
        <v>46099</v>
      </c>
      <c r="C153" s="146" t="s">
        <v>1007</v>
      </c>
      <c r="D153" s="146" t="s">
        <v>931</v>
      </c>
      <c r="E153" s="146" t="s">
        <v>495</v>
      </c>
      <c r="F153" s="146" t="s">
        <v>1008</v>
      </c>
      <c r="G153" s="146" t="s">
        <v>1009</v>
      </c>
      <c r="H153" s="146" t="s">
        <v>520</v>
      </c>
      <c r="I153" s="145">
        <v>46104</v>
      </c>
      <c r="J153" s="145">
        <v>46101</v>
      </c>
      <c r="K153" s="144">
        <v>2</v>
      </c>
      <c r="L153" s="178">
        <v>85384</v>
      </c>
      <c r="M153" s="176">
        <v>0.25</v>
      </c>
      <c r="N153" s="178">
        <f>IFERROR(Tabela225[[#This Row],[VALOR  (R$)]]/Tabela225[[#This Row],[PRAZO
EXECUÇÃO]],0)</f>
        <v>42692</v>
      </c>
      <c r="O153" s="194" t="s">
        <v>559</v>
      </c>
      <c r="P153" s="145"/>
      <c r="Q153" s="146"/>
      <c r="R153" s="146"/>
      <c r="S153" s="145"/>
      <c r="T153" s="146"/>
      <c r="U153" s="132"/>
    </row>
    <row r="154" spans="1:21">
      <c r="A154" s="144">
        <v>139</v>
      </c>
      <c r="B154" s="145">
        <v>46100</v>
      </c>
      <c r="C154" s="146" t="s">
        <v>1010</v>
      </c>
      <c r="D154" s="146" t="s">
        <v>987</v>
      </c>
      <c r="E154" s="146" t="s">
        <v>584</v>
      </c>
      <c r="F154" s="146" t="s">
        <v>1011</v>
      </c>
      <c r="G154" s="146" t="s">
        <v>1012</v>
      </c>
      <c r="H154" s="146" t="s">
        <v>520</v>
      </c>
      <c r="I154" s="145">
        <v>46104</v>
      </c>
      <c r="J154" s="145">
        <v>46107</v>
      </c>
      <c r="K154" s="144" t="s">
        <v>104</v>
      </c>
      <c r="L154" s="178" t="s">
        <v>104</v>
      </c>
      <c r="M154" s="176" t="s">
        <v>104</v>
      </c>
      <c r="N154" s="178">
        <f>IFERROR(Tabela225[[#This Row],[VALOR  (R$)]]/Tabela225[[#This Row],[PRAZO
EXECUÇÃO]],0)</f>
        <v>0</v>
      </c>
      <c r="O154" s="194" t="s">
        <v>599</v>
      </c>
      <c r="P154" s="145">
        <v>46157</v>
      </c>
      <c r="Q154" s="146"/>
      <c r="R154" s="146"/>
      <c r="S154" s="145"/>
      <c r="T154" s="146"/>
      <c r="U154" s="132"/>
    </row>
    <row r="155" spans="1:21">
      <c r="A155" s="144">
        <v>140</v>
      </c>
      <c r="B155" s="145">
        <v>46101</v>
      </c>
      <c r="C155" s="146" t="s">
        <v>1013</v>
      </c>
      <c r="D155" s="146" t="s">
        <v>524</v>
      </c>
      <c r="E155" s="146" t="s">
        <v>495</v>
      </c>
      <c r="F155" s="146" t="s">
        <v>1014</v>
      </c>
      <c r="G155" s="146" t="s">
        <v>1016</v>
      </c>
      <c r="H155" s="146" t="s">
        <v>520</v>
      </c>
      <c r="I155" s="145">
        <v>46104</v>
      </c>
      <c r="J155" s="145">
        <v>46101</v>
      </c>
      <c r="K155" s="144">
        <v>1</v>
      </c>
      <c r="L155" s="178">
        <f>53900+1720</f>
        <v>55620</v>
      </c>
      <c r="M155" s="180">
        <v>0.23</v>
      </c>
      <c r="N155" s="178">
        <f>IFERROR(Tabela225[[#This Row],[VALOR  (R$)]]/Tabela225[[#This Row],[PRAZO
EXECUÇÃO]],0)</f>
        <v>55620</v>
      </c>
      <c r="O155" s="194" t="s">
        <v>559</v>
      </c>
      <c r="P155" s="145"/>
      <c r="Q155" s="146"/>
      <c r="R155" s="146"/>
      <c r="S155" s="145"/>
      <c r="T155" s="146"/>
      <c r="U155" s="132"/>
    </row>
    <row r="156" spans="1:21">
      <c r="A156" s="144">
        <v>141</v>
      </c>
      <c r="B156" s="145">
        <v>46101</v>
      </c>
      <c r="C156" s="146" t="s">
        <v>1015</v>
      </c>
      <c r="D156" s="146" t="s">
        <v>524</v>
      </c>
      <c r="E156" s="146" t="s">
        <v>495</v>
      </c>
      <c r="F156" s="146" t="s">
        <v>1014</v>
      </c>
      <c r="G156" s="146" t="s">
        <v>1017</v>
      </c>
      <c r="H156" s="146" t="s">
        <v>520</v>
      </c>
      <c r="I156" s="145">
        <v>46104</v>
      </c>
      <c r="J156" s="145">
        <v>46101</v>
      </c>
      <c r="K156" s="144">
        <v>1</v>
      </c>
      <c r="L156" s="178">
        <f>147520+7120</f>
        <v>154640</v>
      </c>
      <c r="M156" s="176">
        <v>0.23</v>
      </c>
      <c r="N156" s="178">
        <f>IFERROR(Tabela225[[#This Row],[VALOR  (R$)]]/Tabela225[[#This Row],[PRAZO
EXECUÇÃO]],0)</f>
        <v>154640</v>
      </c>
      <c r="O156" s="194" t="s">
        <v>559</v>
      </c>
      <c r="P156" s="145"/>
      <c r="Q156" s="146"/>
      <c r="R156" s="146"/>
      <c r="S156" s="145"/>
      <c r="T156" s="146"/>
      <c r="U156" s="132"/>
    </row>
    <row r="157" spans="1:21">
      <c r="A157" s="144">
        <v>142</v>
      </c>
      <c r="B157" s="145">
        <v>46105</v>
      </c>
      <c r="C157" s="146" t="s">
        <v>1018</v>
      </c>
      <c r="D157" s="146" t="s">
        <v>486</v>
      </c>
      <c r="E157" s="146" t="s">
        <v>584</v>
      </c>
      <c r="F157" s="146" t="s">
        <v>1019</v>
      </c>
      <c r="G157" s="146" t="s">
        <v>1020</v>
      </c>
      <c r="H157" s="146" t="s">
        <v>520</v>
      </c>
      <c r="I157" s="145">
        <v>46105</v>
      </c>
      <c r="J157" s="145">
        <v>0</v>
      </c>
      <c r="K157" s="144"/>
      <c r="L157" s="178"/>
      <c r="M157" s="176"/>
      <c r="N157" s="178">
        <f>IFERROR(Tabela225[[#This Row],[VALOR  (R$)]]/Tabela225[[#This Row],[PRAZO
EXECUÇÃO]],0)</f>
        <v>0</v>
      </c>
      <c r="O157" s="196" t="s">
        <v>525</v>
      </c>
      <c r="P157" s="145"/>
      <c r="Q157" s="146"/>
      <c r="R157" s="146"/>
      <c r="S157" s="145"/>
      <c r="T157" s="146"/>
      <c r="U157" s="132"/>
    </row>
    <row r="158" spans="1:21">
      <c r="A158" s="144">
        <v>148</v>
      </c>
      <c r="B158" s="145">
        <v>46108</v>
      </c>
      <c r="C158" s="146" t="s">
        <v>1034</v>
      </c>
      <c r="D158" s="146" t="s">
        <v>987</v>
      </c>
      <c r="E158" s="146" t="s">
        <v>495</v>
      </c>
      <c r="F158" s="146"/>
      <c r="G158" s="146" t="s">
        <v>1035</v>
      </c>
      <c r="H158" s="146" t="s">
        <v>520</v>
      </c>
      <c r="I158" s="145">
        <v>46108</v>
      </c>
      <c r="J158" s="145"/>
      <c r="K158" s="144"/>
      <c r="L158" s="178"/>
      <c r="M158" s="176"/>
      <c r="N158" s="178">
        <f>IFERROR(Tabela225[[#This Row],[VALOR  (R$)]]/Tabela225[[#This Row],[PRAZO
EXECUÇÃO]],0)</f>
        <v>0</v>
      </c>
      <c r="O158" s="194" t="s">
        <v>525</v>
      </c>
      <c r="P158" s="145"/>
      <c r="Q158" s="146"/>
      <c r="R158" s="146"/>
      <c r="S158" s="145"/>
      <c r="T158" s="146"/>
      <c r="U158" s="132"/>
    </row>
    <row r="159" spans="1:21">
      <c r="A159" s="144">
        <v>149</v>
      </c>
      <c r="B159" s="145">
        <v>46108</v>
      </c>
      <c r="C159" s="146" t="s">
        <v>1036</v>
      </c>
      <c r="D159" s="146" t="s">
        <v>486</v>
      </c>
      <c r="E159" s="146" t="s">
        <v>584</v>
      </c>
      <c r="F159" s="146" t="s">
        <v>1037</v>
      </c>
      <c r="G159" s="146" t="s">
        <v>1033</v>
      </c>
      <c r="H159" s="146" t="s">
        <v>520</v>
      </c>
      <c r="I159" s="145">
        <v>46108</v>
      </c>
      <c r="J159" s="145">
        <v>46108</v>
      </c>
      <c r="K159" s="144">
        <v>1</v>
      </c>
      <c r="L159" s="178">
        <v>54153</v>
      </c>
      <c r="M159" s="176">
        <v>0.25</v>
      </c>
      <c r="N159" s="178">
        <f>IFERROR(Tabela225[[#This Row],[VALOR  (R$)]]/Tabela225[[#This Row],[PRAZO
EXECUÇÃO]],0)</f>
        <v>54153</v>
      </c>
      <c r="O159" s="194" t="s">
        <v>525</v>
      </c>
      <c r="P159" s="145"/>
      <c r="Q159" s="146"/>
      <c r="R159" s="146"/>
      <c r="S159" s="145"/>
      <c r="T159" s="146"/>
      <c r="U159" s="132"/>
    </row>
    <row r="160" spans="1:21">
      <c r="A160" s="144">
        <v>150</v>
      </c>
      <c r="B160" s="145">
        <v>46111</v>
      </c>
      <c r="C160" s="146" t="s">
        <v>1047</v>
      </c>
      <c r="D160" s="146" t="s">
        <v>486</v>
      </c>
      <c r="E160" s="146" t="s">
        <v>584</v>
      </c>
      <c r="F160" s="146" t="s">
        <v>1048</v>
      </c>
      <c r="G160" s="146" t="s">
        <v>1049</v>
      </c>
      <c r="H160" s="146" t="s">
        <v>520</v>
      </c>
      <c r="I160" s="145">
        <v>46111</v>
      </c>
      <c r="J160" s="145">
        <v>46111</v>
      </c>
      <c r="K160" s="144">
        <v>10</v>
      </c>
      <c r="L160" s="178">
        <v>171537</v>
      </c>
      <c r="M160" s="176">
        <v>0.22</v>
      </c>
      <c r="N160" s="178">
        <f>IFERROR(Tabela225[[#This Row],[VALOR  (R$)]]/Tabela225[[#This Row],[PRAZO
EXECUÇÃO]],0)</f>
        <v>17153.7</v>
      </c>
      <c r="O160" s="194" t="s">
        <v>559</v>
      </c>
      <c r="P160" s="145"/>
      <c r="Q160" s="146"/>
      <c r="R160" s="146"/>
      <c r="S160" s="145"/>
      <c r="T160" s="146"/>
      <c r="U160" s="132"/>
    </row>
    <row r="161" spans="1:21">
      <c r="A161" s="144">
        <v>151</v>
      </c>
      <c r="B161" s="145">
        <v>46111</v>
      </c>
      <c r="C161" s="146" t="s">
        <v>1050</v>
      </c>
      <c r="D161" s="146" t="s">
        <v>1051</v>
      </c>
      <c r="E161" s="146" t="s">
        <v>495</v>
      </c>
      <c r="F161" s="146" t="s">
        <v>1052</v>
      </c>
      <c r="G161" s="146" t="s">
        <v>1053</v>
      </c>
      <c r="H161" s="146" t="s">
        <v>520</v>
      </c>
      <c r="I161" s="145">
        <v>46113</v>
      </c>
      <c r="J161" s="145"/>
      <c r="K161" s="144"/>
      <c r="L161" s="178"/>
      <c r="M161" s="176"/>
      <c r="N161" s="178">
        <f>IFERROR(Tabela225[[#This Row],[VALOR  (R$)]]/Tabela225[[#This Row],[PRAZO
EXECUÇÃO]],0)</f>
        <v>0</v>
      </c>
      <c r="O161" s="194" t="s">
        <v>525</v>
      </c>
      <c r="P161" s="145"/>
      <c r="Q161" s="146"/>
      <c r="R161" s="146"/>
      <c r="S161" s="145"/>
      <c r="T161" s="146"/>
      <c r="U161" s="132"/>
    </row>
    <row r="162" spans="1:21">
      <c r="A162" s="144">
        <v>152</v>
      </c>
      <c r="B162" s="145">
        <v>46111</v>
      </c>
      <c r="C162" s="146" t="s">
        <v>1054</v>
      </c>
      <c r="D162" s="146" t="s">
        <v>919</v>
      </c>
      <c r="E162" s="146" t="s">
        <v>495</v>
      </c>
      <c r="F162" s="146" t="s">
        <v>759</v>
      </c>
      <c r="G162" s="146" t="s">
        <v>1055</v>
      </c>
      <c r="H162" s="146" t="s">
        <v>520</v>
      </c>
      <c r="I162" s="145">
        <v>46113</v>
      </c>
      <c r="J162" s="145">
        <v>46113</v>
      </c>
      <c r="K162" s="144">
        <v>5</v>
      </c>
      <c r="L162" s="178">
        <v>58164</v>
      </c>
      <c r="M162" s="176">
        <v>0.2</v>
      </c>
      <c r="N162" s="178">
        <f>IFERROR(Tabela225[[#This Row],[VALOR  (R$)]]/Tabela225[[#This Row],[PRAZO
EXECUÇÃO]],0)</f>
        <v>11632.8</v>
      </c>
      <c r="O162" s="194" t="s">
        <v>599</v>
      </c>
      <c r="P162" s="145">
        <v>46160</v>
      </c>
      <c r="Q162" s="146">
        <v>21196</v>
      </c>
      <c r="R162" s="146"/>
      <c r="S162" s="145"/>
      <c r="T162" s="146" t="s">
        <v>1042</v>
      </c>
      <c r="U162" s="132"/>
    </row>
    <row r="163" spans="1:21">
      <c r="A163" s="144">
        <v>153</v>
      </c>
      <c r="B163" s="145">
        <v>46111</v>
      </c>
      <c r="C163" s="146" t="s">
        <v>1056</v>
      </c>
      <c r="D163" s="146" t="s">
        <v>1057</v>
      </c>
      <c r="E163" s="146" t="s">
        <v>495</v>
      </c>
      <c r="F163" s="146" t="s">
        <v>1058</v>
      </c>
      <c r="G163" s="146" t="s">
        <v>1059</v>
      </c>
      <c r="H163" s="146" t="s">
        <v>520</v>
      </c>
      <c r="I163" s="145">
        <v>46113</v>
      </c>
      <c r="J163" s="145">
        <v>46112</v>
      </c>
      <c r="K163" s="144">
        <v>2</v>
      </c>
      <c r="L163" s="178">
        <f>45075+2473.5</f>
        <v>47548.5</v>
      </c>
      <c r="M163" s="176">
        <v>0.23</v>
      </c>
      <c r="N163" s="178">
        <f>IFERROR(Tabela225[[#This Row],[VALOR  (R$)]]/Tabela225[[#This Row],[PRAZO
EXECUÇÃO]],0)</f>
        <v>23774.25</v>
      </c>
      <c r="O163" s="194" t="s">
        <v>559</v>
      </c>
      <c r="P163" s="145"/>
      <c r="Q163" s="146"/>
      <c r="R163" s="146"/>
      <c r="S163" s="145"/>
      <c r="T163" s="146"/>
      <c r="U163" s="132"/>
    </row>
    <row r="164" spans="1:21">
      <c r="A164" s="144">
        <v>154</v>
      </c>
      <c r="B164" s="145">
        <v>46112</v>
      </c>
      <c r="C164" s="146" t="s">
        <v>1060</v>
      </c>
      <c r="D164" s="146" t="s">
        <v>486</v>
      </c>
      <c r="E164" s="146" t="s">
        <v>584</v>
      </c>
      <c r="F164" s="146" t="s">
        <v>812</v>
      </c>
      <c r="G164" s="146" t="s">
        <v>1061</v>
      </c>
      <c r="H164" s="146" t="s">
        <v>520</v>
      </c>
      <c r="I164" s="145">
        <v>46112</v>
      </c>
      <c r="J164" s="145">
        <v>46112</v>
      </c>
      <c r="K164" s="144">
        <v>30</v>
      </c>
      <c r="L164" s="178">
        <v>120000</v>
      </c>
      <c r="M164" s="176">
        <v>0.25</v>
      </c>
      <c r="N164" s="178">
        <f>IFERROR(Tabela225[[#This Row],[VALOR  (R$)]]/Tabela225[[#This Row],[PRAZO
EXECUÇÃO]],0)</f>
        <v>4000</v>
      </c>
      <c r="O164" s="194" t="s">
        <v>559</v>
      </c>
      <c r="P164" s="145"/>
      <c r="Q164" s="146"/>
      <c r="R164" s="146"/>
      <c r="S164" s="145"/>
      <c r="T164" s="146"/>
      <c r="U164" s="132"/>
    </row>
    <row r="165" spans="1:21">
      <c r="A165" s="144">
        <v>155</v>
      </c>
      <c r="B165" s="145">
        <v>46113</v>
      </c>
      <c r="C165" s="146" t="s">
        <v>1062</v>
      </c>
      <c r="D165" s="146" t="s">
        <v>486</v>
      </c>
      <c r="E165" s="146" t="s">
        <v>584</v>
      </c>
      <c r="F165" s="146" t="s">
        <v>1063</v>
      </c>
      <c r="G165" s="146" t="s">
        <v>1064</v>
      </c>
      <c r="H165" s="146" t="s">
        <v>520</v>
      </c>
      <c r="I165" s="145">
        <v>46173</v>
      </c>
      <c r="J165" s="145">
        <v>46114</v>
      </c>
      <c r="K165" s="144">
        <v>7</v>
      </c>
      <c r="L165" s="178">
        <v>80490</v>
      </c>
      <c r="M165" s="176">
        <v>0.2</v>
      </c>
      <c r="N165" s="178">
        <f>IFERROR(Tabela225[[#This Row],[VALOR  (R$)]]/Tabela225[[#This Row],[PRAZO
EXECUÇÃO]],0)</f>
        <v>11498.571428571429</v>
      </c>
      <c r="O165" s="194" t="s">
        <v>559</v>
      </c>
      <c r="P165" s="145"/>
      <c r="Q165" s="146"/>
      <c r="R165" s="146"/>
      <c r="S165" s="145"/>
      <c r="T165" s="146"/>
      <c r="U165" s="132"/>
    </row>
    <row r="166" spans="1:21">
      <c r="A166" s="144">
        <v>156</v>
      </c>
      <c r="B166" s="145">
        <v>46113</v>
      </c>
      <c r="C166" s="146" t="s">
        <v>1065</v>
      </c>
      <c r="D166" s="146" t="s">
        <v>486</v>
      </c>
      <c r="E166" s="146" t="s">
        <v>584</v>
      </c>
      <c r="F166" s="146" t="s">
        <v>1022</v>
      </c>
      <c r="G166" s="146" t="s">
        <v>1066</v>
      </c>
      <c r="H166" s="146" t="s">
        <v>520</v>
      </c>
      <c r="I166" s="145">
        <v>46118</v>
      </c>
      <c r="J166" s="145">
        <v>46118</v>
      </c>
      <c r="K166" s="144">
        <v>10</v>
      </c>
      <c r="L166" s="178">
        <v>99800</v>
      </c>
      <c r="M166" s="176">
        <v>0.22</v>
      </c>
      <c r="N166" s="178">
        <f>IFERROR(Tabela225[[#This Row],[VALOR  (R$)]]/Tabela225[[#This Row],[PRAZO
EXECUÇÃO]],0)</f>
        <v>9980</v>
      </c>
      <c r="O166" s="194" t="s">
        <v>599</v>
      </c>
      <c r="P166" s="145">
        <v>46139</v>
      </c>
      <c r="Q166" s="146">
        <v>20896</v>
      </c>
      <c r="R166" s="146"/>
      <c r="S166" s="145"/>
      <c r="T166" s="146" t="s">
        <v>1042</v>
      </c>
      <c r="U166" s="132"/>
    </row>
    <row r="167" spans="1:21">
      <c r="A167" s="144">
        <v>157</v>
      </c>
      <c r="B167" s="145">
        <v>46113</v>
      </c>
      <c r="C167" s="146" t="s">
        <v>1067</v>
      </c>
      <c r="D167" s="146" t="s">
        <v>486</v>
      </c>
      <c r="E167" s="146" t="s">
        <v>584</v>
      </c>
      <c r="F167" s="146" t="s">
        <v>646</v>
      </c>
      <c r="G167" s="146" t="s">
        <v>647</v>
      </c>
      <c r="H167" s="146" t="s">
        <v>520</v>
      </c>
      <c r="I167" s="145">
        <v>46113</v>
      </c>
      <c r="J167" s="145">
        <v>46113</v>
      </c>
      <c r="K167" s="144">
        <v>13</v>
      </c>
      <c r="L167" s="178">
        <v>224280</v>
      </c>
      <c r="M167" s="176">
        <v>0.22</v>
      </c>
      <c r="N167" s="178">
        <f>IFERROR(Tabela225[[#This Row],[VALOR  (R$)]]/Tabela225[[#This Row],[PRAZO
EXECUÇÃO]],0)</f>
        <v>17252.307692307691</v>
      </c>
      <c r="O167" s="194" t="s">
        <v>559</v>
      </c>
      <c r="P167" s="145"/>
      <c r="Q167" s="146"/>
      <c r="R167" s="146"/>
      <c r="S167" s="145"/>
      <c r="T167" s="146"/>
      <c r="U167" s="132"/>
    </row>
    <row r="168" spans="1:21">
      <c r="A168" s="144">
        <v>158</v>
      </c>
      <c r="B168" s="145">
        <v>46113</v>
      </c>
      <c r="C168" s="146" t="s">
        <v>1068</v>
      </c>
      <c r="D168" s="146" t="s">
        <v>486</v>
      </c>
      <c r="E168" s="146" t="s">
        <v>584</v>
      </c>
      <c r="F168" s="146" t="s">
        <v>710</v>
      </c>
      <c r="G168" s="146" t="s">
        <v>1069</v>
      </c>
      <c r="H168" s="146" t="s">
        <v>520</v>
      </c>
      <c r="I168" s="145">
        <v>46115</v>
      </c>
      <c r="J168" s="145">
        <v>46114</v>
      </c>
      <c r="K168" s="144">
        <v>12</v>
      </c>
      <c r="L168" s="178">
        <v>288345</v>
      </c>
      <c r="M168" s="176">
        <v>0.25</v>
      </c>
      <c r="N168" s="178">
        <f>IFERROR(Tabela225[[#This Row],[VALOR  (R$)]]/Tabela225[[#This Row],[PRAZO
EXECUÇÃO]],0)</f>
        <v>24028.75</v>
      </c>
      <c r="O168" s="194" t="s">
        <v>559</v>
      </c>
      <c r="P168" s="145"/>
      <c r="Q168" s="146"/>
      <c r="R168" s="146"/>
      <c r="S168" s="145"/>
      <c r="T168" s="146"/>
      <c r="U168" s="132"/>
    </row>
    <row r="169" spans="1:21">
      <c r="A169" s="144">
        <v>159</v>
      </c>
      <c r="B169" s="145">
        <v>46113</v>
      </c>
      <c r="C169" s="146" t="s">
        <v>1070</v>
      </c>
      <c r="D169" s="146" t="s">
        <v>486</v>
      </c>
      <c r="E169" s="146" t="s">
        <v>584</v>
      </c>
      <c r="F169" s="146" t="s">
        <v>1071</v>
      </c>
      <c r="G169" s="146" t="s">
        <v>1072</v>
      </c>
      <c r="H169" s="146" t="s">
        <v>520</v>
      </c>
      <c r="I169" s="145">
        <v>46119</v>
      </c>
      <c r="J169" s="145">
        <v>46119</v>
      </c>
      <c r="K169" s="144">
        <v>1</v>
      </c>
      <c r="L169" s="178">
        <v>65250</v>
      </c>
      <c r="M169" s="176">
        <v>0.25</v>
      </c>
      <c r="N169" s="178">
        <f>IFERROR(Tabela225[[#This Row],[VALOR  (R$)]]/Tabela225[[#This Row],[PRAZO
EXECUÇÃO]],0)</f>
        <v>65250</v>
      </c>
      <c r="O169" s="194" t="s">
        <v>559</v>
      </c>
      <c r="P169" s="145"/>
      <c r="Q169" s="146"/>
      <c r="R169" s="146"/>
      <c r="S169" s="145"/>
      <c r="T169" s="146"/>
      <c r="U169" s="132"/>
    </row>
    <row r="170" spans="1:21">
      <c r="A170" s="144">
        <v>160</v>
      </c>
      <c r="B170" s="145">
        <v>46113</v>
      </c>
      <c r="C170" s="146" t="s">
        <v>1073</v>
      </c>
      <c r="D170" s="146" t="s">
        <v>589</v>
      </c>
      <c r="E170" s="146" t="s">
        <v>495</v>
      </c>
      <c r="F170" s="146" t="s">
        <v>590</v>
      </c>
      <c r="G170" s="146" t="s">
        <v>1074</v>
      </c>
      <c r="H170" s="146" t="s">
        <v>520</v>
      </c>
      <c r="I170" s="145">
        <v>46113</v>
      </c>
      <c r="J170" s="145">
        <v>46113</v>
      </c>
      <c r="K170" s="144">
        <v>1</v>
      </c>
      <c r="L170" s="178">
        <v>10929.6</v>
      </c>
      <c r="M170" s="176">
        <v>0.2</v>
      </c>
      <c r="N170" s="178">
        <f>IFERROR(Tabela225[[#This Row],[VALOR  (R$)]]/Tabela225[[#This Row],[PRAZO
EXECUÇÃO]],0)</f>
        <v>10929.6</v>
      </c>
      <c r="O170" s="194" t="s">
        <v>599</v>
      </c>
      <c r="P170" s="145">
        <v>46150</v>
      </c>
      <c r="Q170" s="146"/>
      <c r="R170" s="146"/>
      <c r="S170" s="145"/>
      <c r="T170" s="146" t="s">
        <v>1042</v>
      </c>
      <c r="U170" s="132"/>
    </row>
    <row r="171" spans="1:21">
      <c r="A171" s="144">
        <v>161</v>
      </c>
      <c r="B171" s="145">
        <v>46113</v>
      </c>
      <c r="C171" s="146" t="s">
        <v>1075</v>
      </c>
      <c r="D171" s="146" t="s">
        <v>1076</v>
      </c>
      <c r="E171" s="146" t="s">
        <v>495</v>
      </c>
      <c r="F171" s="146" t="s">
        <v>1022</v>
      </c>
      <c r="G171" s="146" t="s">
        <v>1077</v>
      </c>
      <c r="H171" s="146" t="s">
        <v>520</v>
      </c>
      <c r="I171" s="145">
        <v>46120</v>
      </c>
      <c r="J171" s="145">
        <v>46134</v>
      </c>
      <c r="K171" s="144">
        <v>18</v>
      </c>
      <c r="L171" s="178">
        <v>142800</v>
      </c>
      <c r="M171" s="176">
        <v>0.25</v>
      </c>
      <c r="N171" s="178">
        <f>IFERROR(Tabela225[[#This Row],[VALOR  (R$)]]/Tabela225[[#This Row],[PRAZO
EXECUÇÃO]],0)</f>
        <v>7933.333333333333</v>
      </c>
      <c r="O171" s="194" t="s">
        <v>599</v>
      </c>
      <c r="P171" s="145">
        <v>46149</v>
      </c>
      <c r="Q171" s="146">
        <v>21078</v>
      </c>
      <c r="R171" s="146"/>
      <c r="S171" s="145"/>
      <c r="T171" s="146" t="s">
        <v>1042</v>
      </c>
      <c r="U171" s="132"/>
    </row>
    <row r="172" spans="1:21">
      <c r="A172" s="144">
        <v>162</v>
      </c>
      <c r="B172" s="145">
        <v>46113</v>
      </c>
      <c r="C172" s="146" t="s">
        <v>1078</v>
      </c>
      <c r="D172" s="146" t="s">
        <v>1079</v>
      </c>
      <c r="E172" s="146" t="s">
        <v>495</v>
      </c>
      <c r="F172" s="146" t="s">
        <v>1080</v>
      </c>
      <c r="G172" s="146" t="s">
        <v>1315</v>
      </c>
      <c r="H172" s="146" t="s">
        <v>520</v>
      </c>
      <c r="I172" s="145">
        <v>46113</v>
      </c>
      <c r="J172" s="145">
        <v>46113</v>
      </c>
      <c r="K172" s="144">
        <v>12</v>
      </c>
      <c r="L172" s="178">
        <v>239900</v>
      </c>
      <c r="M172" s="176">
        <v>0.3</v>
      </c>
      <c r="N172" s="178">
        <f>IFERROR(Tabela225[[#This Row],[VALOR  (R$)]]/Tabela225[[#This Row],[PRAZO
EXECUÇÃO]],0)</f>
        <v>19991.666666666668</v>
      </c>
      <c r="O172" s="194" t="s">
        <v>559</v>
      </c>
      <c r="P172" s="145"/>
      <c r="Q172" s="146"/>
      <c r="R172" s="146"/>
      <c r="S172" s="145"/>
      <c r="T172" s="146"/>
      <c r="U172" s="132"/>
    </row>
    <row r="173" spans="1:21">
      <c r="A173" s="144">
        <v>163</v>
      </c>
      <c r="B173" s="145">
        <v>46113</v>
      </c>
      <c r="C173" s="146" t="s">
        <v>1081</v>
      </c>
      <c r="D173" s="146" t="s">
        <v>1082</v>
      </c>
      <c r="E173" s="146" t="s">
        <v>495</v>
      </c>
      <c r="F173" s="146" t="s">
        <v>814</v>
      </c>
      <c r="G173" s="146" t="s">
        <v>1083</v>
      </c>
      <c r="H173" s="146" t="s">
        <v>520</v>
      </c>
      <c r="I173" s="145">
        <v>46113</v>
      </c>
      <c r="J173" s="145">
        <v>46113</v>
      </c>
      <c r="K173" s="144">
        <v>1</v>
      </c>
      <c r="L173" s="178">
        <f>182+156+182+156</f>
        <v>676</v>
      </c>
      <c r="M173" s="176">
        <v>0.3</v>
      </c>
      <c r="N173" s="178">
        <f>IFERROR(Tabela225[[#This Row],[VALOR  (R$)]]/Tabela225[[#This Row],[PRAZO
EXECUÇÃO]],0)</f>
        <v>676</v>
      </c>
      <c r="O173" s="194" t="s">
        <v>599</v>
      </c>
      <c r="P173" s="145">
        <v>46121</v>
      </c>
      <c r="Q173" s="146">
        <v>20680</v>
      </c>
      <c r="R173" s="146"/>
      <c r="S173" s="145" t="s">
        <v>1039</v>
      </c>
      <c r="T173" s="146" t="s">
        <v>1042</v>
      </c>
      <c r="U173" s="132"/>
    </row>
    <row r="174" spans="1:21">
      <c r="A174" s="144">
        <v>164</v>
      </c>
      <c r="B174" s="145">
        <v>46118</v>
      </c>
      <c r="C174" s="146" t="s">
        <v>1084</v>
      </c>
      <c r="D174" s="146" t="s">
        <v>486</v>
      </c>
      <c r="E174" s="146" t="s">
        <v>584</v>
      </c>
      <c r="F174" s="146" t="s">
        <v>1085</v>
      </c>
      <c r="G174" s="146" t="s">
        <v>1086</v>
      </c>
      <c r="H174" s="146" t="s">
        <v>520</v>
      </c>
      <c r="I174" s="145">
        <v>46122</v>
      </c>
      <c r="J174" s="145">
        <v>46121</v>
      </c>
      <c r="K174" s="144">
        <v>51</v>
      </c>
      <c r="L174" s="178">
        <v>594708</v>
      </c>
      <c r="M174" s="176">
        <v>0.24</v>
      </c>
      <c r="N174" s="178">
        <f>IFERROR(Tabela225[[#This Row],[VALOR  (R$)]]/Tabela225[[#This Row],[PRAZO
EXECUÇÃO]],0)</f>
        <v>11660.941176470587</v>
      </c>
      <c r="O174" s="194" t="s">
        <v>559</v>
      </c>
      <c r="P174" s="145"/>
      <c r="Q174" s="146"/>
      <c r="R174" s="146"/>
      <c r="S174" s="145"/>
      <c r="T174" s="146"/>
      <c r="U174" s="132"/>
    </row>
    <row r="175" spans="1:21">
      <c r="A175" s="144">
        <v>165</v>
      </c>
      <c r="B175" s="145">
        <v>46119</v>
      </c>
      <c r="C175" s="145" t="s">
        <v>1104</v>
      </c>
      <c r="D175" s="146" t="s">
        <v>486</v>
      </c>
      <c r="E175" s="146" t="s">
        <v>584</v>
      </c>
      <c r="F175" s="146" t="s">
        <v>1089</v>
      </c>
      <c r="G175" s="146" t="s">
        <v>1105</v>
      </c>
      <c r="H175" s="146" t="s">
        <v>520</v>
      </c>
      <c r="I175" s="145">
        <v>46120</v>
      </c>
      <c r="J175" s="145">
        <v>46120</v>
      </c>
      <c r="K175" s="144">
        <v>5</v>
      </c>
      <c r="L175" s="178">
        <v>114900</v>
      </c>
      <c r="M175" s="176">
        <v>0.26</v>
      </c>
      <c r="N175" s="178">
        <f>IFERROR(Tabela225[[#This Row],[VALOR  (R$)]]/Tabela225[[#This Row],[PRAZO
EXECUÇÃO]],0)</f>
        <v>22980</v>
      </c>
      <c r="O175" s="194" t="s">
        <v>599</v>
      </c>
      <c r="P175" s="145">
        <v>46120</v>
      </c>
      <c r="Q175" s="146">
        <v>20665</v>
      </c>
      <c r="R175" s="146"/>
      <c r="S175" s="145"/>
      <c r="T175" s="146" t="s">
        <v>1042</v>
      </c>
      <c r="U175" s="132"/>
    </row>
    <row r="176" spans="1:21">
      <c r="A176" s="144">
        <v>166</v>
      </c>
      <c r="B176" s="145">
        <v>46119</v>
      </c>
      <c r="C176" s="146" t="s">
        <v>1087</v>
      </c>
      <c r="D176" s="146" t="s">
        <v>1088</v>
      </c>
      <c r="E176" s="146" t="s">
        <v>495</v>
      </c>
      <c r="F176" s="146" t="s">
        <v>1089</v>
      </c>
      <c r="G176" s="146" t="s">
        <v>1314</v>
      </c>
      <c r="H176" s="146" t="s">
        <v>520</v>
      </c>
      <c r="I176" s="145">
        <v>46119</v>
      </c>
      <c r="J176" s="145">
        <v>46135</v>
      </c>
      <c r="K176" s="144">
        <v>3</v>
      </c>
      <c r="L176" s="178">
        <v>113810</v>
      </c>
      <c r="M176" s="176">
        <v>0.2</v>
      </c>
      <c r="N176" s="178">
        <f>IFERROR(Tabela225[[#This Row],[VALOR  (R$)]]/Tabela225[[#This Row],[PRAZO
EXECUÇÃO]],0)</f>
        <v>37936.666666666664</v>
      </c>
      <c r="O176" s="194" t="s">
        <v>599</v>
      </c>
      <c r="P176" s="145">
        <v>46274</v>
      </c>
      <c r="Q176" s="146"/>
      <c r="R176" s="146"/>
      <c r="S176" s="145"/>
      <c r="T176" s="146"/>
      <c r="U176" s="132"/>
    </row>
    <row r="177" spans="1:21">
      <c r="A177" s="144">
        <v>167</v>
      </c>
      <c r="B177" s="145">
        <v>46120</v>
      </c>
      <c r="C177" s="146" t="s">
        <v>1090</v>
      </c>
      <c r="D177" s="146" t="s">
        <v>486</v>
      </c>
      <c r="E177" s="146" t="s">
        <v>584</v>
      </c>
      <c r="F177" s="146" t="s">
        <v>790</v>
      </c>
      <c r="G177" s="146" t="s">
        <v>1091</v>
      </c>
      <c r="H177" s="146" t="s">
        <v>501</v>
      </c>
      <c r="I177" s="145">
        <v>46120</v>
      </c>
      <c r="J177" s="145">
        <v>46120</v>
      </c>
      <c r="K177" s="144">
        <v>2</v>
      </c>
      <c r="L177" s="178">
        <v>49900</v>
      </c>
      <c r="M177" s="176">
        <v>0.19</v>
      </c>
      <c r="N177" s="178">
        <f>IFERROR(Tabela225[[#This Row],[VALOR  (R$)]]/Tabela225[[#This Row],[PRAZO
EXECUÇÃO]],0)</f>
        <v>24950</v>
      </c>
      <c r="O177" s="194" t="s">
        <v>656</v>
      </c>
      <c r="P177" s="145"/>
      <c r="Q177" s="146"/>
      <c r="R177" s="146"/>
      <c r="S177" s="145"/>
      <c r="T177" s="146"/>
      <c r="U177" s="132"/>
    </row>
    <row r="178" spans="1:21">
      <c r="A178" s="144">
        <v>168</v>
      </c>
      <c r="B178" s="145">
        <v>46120</v>
      </c>
      <c r="C178" s="146" t="s">
        <v>1092</v>
      </c>
      <c r="D178" s="146" t="s">
        <v>486</v>
      </c>
      <c r="E178" s="146" t="s">
        <v>584</v>
      </c>
      <c r="F178" s="146" t="s">
        <v>1022</v>
      </c>
      <c r="G178" s="146" t="s">
        <v>1093</v>
      </c>
      <c r="H178" s="146" t="s">
        <v>501</v>
      </c>
      <c r="I178" s="145">
        <v>46120</v>
      </c>
      <c r="J178" s="145">
        <v>46120</v>
      </c>
      <c r="K178" s="144">
        <v>1</v>
      </c>
      <c r="L178" s="178">
        <v>4914</v>
      </c>
      <c r="M178" s="176">
        <v>0</v>
      </c>
      <c r="N178" s="178">
        <f>IFERROR(Tabela225[[#This Row],[VALOR  (R$)]]/Tabela225[[#This Row],[PRAZO
EXECUÇÃO]],0)</f>
        <v>4914</v>
      </c>
      <c r="O178" s="194" t="s">
        <v>599</v>
      </c>
      <c r="P178" s="145">
        <v>46156</v>
      </c>
      <c r="Q178" s="146"/>
      <c r="R178" s="146"/>
      <c r="S178" s="145" t="s">
        <v>1039</v>
      </c>
      <c r="T178" s="146" t="s">
        <v>1042</v>
      </c>
      <c r="U178" s="132"/>
    </row>
    <row r="179" spans="1:21">
      <c r="A179" s="144">
        <v>169</v>
      </c>
      <c r="B179" s="145">
        <v>46120</v>
      </c>
      <c r="C179" s="146" t="s">
        <v>1094</v>
      </c>
      <c r="D179" s="146" t="s">
        <v>1095</v>
      </c>
      <c r="E179" s="146" t="s">
        <v>584</v>
      </c>
      <c r="F179" s="146" t="s">
        <v>611</v>
      </c>
      <c r="G179" s="146" t="s">
        <v>1096</v>
      </c>
      <c r="H179" s="146" t="s">
        <v>520</v>
      </c>
      <c r="I179" s="145">
        <v>46120</v>
      </c>
      <c r="J179" s="145">
        <v>46120</v>
      </c>
      <c r="K179" s="144">
        <v>7</v>
      </c>
      <c r="L179" s="178">
        <v>79426</v>
      </c>
      <c r="M179" s="176">
        <v>0.23</v>
      </c>
      <c r="N179" s="178">
        <f>IFERROR(Tabela225[[#This Row],[VALOR  (R$)]]/Tabela225[[#This Row],[PRAZO
EXECUÇÃO]],0)</f>
        <v>11346.571428571429</v>
      </c>
      <c r="O179" s="194" t="s">
        <v>559</v>
      </c>
      <c r="P179" s="145"/>
      <c r="Q179" s="146"/>
      <c r="R179" s="146"/>
      <c r="S179" s="145"/>
      <c r="T179" s="146"/>
      <c r="U179" s="132"/>
    </row>
    <row r="180" spans="1:21">
      <c r="A180" s="144">
        <v>170</v>
      </c>
      <c r="B180" s="145">
        <v>46120</v>
      </c>
      <c r="C180" s="146" t="s">
        <v>1097</v>
      </c>
      <c r="D180" s="146" t="s">
        <v>589</v>
      </c>
      <c r="E180" s="146" t="s">
        <v>495</v>
      </c>
      <c r="F180" s="146" t="s">
        <v>590</v>
      </c>
      <c r="G180" s="146" t="s">
        <v>1098</v>
      </c>
      <c r="H180" s="146" t="s">
        <v>520</v>
      </c>
      <c r="I180" s="145">
        <v>46117</v>
      </c>
      <c r="J180" s="145">
        <v>46117</v>
      </c>
      <c r="K180" s="144">
        <v>4</v>
      </c>
      <c r="L180" s="178">
        <v>18200</v>
      </c>
      <c r="M180" s="176">
        <v>0.21</v>
      </c>
      <c r="N180" s="178">
        <f>IFERROR(Tabela225[[#This Row],[VALOR  (R$)]]/Tabela225[[#This Row],[PRAZO
EXECUÇÃO]],0)</f>
        <v>4550</v>
      </c>
      <c r="O180" s="194" t="s">
        <v>599</v>
      </c>
      <c r="P180" s="145">
        <v>46139</v>
      </c>
      <c r="Q180" s="146">
        <v>20889</v>
      </c>
      <c r="R180" s="146"/>
      <c r="S180" s="145"/>
      <c r="T180" s="146" t="s">
        <v>1042</v>
      </c>
      <c r="U180" s="132"/>
    </row>
    <row r="181" spans="1:21">
      <c r="A181" s="144">
        <v>171</v>
      </c>
      <c r="B181" s="145">
        <v>46121</v>
      </c>
      <c r="C181" s="146" t="s">
        <v>1099</v>
      </c>
      <c r="D181" s="146" t="s">
        <v>1224</v>
      </c>
      <c r="E181" s="146" t="s">
        <v>495</v>
      </c>
      <c r="F181" s="146" t="s">
        <v>1100</v>
      </c>
      <c r="G181" s="146" t="s">
        <v>1101</v>
      </c>
      <c r="H181" s="146" t="s">
        <v>520</v>
      </c>
      <c r="I181" s="145">
        <v>46125</v>
      </c>
      <c r="J181" s="145">
        <v>46139</v>
      </c>
      <c r="K181" s="144">
        <v>20</v>
      </c>
      <c r="L181" s="178">
        <v>750000</v>
      </c>
      <c r="M181" s="176">
        <v>0.2</v>
      </c>
      <c r="N181" s="178">
        <f>IFERROR(Tabela225[[#This Row],[VALOR  (R$)]]/Tabela225[[#This Row],[PRAZO
EXECUÇÃO]],0)</f>
        <v>37500</v>
      </c>
      <c r="O181" s="194" t="s">
        <v>559</v>
      </c>
      <c r="P181" s="145"/>
      <c r="Q181" s="146"/>
      <c r="R181" s="146"/>
      <c r="S181" s="145"/>
      <c r="T181" s="146"/>
      <c r="U181" s="132"/>
    </row>
    <row r="182" spans="1:21">
      <c r="A182" s="144">
        <v>172</v>
      </c>
      <c r="B182" s="145">
        <v>46121</v>
      </c>
      <c r="C182" s="146" t="s">
        <v>1102</v>
      </c>
      <c r="D182" s="146" t="s">
        <v>801</v>
      </c>
      <c r="E182" s="146" t="s">
        <v>495</v>
      </c>
      <c r="F182" s="146" t="s">
        <v>799</v>
      </c>
      <c r="G182" s="146" t="s">
        <v>1103</v>
      </c>
      <c r="H182" s="146" t="s">
        <v>520</v>
      </c>
      <c r="I182" s="145">
        <v>46121</v>
      </c>
      <c r="J182" s="145">
        <v>46121</v>
      </c>
      <c r="K182" s="144">
        <v>8</v>
      </c>
      <c r="L182" s="178">
        <v>499560</v>
      </c>
      <c r="M182" s="176">
        <v>0.11</v>
      </c>
      <c r="N182" s="178">
        <f>IFERROR(Tabela225[[#This Row],[VALOR  (R$)]]/Tabela225[[#This Row],[PRAZO
EXECUÇÃO]],0)</f>
        <v>62445</v>
      </c>
      <c r="O182" s="194" t="s">
        <v>559</v>
      </c>
      <c r="P182" s="145"/>
      <c r="Q182" s="146"/>
      <c r="R182" s="146"/>
      <c r="S182" s="145"/>
      <c r="T182" s="146"/>
      <c r="U182" s="132"/>
    </row>
    <row r="183" spans="1:21">
      <c r="A183" s="144">
        <v>173</v>
      </c>
      <c r="B183" s="145">
        <v>46122</v>
      </c>
      <c r="C183" s="146" t="s">
        <v>1106</v>
      </c>
      <c r="D183" s="146" t="s">
        <v>486</v>
      </c>
      <c r="E183" s="146" t="s">
        <v>584</v>
      </c>
      <c r="F183" s="146" t="s">
        <v>1107</v>
      </c>
      <c r="G183" s="146" t="s">
        <v>1108</v>
      </c>
      <c r="H183" s="146" t="s">
        <v>520</v>
      </c>
      <c r="I183" s="145">
        <v>46125</v>
      </c>
      <c r="J183" s="145">
        <v>46125</v>
      </c>
      <c r="K183" s="144">
        <v>18</v>
      </c>
      <c r="L183" s="178">
        <v>276630</v>
      </c>
      <c r="M183" s="176">
        <v>0.23</v>
      </c>
      <c r="N183" s="178">
        <f>IFERROR(Tabela225[[#This Row],[VALOR  (R$)]]/Tabela225[[#This Row],[PRAZO
EXECUÇÃO]],0)</f>
        <v>15368.333333333334</v>
      </c>
      <c r="O183" s="194" t="s">
        <v>559</v>
      </c>
      <c r="P183" s="145"/>
      <c r="Q183" s="146"/>
      <c r="R183" s="146"/>
      <c r="S183" s="145"/>
      <c r="T183" s="146"/>
      <c r="U183" s="132"/>
    </row>
    <row r="184" spans="1:21">
      <c r="A184" s="144">
        <v>174</v>
      </c>
      <c r="B184" s="145">
        <v>46122</v>
      </c>
      <c r="C184" s="146" t="s">
        <v>1109</v>
      </c>
      <c r="D184" s="146" t="s">
        <v>486</v>
      </c>
      <c r="E184" s="146" t="s">
        <v>584</v>
      </c>
      <c r="F184" s="146" t="s">
        <v>773</v>
      </c>
      <c r="G184" s="146" t="s">
        <v>774</v>
      </c>
      <c r="H184" s="146" t="s">
        <v>520</v>
      </c>
      <c r="I184" s="145">
        <v>46128</v>
      </c>
      <c r="J184" s="145">
        <v>46127</v>
      </c>
      <c r="K184" s="144">
        <v>45</v>
      </c>
      <c r="L184" s="178">
        <v>596700</v>
      </c>
      <c r="M184" s="176">
        <v>0.22</v>
      </c>
      <c r="N184" s="178">
        <f>IFERROR(Tabela225[[#This Row],[VALOR  (R$)]]/Tabela225[[#This Row],[PRAZO
EXECUÇÃO]],0)</f>
        <v>13260</v>
      </c>
      <c r="O184" s="194" t="s">
        <v>559</v>
      </c>
      <c r="P184" s="145"/>
      <c r="Q184" s="146"/>
      <c r="R184" s="146"/>
      <c r="S184" s="145"/>
      <c r="T184" s="146"/>
      <c r="U184" s="132"/>
    </row>
    <row r="185" spans="1:21">
      <c r="A185" s="144">
        <v>175</v>
      </c>
      <c r="B185" s="145">
        <v>46122</v>
      </c>
      <c r="C185" s="146" t="s">
        <v>1110</v>
      </c>
      <c r="D185" s="146" t="s">
        <v>486</v>
      </c>
      <c r="E185" s="146" t="s">
        <v>584</v>
      </c>
      <c r="F185" s="146" t="s">
        <v>1111</v>
      </c>
      <c r="G185" s="146" t="s">
        <v>1112</v>
      </c>
      <c r="H185" s="146" t="s">
        <v>520</v>
      </c>
      <c r="I185" s="145">
        <v>46128</v>
      </c>
      <c r="J185" s="145">
        <v>46127</v>
      </c>
      <c r="K185" s="144">
        <v>4</v>
      </c>
      <c r="L185" s="178">
        <v>79400</v>
      </c>
      <c r="M185" s="176">
        <v>0.25</v>
      </c>
      <c r="N185" s="178">
        <f>IFERROR(Tabela225[[#This Row],[VALOR  (R$)]]/Tabela225[[#This Row],[PRAZO
EXECUÇÃO]],0)</f>
        <v>19850</v>
      </c>
      <c r="O185" s="194" t="s">
        <v>559</v>
      </c>
      <c r="P185" s="145"/>
      <c r="Q185" s="146"/>
      <c r="R185" s="146"/>
      <c r="S185" s="145"/>
      <c r="T185" s="146"/>
      <c r="U185" s="132"/>
    </row>
    <row r="186" spans="1:21">
      <c r="A186" s="144">
        <v>176</v>
      </c>
      <c r="B186" s="145">
        <v>46122</v>
      </c>
      <c r="C186" s="145" t="s">
        <v>1129</v>
      </c>
      <c r="D186" s="146" t="s">
        <v>486</v>
      </c>
      <c r="E186" s="146" t="s">
        <v>584</v>
      </c>
      <c r="F186" s="146" t="s">
        <v>611</v>
      </c>
      <c r="G186" s="146" t="s">
        <v>1130</v>
      </c>
      <c r="H186" s="146" t="s">
        <v>520</v>
      </c>
      <c r="I186" s="145">
        <v>46128</v>
      </c>
      <c r="J186" s="145">
        <v>46127</v>
      </c>
      <c r="K186" s="144">
        <v>8</v>
      </c>
      <c r="L186" s="178">
        <v>158800</v>
      </c>
      <c r="M186" s="176">
        <v>0.23</v>
      </c>
      <c r="N186" s="178">
        <f>IFERROR(Tabela225[[#This Row],[VALOR  (R$)]]/Tabela225[[#This Row],[PRAZO
EXECUÇÃO]],0)</f>
        <v>19850</v>
      </c>
      <c r="O186" s="194" t="s">
        <v>559</v>
      </c>
      <c r="P186" s="145"/>
      <c r="Q186" s="146"/>
      <c r="R186" s="146"/>
      <c r="S186" s="145"/>
      <c r="T186" s="146"/>
      <c r="U186" s="132"/>
    </row>
    <row r="187" spans="1:21">
      <c r="A187" s="144">
        <v>177</v>
      </c>
      <c r="B187" s="145">
        <v>46125</v>
      </c>
      <c r="C187" s="145" t="s">
        <v>1113</v>
      </c>
      <c r="D187" s="146" t="s">
        <v>486</v>
      </c>
      <c r="E187" s="146" t="s">
        <v>584</v>
      </c>
      <c r="F187" s="146" t="s">
        <v>728</v>
      </c>
      <c r="G187" s="146" t="s">
        <v>1114</v>
      </c>
      <c r="H187" s="146" t="s">
        <v>520</v>
      </c>
      <c r="I187" s="145">
        <v>46128</v>
      </c>
      <c r="J187" s="145">
        <v>46125</v>
      </c>
      <c r="K187" s="144">
        <v>2</v>
      </c>
      <c r="L187" s="178">
        <v>70000</v>
      </c>
      <c r="M187" s="176">
        <v>0.2</v>
      </c>
      <c r="N187" s="178">
        <f>IFERROR(Tabela225[[#This Row],[VALOR  (R$)]]/Tabela225[[#This Row],[PRAZO
EXECUÇÃO]],0)</f>
        <v>35000</v>
      </c>
      <c r="O187" s="194" t="s">
        <v>559</v>
      </c>
      <c r="P187" s="145"/>
      <c r="Q187" s="146"/>
      <c r="R187" s="146"/>
      <c r="S187" s="145"/>
      <c r="T187" s="146"/>
      <c r="U187" s="132"/>
    </row>
    <row r="188" spans="1:21">
      <c r="A188" s="144">
        <v>178</v>
      </c>
      <c r="B188" s="145">
        <v>46125</v>
      </c>
      <c r="C188" s="145" t="s">
        <v>1115</v>
      </c>
      <c r="D188" s="146" t="s">
        <v>486</v>
      </c>
      <c r="E188" s="146" t="s">
        <v>584</v>
      </c>
      <c r="F188" s="146" t="s">
        <v>1116</v>
      </c>
      <c r="G188" s="146" t="s">
        <v>1117</v>
      </c>
      <c r="H188" s="146" t="s">
        <v>520</v>
      </c>
      <c r="I188" s="145">
        <v>46128</v>
      </c>
      <c r="J188" s="145">
        <v>46128</v>
      </c>
      <c r="K188" s="144">
        <v>10</v>
      </c>
      <c r="L188" s="178">
        <v>161220</v>
      </c>
      <c r="M188" s="176">
        <v>0.25</v>
      </c>
      <c r="N188" s="178">
        <f>IFERROR(Tabela225[[#This Row],[VALOR  (R$)]]/Tabela225[[#This Row],[PRAZO
EXECUÇÃO]],0)</f>
        <v>16122</v>
      </c>
      <c r="O188" s="194" t="s">
        <v>559</v>
      </c>
      <c r="P188" s="145"/>
      <c r="Q188" s="146"/>
      <c r="R188" s="146"/>
      <c r="S188" s="145"/>
      <c r="T188" s="146"/>
      <c r="U188" s="132"/>
    </row>
    <row r="189" spans="1:21">
      <c r="A189" s="144">
        <v>179</v>
      </c>
      <c r="B189" s="145">
        <v>46126</v>
      </c>
      <c r="C189" s="145" t="s">
        <v>1118</v>
      </c>
      <c r="D189" s="146" t="s">
        <v>987</v>
      </c>
      <c r="E189" s="146" t="s">
        <v>584</v>
      </c>
      <c r="F189" s="146" t="s">
        <v>1119</v>
      </c>
      <c r="G189" s="146" t="s">
        <v>1120</v>
      </c>
      <c r="H189" s="146" t="s">
        <v>520</v>
      </c>
      <c r="I189" s="145">
        <v>46126</v>
      </c>
      <c r="J189" s="145">
        <v>46126</v>
      </c>
      <c r="K189" s="144">
        <v>14</v>
      </c>
      <c r="L189" s="178">
        <v>106222.86</v>
      </c>
      <c r="M189" s="176">
        <v>0.22</v>
      </c>
      <c r="N189" s="178">
        <f>IFERROR(Tabela225[[#This Row],[VALOR  (R$)]]/Tabela225[[#This Row],[PRAZO
EXECUÇÃO]],0)</f>
        <v>7587.3471428571429</v>
      </c>
      <c r="O189" s="194" t="s">
        <v>559</v>
      </c>
      <c r="P189" s="145"/>
      <c r="Q189" s="146"/>
      <c r="R189" s="146"/>
      <c r="S189" s="145"/>
      <c r="T189" s="146"/>
      <c r="U189" s="132"/>
    </row>
    <row r="190" spans="1:21">
      <c r="A190" s="144">
        <v>180</v>
      </c>
      <c r="B190" s="145">
        <v>46126</v>
      </c>
      <c r="C190" s="145" t="s">
        <v>1121</v>
      </c>
      <c r="D190" s="146" t="s">
        <v>486</v>
      </c>
      <c r="E190" s="146" t="s">
        <v>584</v>
      </c>
      <c r="F190" s="146" t="s">
        <v>1122</v>
      </c>
      <c r="G190" s="146" t="s">
        <v>1123</v>
      </c>
      <c r="H190" s="146" t="s">
        <v>520</v>
      </c>
      <c r="I190" s="145">
        <v>46128</v>
      </c>
      <c r="J190" s="145">
        <v>46128</v>
      </c>
      <c r="K190" s="144">
        <v>20</v>
      </c>
      <c r="L190" s="178">
        <v>310100</v>
      </c>
      <c r="M190" s="176">
        <v>0.25</v>
      </c>
      <c r="N190" s="178">
        <f>IFERROR(Tabela225[[#This Row],[VALOR  (R$)]]/Tabela225[[#This Row],[PRAZO
EXECUÇÃO]],0)</f>
        <v>15505</v>
      </c>
      <c r="O190" s="194" t="s">
        <v>504</v>
      </c>
      <c r="P190" s="145"/>
      <c r="Q190" s="146"/>
      <c r="R190" s="146"/>
      <c r="S190" s="145"/>
      <c r="T190" s="146"/>
      <c r="U190" s="132"/>
    </row>
    <row r="191" spans="1:21">
      <c r="A191" s="144">
        <v>181</v>
      </c>
      <c r="B191" s="145">
        <v>46126</v>
      </c>
      <c r="C191" s="145" t="s">
        <v>1124</v>
      </c>
      <c r="D191" s="146" t="s">
        <v>486</v>
      </c>
      <c r="E191" s="146" t="s">
        <v>584</v>
      </c>
      <c r="F191" s="146" t="s">
        <v>1125</v>
      </c>
      <c r="G191" s="146" t="s">
        <v>810</v>
      </c>
      <c r="H191" s="146" t="s">
        <v>520</v>
      </c>
      <c r="I191" s="145">
        <v>46128</v>
      </c>
      <c r="J191" s="145">
        <v>46128</v>
      </c>
      <c r="K191" s="144">
        <v>10</v>
      </c>
      <c r="L191" s="178">
        <v>196720</v>
      </c>
      <c r="M191" s="176">
        <v>0.23</v>
      </c>
      <c r="N191" s="178">
        <f>IFERROR(Tabela225[[#This Row],[VALOR  (R$)]]/Tabela225[[#This Row],[PRAZO
EXECUÇÃO]],0)</f>
        <v>19672</v>
      </c>
      <c r="O191" s="194" t="s">
        <v>504</v>
      </c>
      <c r="P191" s="145"/>
      <c r="Q191" s="146"/>
      <c r="R191" s="146"/>
      <c r="S191" s="145"/>
      <c r="T191" s="146"/>
      <c r="U191" s="132"/>
    </row>
    <row r="192" spans="1:21">
      <c r="A192" s="144">
        <v>182</v>
      </c>
      <c r="B192" s="145">
        <v>46126</v>
      </c>
      <c r="C192" s="145" t="s">
        <v>1126</v>
      </c>
      <c r="D192" s="146" t="s">
        <v>987</v>
      </c>
      <c r="E192" s="146" t="s">
        <v>584</v>
      </c>
      <c r="F192" s="146" t="s">
        <v>1127</v>
      </c>
      <c r="G192" s="146" t="s">
        <v>1128</v>
      </c>
      <c r="H192" s="146" t="s">
        <v>520</v>
      </c>
      <c r="I192" s="145">
        <v>46126</v>
      </c>
      <c r="J192" s="145">
        <v>46126</v>
      </c>
      <c r="K192" s="144">
        <f>13+18</f>
        <v>31</v>
      </c>
      <c r="L192" s="178">
        <v>298604</v>
      </c>
      <c r="M192" s="176">
        <v>0.22</v>
      </c>
      <c r="N192" s="178">
        <f>IFERROR(Tabela225[[#This Row],[VALOR  (R$)]]/Tabela225[[#This Row],[PRAZO
EXECUÇÃO]],0)</f>
        <v>9632.3870967741932</v>
      </c>
      <c r="O192" s="194" t="s">
        <v>504</v>
      </c>
      <c r="P192" s="145"/>
      <c r="Q192" s="146"/>
      <c r="R192" s="146"/>
      <c r="S192" s="145"/>
      <c r="T192" s="146"/>
      <c r="U192" s="132"/>
    </row>
    <row r="193" spans="1:21">
      <c r="A193" s="144">
        <v>183</v>
      </c>
      <c r="B193" s="145">
        <v>46126</v>
      </c>
      <c r="C193" s="145" t="s">
        <v>1447</v>
      </c>
      <c r="D193" s="146" t="s">
        <v>524</v>
      </c>
      <c r="E193" s="146" t="s">
        <v>495</v>
      </c>
      <c r="F193" s="146"/>
      <c r="G193" s="146" t="s">
        <v>1448</v>
      </c>
      <c r="H193" s="146" t="s">
        <v>520</v>
      </c>
      <c r="I193" s="145">
        <v>46126</v>
      </c>
      <c r="J193" s="145"/>
      <c r="K193" s="144"/>
      <c r="L193" s="178"/>
      <c r="M193" s="176"/>
      <c r="N193" s="178">
        <f>IFERROR(Tabela225[[#This Row],[VALOR  (R$)]]/Tabela225[[#This Row],[PRAZO
EXECUÇÃO]],0)</f>
        <v>0</v>
      </c>
      <c r="O193" s="194" t="s">
        <v>525</v>
      </c>
      <c r="P193" s="145"/>
      <c r="Q193" s="146"/>
      <c r="R193" s="146"/>
      <c r="S193" s="145"/>
      <c r="T193" s="146"/>
      <c r="U193" s="132"/>
    </row>
    <row r="194" spans="1:21">
      <c r="A194" s="144">
        <v>184</v>
      </c>
      <c r="B194" s="145">
        <v>46127</v>
      </c>
      <c r="C194" s="145" t="s">
        <v>1131</v>
      </c>
      <c r="D194" s="146" t="s">
        <v>1132</v>
      </c>
      <c r="E194" s="146" t="s">
        <v>495</v>
      </c>
      <c r="F194" s="146" t="s">
        <v>812</v>
      </c>
      <c r="G194" s="146" t="s">
        <v>1133</v>
      </c>
      <c r="H194" s="146" t="s">
        <v>520</v>
      </c>
      <c r="I194" s="145">
        <v>46128</v>
      </c>
      <c r="J194" s="145">
        <v>46127</v>
      </c>
      <c r="K194" s="144">
        <v>2</v>
      </c>
      <c r="L194" s="178">
        <v>53760</v>
      </c>
      <c r="M194" s="176">
        <v>0.25</v>
      </c>
      <c r="N194" s="178">
        <f>IFERROR(Tabela225[[#This Row],[VALOR  (R$)]]/Tabela225[[#This Row],[PRAZO
EXECUÇÃO]],0)</f>
        <v>26880</v>
      </c>
      <c r="O194" s="194" t="s">
        <v>559</v>
      </c>
      <c r="P194" s="145"/>
      <c r="Q194" s="146"/>
      <c r="R194" s="146"/>
      <c r="S194" s="145"/>
      <c r="T194" s="146"/>
      <c r="U194" s="132"/>
    </row>
    <row r="195" spans="1:21">
      <c r="A195" s="144">
        <v>185</v>
      </c>
      <c r="B195" s="145">
        <v>46129</v>
      </c>
      <c r="C195" s="145" t="s">
        <v>1138</v>
      </c>
      <c r="D195" s="146" t="s">
        <v>583</v>
      </c>
      <c r="E195" s="146" t="s">
        <v>584</v>
      </c>
      <c r="F195" s="146" t="s">
        <v>659</v>
      </c>
      <c r="G195" s="146" t="s">
        <v>1139</v>
      </c>
      <c r="H195" s="146" t="s">
        <v>520</v>
      </c>
      <c r="I195" s="145">
        <v>46129</v>
      </c>
      <c r="J195" s="145">
        <v>46129</v>
      </c>
      <c r="K195" s="144">
        <v>1</v>
      </c>
      <c r="L195" s="178">
        <v>45800</v>
      </c>
      <c r="M195" s="176">
        <v>0.25</v>
      </c>
      <c r="N195" s="178">
        <f>IFERROR(Tabela225[[#This Row],[VALOR  (R$)]]/Tabela225[[#This Row],[PRAZO
EXECUÇÃO]],0)</f>
        <v>45800</v>
      </c>
      <c r="O195" s="194" t="s">
        <v>525</v>
      </c>
      <c r="P195" s="145"/>
      <c r="Q195" s="146"/>
      <c r="R195" s="146"/>
      <c r="S195" s="145"/>
      <c r="T195" s="146"/>
      <c r="U195" s="132"/>
    </row>
    <row r="196" spans="1:21">
      <c r="A196" s="144">
        <v>186</v>
      </c>
      <c r="B196" s="145">
        <v>46129</v>
      </c>
      <c r="C196" s="145" t="s">
        <v>1140</v>
      </c>
      <c r="D196" s="146" t="s">
        <v>394</v>
      </c>
      <c r="E196" s="146" t="s">
        <v>495</v>
      </c>
      <c r="F196" s="146" t="s">
        <v>1141</v>
      </c>
      <c r="G196" s="146" t="s">
        <v>1142</v>
      </c>
      <c r="H196" s="146" t="s">
        <v>520</v>
      </c>
      <c r="I196" s="145">
        <v>46129</v>
      </c>
      <c r="J196" s="145">
        <v>46129</v>
      </c>
      <c r="K196" s="144">
        <v>1</v>
      </c>
      <c r="L196" s="178">
        <v>103640.6</v>
      </c>
      <c r="M196" s="176">
        <v>0.3</v>
      </c>
      <c r="N196" s="178">
        <f>IFERROR(Tabela225[[#This Row],[VALOR  (R$)]]/Tabela225[[#This Row],[PRAZO
EXECUÇÃO]],0)</f>
        <v>103640.6</v>
      </c>
      <c r="O196" s="194" t="s">
        <v>559</v>
      </c>
      <c r="P196" s="145"/>
      <c r="Q196" s="146"/>
      <c r="R196" s="146"/>
      <c r="S196" s="145"/>
      <c r="T196" s="146"/>
      <c r="U196" s="132"/>
    </row>
    <row r="197" spans="1:21">
      <c r="A197" s="144">
        <v>187</v>
      </c>
      <c r="B197" s="145">
        <v>46132</v>
      </c>
      <c r="C197" s="145" t="s">
        <v>1143</v>
      </c>
      <c r="D197" s="145" t="s">
        <v>1144</v>
      </c>
      <c r="E197" s="146" t="s">
        <v>495</v>
      </c>
      <c r="F197" s="146" t="s">
        <v>1145</v>
      </c>
      <c r="G197" s="146" t="s">
        <v>1146</v>
      </c>
      <c r="H197" s="146" t="s">
        <v>520</v>
      </c>
      <c r="I197" s="145">
        <v>46133</v>
      </c>
      <c r="J197" s="145">
        <v>46134</v>
      </c>
      <c r="K197" s="144">
        <v>1</v>
      </c>
      <c r="L197" s="178">
        <v>17400</v>
      </c>
      <c r="M197" s="176">
        <v>0.21</v>
      </c>
      <c r="N197" s="178">
        <f>IFERROR(Tabela225[[#This Row],[VALOR  (R$)]]/Tabela225[[#This Row],[PRAZO
EXECUÇÃO]],0)</f>
        <v>17400</v>
      </c>
      <c r="O197" s="194" t="s">
        <v>599</v>
      </c>
      <c r="P197" s="145">
        <v>46219</v>
      </c>
      <c r="Q197" s="146">
        <v>22126</v>
      </c>
      <c r="R197" s="146"/>
      <c r="S197" s="145"/>
      <c r="T197" s="146"/>
      <c r="U197" s="132"/>
    </row>
    <row r="198" spans="1:21">
      <c r="A198" s="144">
        <v>188</v>
      </c>
      <c r="B198" s="145">
        <v>46132</v>
      </c>
      <c r="C198" s="145" t="s">
        <v>1147</v>
      </c>
      <c r="D198" s="145" t="s">
        <v>486</v>
      </c>
      <c r="E198" s="146" t="s">
        <v>584</v>
      </c>
      <c r="F198" s="146" t="s">
        <v>1148</v>
      </c>
      <c r="G198" s="146" t="s">
        <v>1149</v>
      </c>
      <c r="H198" s="146" t="s">
        <v>520</v>
      </c>
      <c r="I198" s="145">
        <v>46133</v>
      </c>
      <c r="J198" s="145">
        <v>46134</v>
      </c>
      <c r="K198" s="144">
        <v>1</v>
      </c>
      <c r="L198" s="178">
        <v>22900</v>
      </c>
      <c r="M198" s="176">
        <v>0.25</v>
      </c>
      <c r="N198" s="178">
        <f>IFERROR(Tabela225[[#This Row],[VALOR  (R$)]]/Tabela225[[#This Row],[PRAZO
EXECUÇÃO]],0)</f>
        <v>22900</v>
      </c>
      <c r="O198" s="194" t="s">
        <v>559</v>
      </c>
      <c r="P198" s="145"/>
      <c r="Q198" s="146"/>
      <c r="R198" s="146"/>
      <c r="S198" s="145"/>
      <c r="T198" s="146"/>
      <c r="U198" s="132"/>
    </row>
    <row r="199" spans="1:21">
      <c r="A199" s="144">
        <v>189</v>
      </c>
      <c r="B199" s="145">
        <v>46132</v>
      </c>
      <c r="C199" s="145" t="s">
        <v>1150</v>
      </c>
      <c r="D199" s="146" t="s">
        <v>486</v>
      </c>
      <c r="E199" s="146" t="s">
        <v>584</v>
      </c>
      <c r="F199" s="146" t="s">
        <v>770</v>
      </c>
      <c r="G199" s="146" t="s">
        <v>1151</v>
      </c>
      <c r="H199" s="146" t="s">
        <v>501</v>
      </c>
      <c r="I199" s="145">
        <v>46134</v>
      </c>
      <c r="J199" s="145">
        <v>46134</v>
      </c>
      <c r="K199" s="144">
        <v>2</v>
      </c>
      <c r="L199" s="178">
        <v>30790</v>
      </c>
      <c r="M199" s="176">
        <v>0.25</v>
      </c>
      <c r="N199" s="178">
        <f>IFERROR(Tabela225[[#This Row],[VALOR  (R$)]]/Tabela225[[#This Row],[PRAZO
EXECUÇÃO]],0)</f>
        <v>15395</v>
      </c>
      <c r="O199" s="194" t="s">
        <v>656</v>
      </c>
      <c r="P199" s="145"/>
      <c r="Q199" s="146"/>
      <c r="R199" s="146"/>
      <c r="S199" s="145"/>
      <c r="T199" s="146"/>
      <c r="U199" s="132"/>
    </row>
    <row r="200" spans="1:21">
      <c r="A200" s="144">
        <v>190</v>
      </c>
      <c r="B200" s="145">
        <v>46134</v>
      </c>
      <c r="C200" s="145" t="s">
        <v>1152</v>
      </c>
      <c r="D200" s="146" t="s">
        <v>486</v>
      </c>
      <c r="E200" s="146" t="s">
        <v>584</v>
      </c>
      <c r="F200" s="146" t="s">
        <v>1153</v>
      </c>
      <c r="G200" s="146" t="s">
        <v>1154</v>
      </c>
      <c r="H200" s="146" t="s">
        <v>520</v>
      </c>
      <c r="I200" s="145">
        <v>46139</v>
      </c>
      <c r="J200" s="145">
        <v>46139</v>
      </c>
      <c r="K200" s="144">
        <v>10</v>
      </c>
      <c r="L200" s="178">
        <v>167500</v>
      </c>
      <c r="M200" s="176">
        <v>0.25</v>
      </c>
      <c r="N200" s="178">
        <f>IFERROR(Tabela225[[#This Row],[VALOR  (R$)]]/Tabela225[[#This Row],[PRAZO
EXECUÇÃO]],0)</f>
        <v>16750</v>
      </c>
      <c r="O200" s="194" t="s">
        <v>559</v>
      </c>
      <c r="P200" s="145"/>
      <c r="Q200" s="146"/>
      <c r="R200" s="146"/>
      <c r="S200" s="145"/>
      <c r="T200" s="146"/>
      <c r="U200" s="132"/>
    </row>
    <row r="201" spans="1:21">
      <c r="A201" s="144">
        <v>191</v>
      </c>
      <c r="B201" s="145">
        <v>46134</v>
      </c>
      <c r="C201" s="145" t="s">
        <v>1155</v>
      </c>
      <c r="D201" s="146" t="s">
        <v>486</v>
      </c>
      <c r="E201" s="146" t="s">
        <v>584</v>
      </c>
      <c r="F201" s="146" t="s">
        <v>1156</v>
      </c>
      <c r="G201" s="146" t="s">
        <v>1157</v>
      </c>
      <c r="H201" s="146" t="s">
        <v>520</v>
      </c>
      <c r="I201" s="145">
        <v>46136</v>
      </c>
      <c r="J201" s="145">
        <v>46135</v>
      </c>
      <c r="K201" s="144">
        <f>18*3</f>
        <v>54</v>
      </c>
      <c r="L201" s="178">
        <f>219900*3</f>
        <v>659700</v>
      </c>
      <c r="M201" s="176">
        <v>0.23</v>
      </c>
      <c r="N201" s="178">
        <f>IFERROR(Tabela225[[#This Row],[VALOR  (R$)]]/Tabela225[[#This Row],[PRAZO
EXECUÇÃO]],0)</f>
        <v>12216.666666666666</v>
      </c>
      <c r="O201" s="194" t="s">
        <v>504</v>
      </c>
      <c r="P201" s="145"/>
      <c r="Q201" s="146"/>
      <c r="R201" s="146"/>
      <c r="S201" s="145"/>
      <c r="T201" s="146"/>
      <c r="U201" s="132"/>
    </row>
    <row r="202" spans="1:21">
      <c r="A202" s="144">
        <v>192</v>
      </c>
      <c r="B202" s="145">
        <v>46134</v>
      </c>
      <c r="C202" s="145" t="s">
        <v>1158</v>
      </c>
      <c r="D202" s="146" t="s">
        <v>486</v>
      </c>
      <c r="E202" s="146" t="s">
        <v>584</v>
      </c>
      <c r="F202" s="146" t="s">
        <v>1159</v>
      </c>
      <c r="G202" s="146" t="s">
        <v>1160</v>
      </c>
      <c r="H202" s="146" t="s">
        <v>520</v>
      </c>
      <c r="I202" s="145">
        <v>46136</v>
      </c>
      <c r="J202" s="145">
        <v>46139</v>
      </c>
      <c r="K202" s="144">
        <v>10</v>
      </c>
      <c r="L202" s="178">
        <f>162740+27000</f>
        <v>189740</v>
      </c>
      <c r="M202" s="176">
        <v>0.24440000000000001</v>
      </c>
      <c r="N202" s="178">
        <f>IFERROR(Tabela225[[#This Row],[VALOR  (R$)]]/Tabela225[[#This Row],[PRAZO
EXECUÇÃO]],0)</f>
        <v>18974</v>
      </c>
      <c r="O202" s="194" t="s">
        <v>504</v>
      </c>
      <c r="P202" s="145"/>
      <c r="Q202" s="146"/>
      <c r="R202" s="146"/>
      <c r="S202" s="145"/>
      <c r="T202" s="146"/>
      <c r="U202" s="132"/>
    </row>
    <row r="203" spans="1:21">
      <c r="A203" s="144">
        <v>193</v>
      </c>
      <c r="B203" s="145">
        <v>46134</v>
      </c>
      <c r="C203" s="145" t="s">
        <v>1161</v>
      </c>
      <c r="D203" s="146" t="s">
        <v>486</v>
      </c>
      <c r="E203" s="146" t="s">
        <v>584</v>
      </c>
      <c r="F203" s="146" t="s">
        <v>684</v>
      </c>
      <c r="G203" s="146" t="s">
        <v>1162</v>
      </c>
      <c r="H203" s="146" t="s">
        <v>520</v>
      </c>
      <c r="I203" s="145">
        <v>46136</v>
      </c>
      <c r="J203" s="145">
        <v>46136</v>
      </c>
      <c r="K203" s="144">
        <f>15*3</f>
        <v>45</v>
      </c>
      <c r="L203" s="178">
        <f>154852*3</f>
        <v>464556</v>
      </c>
      <c r="M203" s="176">
        <v>0.22720000000000001</v>
      </c>
      <c r="N203" s="178">
        <f>IFERROR(Tabela225[[#This Row],[VALOR  (R$)]]/Tabela225[[#This Row],[PRAZO
EXECUÇÃO]],0)</f>
        <v>10323.466666666667</v>
      </c>
      <c r="O203" s="194" t="s">
        <v>559</v>
      </c>
      <c r="P203" s="145"/>
      <c r="Q203" s="146"/>
      <c r="R203" s="146"/>
      <c r="S203" s="145"/>
      <c r="T203" s="146"/>
      <c r="U203" s="132"/>
    </row>
    <row r="204" spans="1:21">
      <c r="A204" s="144">
        <v>194</v>
      </c>
      <c r="B204" s="145">
        <v>46135</v>
      </c>
      <c r="C204" s="145" t="s">
        <v>1163</v>
      </c>
      <c r="D204" s="146" t="s">
        <v>486</v>
      </c>
      <c r="E204" s="146" t="s">
        <v>584</v>
      </c>
      <c r="F204" s="146" t="s">
        <v>1164</v>
      </c>
      <c r="G204" s="146" t="s">
        <v>1165</v>
      </c>
      <c r="H204" s="146" t="s">
        <v>520</v>
      </c>
      <c r="I204" s="145">
        <v>46139</v>
      </c>
      <c r="J204" s="145">
        <v>46139</v>
      </c>
      <c r="K204" s="144">
        <v>10</v>
      </c>
      <c r="L204" s="178">
        <f>149100+27000</f>
        <v>176100</v>
      </c>
      <c r="M204" s="176">
        <v>0.25</v>
      </c>
      <c r="N204" s="178">
        <f>IFERROR(Tabela225[[#This Row],[VALOR  (R$)]]/Tabela225[[#This Row],[PRAZO
EXECUÇÃO]],0)</f>
        <v>17610</v>
      </c>
      <c r="O204" s="194" t="s">
        <v>559</v>
      </c>
      <c r="P204" s="145"/>
      <c r="Q204" s="146"/>
      <c r="R204" s="146"/>
      <c r="S204" s="145"/>
      <c r="T204" s="146"/>
      <c r="U204" s="132"/>
    </row>
    <row r="205" spans="1:21">
      <c r="A205" s="144">
        <v>195</v>
      </c>
      <c r="B205" s="145">
        <v>46135</v>
      </c>
      <c r="C205" s="145" t="s">
        <v>1170</v>
      </c>
      <c r="D205" s="146" t="s">
        <v>486</v>
      </c>
      <c r="E205" s="146" t="s">
        <v>584</v>
      </c>
      <c r="F205" s="146" t="s">
        <v>1166</v>
      </c>
      <c r="G205" s="146" t="s">
        <v>1167</v>
      </c>
      <c r="H205" s="146" t="s">
        <v>520</v>
      </c>
      <c r="I205" s="145">
        <v>46136</v>
      </c>
      <c r="J205" s="145">
        <v>46136</v>
      </c>
      <c r="K205" s="144">
        <v>14</v>
      </c>
      <c r="L205" s="178">
        <v>249900</v>
      </c>
      <c r="M205" s="176">
        <v>0.22</v>
      </c>
      <c r="N205" s="178">
        <f>IFERROR(Tabela225[[#This Row],[VALOR  (R$)]]/Tabela225[[#This Row],[PRAZO
EXECUÇÃO]],0)</f>
        <v>17850</v>
      </c>
      <c r="O205" s="194" t="s">
        <v>559</v>
      </c>
      <c r="P205" s="145"/>
      <c r="Q205" s="146"/>
      <c r="R205" s="146"/>
      <c r="S205" s="145"/>
      <c r="T205" s="146"/>
      <c r="U205" s="132"/>
    </row>
    <row r="206" spans="1:21">
      <c r="A206" s="144">
        <v>196</v>
      </c>
      <c r="B206" s="145">
        <v>46135</v>
      </c>
      <c r="C206" s="145" t="s">
        <v>1169</v>
      </c>
      <c r="D206" s="146" t="s">
        <v>649</v>
      </c>
      <c r="E206" s="146" t="s">
        <v>495</v>
      </c>
      <c r="F206" s="146" t="s">
        <v>814</v>
      </c>
      <c r="G206" s="146" t="s">
        <v>1171</v>
      </c>
      <c r="H206" s="146" t="s">
        <v>520</v>
      </c>
      <c r="I206" s="145">
        <v>46135</v>
      </c>
      <c r="J206" s="145">
        <v>46135</v>
      </c>
      <c r="K206" s="144">
        <v>5</v>
      </c>
      <c r="L206" s="178">
        <v>69000</v>
      </c>
      <c r="M206" s="176">
        <v>0.23</v>
      </c>
      <c r="N206" s="178">
        <f>IFERROR(Tabela225[[#This Row],[VALOR  (R$)]]/Tabela225[[#This Row],[PRAZO
EXECUÇÃO]],0)</f>
        <v>13800</v>
      </c>
      <c r="O206" s="194" t="s">
        <v>599</v>
      </c>
      <c r="P206" s="145">
        <v>46140</v>
      </c>
      <c r="Q206" s="146">
        <v>20903</v>
      </c>
      <c r="R206" s="146"/>
      <c r="S206" s="145"/>
      <c r="T206" s="146" t="s">
        <v>1042</v>
      </c>
      <c r="U206" s="132"/>
    </row>
    <row r="207" spans="1:21">
      <c r="A207" s="144">
        <v>197</v>
      </c>
      <c r="B207" s="145">
        <v>46135</v>
      </c>
      <c r="C207" s="145" t="s">
        <v>1172</v>
      </c>
      <c r="D207" s="146" t="s">
        <v>649</v>
      </c>
      <c r="E207" s="146" t="s">
        <v>495</v>
      </c>
      <c r="F207" s="146" t="s">
        <v>650</v>
      </c>
      <c r="G207" s="146" t="s">
        <v>1173</v>
      </c>
      <c r="H207" s="146" t="s">
        <v>520</v>
      </c>
      <c r="I207" s="145">
        <v>46135</v>
      </c>
      <c r="J207" s="145">
        <v>46135</v>
      </c>
      <c r="K207" s="144">
        <v>1</v>
      </c>
      <c r="L207" s="178">
        <v>18900</v>
      </c>
      <c r="M207" s="176">
        <v>0.24</v>
      </c>
      <c r="N207" s="178">
        <f>IFERROR(Tabela225[[#This Row],[VALOR  (R$)]]/Tabela225[[#This Row],[PRAZO
EXECUÇÃO]],0)</f>
        <v>18900</v>
      </c>
      <c r="O207" s="194" t="s">
        <v>599</v>
      </c>
      <c r="P207" s="145">
        <v>46136</v>
      </c>
      <c r="Q207" s="146">
        <v>19596</v>
      </c>
      <c r="R207" s="146"/>
      <c r="S207" s="145"/>
      <c r="T207" s="146" t="s">
        <v>1042</v>
      </c>
      <c r="U207" s="132"/>
    </row>
    <row r="208" spans="1:21">
      <c r="A208" s="144">
        <v>198</v>
      </c>
      <c r="B208" s="145">
        <v>46135</v>
      </c>
      <c r="C208" s="145" t="s">
        <v>1168</v>
      </c>
      <c r="D208" s="146" t="s">
        <v>1082</v>
      </c>
      <c r="E208" s="146" t="s">
        <v>495</v>
      </c>
      <c r="F208" s="146" t="s">
        <v>814</v>
      </c>
      <c r="G208" s="146" t="s">
        <v>1174</v>
      </c>
      <c r="H208" s="146" t="s">
        <v>520</v>
      </c>
      <c r="I208" s="145">
        <v>46135</v>
      </c>
      <c r="J208" s="145">
        <v>46135</v>
      </c>
      <c r="K208" s="144">
        <v>1</v>
      </c>
      <c r="L208" s="178">
        <v>50000</v>
      </c>
      <c r="M208" s="176">
        <v>0.2</v>
      </c>
      <c r="N208" s="178">
        <f>IFERROR(Tabela225[[#This Row],[VALOR  (R$)]]/Tabela225[[#This Row],[PRAZO
EXECUÇÃO]],0)</f>
        <v>50000</v>
      </c>
      <c r="O208" s="194" t="s">
        <v>504</v>
      </c>
      <c r="P208" s="145"/>
      <c r="Q208" s="146"/>
      <c r="R208" s="146"/>
      <c r="S208" s="145"/>
      <c r="T208" s="146"/>
      <c r="U208" s="132"/>
    </row>
    <row r="209" spans="1:21">
      <c r="A209" s="144">
        <v>199</v>
      </c>
      <c r="B209" s="145">
        <v>46135</v>
      </c>
      <c r="C209" s="145" t="s">
        <v>1175</v>
      </c>
      <c r="D209" s="146" t="s">
        <v>987</v>
      </c>
      <c r="E209" s="146" t="s">
        <v>495</v>
      </c>
      <c r="F209" s="146" t="s">
        <v>1037</v>
      </c>
      <c r="G209" s="146" t="s">
        <v>1176</v>
      </c>
      <c r="H209" s="146" t="s">
        <v>520</v>
      </c>
      <c r="I209" s="145">
        <v>46136</v>
      </c>
      <c r="J209" s="145">
        <v>46136</v>
      </c>
      <c r="K209" s="144">
        <v>6</v>
      </c>
      <c r="L209" s="178">
        <v>102200</v>
      </c>
      <c r="M209" s="176">
        <v>0.25</v>
      </c>
      <c r="N209" s="178">
        <f>IFERROR(Tabela225[[#This Row],[VALOR  (R$)]]/Tabela225[[#This Row],[PRAZO
EXECUÇÃO]],0)</f>
        <v>17033.333333333332</v>
      </c>
      <c r="O209" s="194" t="s">
        <v>504</v>
      </c>
      <c r="P209" s="145"/>
      <c r="Q209" s="146"/>
      <c r="R209" s="146"/>
      <c r="S209" s="145"/>
      <c r="T209" s="146"/>
      <c r="U209" s="132"/>
    </row>
    <row r="210" spans="1:21">
      <c r="A210" s="144">
        <v>200</v>
      </c>
      <c r="B210" s="145">
        <v>46136</v>
      </c>
      <c r="C210" s="145" t="s">
        <v>1177</v>
      </c>
      <c r="D210" s="146" t="s">
        <v>486</v>
      </c>
      <c r="E210" s="146" t="s">
        <v>584</v>
      </c>
      <c r="F210" s="146" t="s">
        <v>1178</v>
      </c>
      <c r="G210" s="146" t="s">
        <v>880</v>
      </c>
      <c r="H210" s="146" t="s">
        <v>520</v>
      </c>
      <c r="I210" s="145">
        <v>46136</v>
      </c>
      <c r="J210" s="145" t="s">
        <v>1179</v>
      </c>
      <c r="K210" s="144">
        <v>14</v>
      </c>
      <c r="L210" s="178">
        <f>132990*2</f>
        <v>265980</v>
      </c>
      <c r="M210" s="176">
        <v>0.21</v>
      </c>
      <c r="N210" s="178">
        <f>IFERROR(Tabela225[[#This Row],[VALOR  (R$)]]/Tabela225[[#This Row],[PRAZO
EXECUÇÃO]],0)</f>
        <v>18998.571428571428</v>
      </c>
      <c r="O210" s="194" t="s">
        <v>559</v>
      </c>
      <c r="P210" s="145"/>
      <c r="Q210" s="146"/>
      <c r="R210" s="146"/>
      <c r="S210" s="145"/>
      <c r="T210" s="146"/>
      <c r="U210" s="132"/>
    </row>
    <row r="211" spans="1:21">
      <c r="A211" s="144">
        <v>201</v>
      </c>
      <c r="B211" s="145">
        <v>46136</v>
      </c>
      <c r="C211" s="145" t="s">
        <v>1180</v>
      </c>
      <c r="D211" s="146" t="s">
        <v>486</v>
      </c>
      <c r="E211" s="146" t="s">
        <v>584</v>
      </c>
      <c r="F211" s="146" t="s">
        <v>1181</v>
      </c>
      <c r="G211" s="146" t="s">
        <v>1182</v>
      </c>
      <c r="H211" s="146" t="s">
        <v>501</v>
      </c>
      <c r="I211" s="145">
        <v>46136</v>
      </c>
      <c r="J211" s="145">
        <v>46136</v>
      </c>
      <c r="K211" s="144">
        <v>7</v>
      </c>
      <c r="L211" s="178">
        <v>76979</v>
      </c>
      <c r="M211" s="176">
        <v>0</v>
      </c>
      <c r="N211" s="178">
        <f>IFERROR(Tabela225[[#This Row],[VALOR  (R$)]]/Tabela225[[#This Row],[PRAZO
EXECUÇÃO]],0)</f>
        <v>10997</v>
      </c>
      <c r="O211" s="194" t="s">
        <v>599</v>
      </c>
      <c r="P211" s="145">
        <v>46170</v>
      </c>
      <c r="Q211" s="146"/>
      <c r="R211" s="146"/>
      <c r="S211" s="145"/>
      <c r="T211" s="146" t="s">
        <v>1042</v>
      </c>
      <c r="U211" s="132"/>
    </row>
    <row r="212" spans="1:21">
      <c r="A212" s="144">
        <v>202</v>
      </c>
      <c r="B212" s="145">
        <v>46136</v>
      </c>
      <c r="C212" s="145" t="s">
        <v>1183</v>
      </c>
      <c r="D212" s="146" t="s">
        <v>469</v>
      </c>
      <c r="E212" s="146" t="s">
        <v>584</v>
      </c>
      <c r="F212" s="146" t="s">
        <v>1089</v>
      </c>
      <c r="G212" s="146" t="s">
        <v>1184</v>
      </c>
      <c r="H212" s="146" t="s">
        <v>520</v>
      </c>
      <c r="I212" s="145">
        <v>46136</v>
      </c>
      <c r="J212" s="145">
        <v>46136</v>
      </c>
      <c r="K212" s="144">
        <v>6</v>
      </c>
      <c r="L212" s="178">
        <v>99800</v>
      </c>
      <c r="M212" s="176">
        <v>0.22</v>
      </c>
      <c r="N212" s="178">
        <f>IFERROR(Tabela225[[#This Row],[VALOR  (R$)]]/Tabela225[[#This Row],[PRAZO
EXECUÇÃO]],0)</f>
        <v>16633.333333333332</v>
      </c>
      <c r="O212" s="194" t="s">
        <v>559</v>
      </c>
      <c r="P212" s="145"/>
      <c r="Q212" s="146"/>
      <c r="R212" s="146"/>
      <c r="S212" s="145"/>
      <c r="T212" s="146"/>
      <c r="U212" s="132"/>
    </row>
    <row r="213" spans="1:21">
      <c r="A213" s="144">
        <v>203</v>
      </c>
      <c r="B213" s="145">
        <v>46136</v>
      </c>
      <c r="C213" s="145" t="s">
        <v>1185</v>
      </c>
      <c r="D213" s="146" t="s">
        <v>649</v>
      </c>
      <c r="E213" s="146" t="s">
        <v>495</v>
      </c>
      <c r="F213" s="146" t="s">
        <v>814</v>
      </c>
      <c r="G213" s="146" t="s">
        <v>1186</v>
      </c>
      <c r="H213" s="146" t="s">
        <v>520</v>
      </c>
      <c r="I213" s="145">
        <v>46136</v>
      </c>
      <c r="J213" s="145">
        <v>46136</v>
      </c>
      <c r="K213" s="144">
        <v>1</v>
      </c>
      <c r="L213" s="178">
        <v>188890</v>
      </c>
      <c r="M213" s="176">
        <v>0.22</v>
      </c>
      <c r="N213" s="178">
        <f>IFERROR(Tabela225[[#This Row],[VALOR  (R$)]]/Tabela225[[#This Row],[PRAZO
EXECUÇÃO]],0)</f>
        <v>188890</v>
      </c>
      <c r="O213" s="194" t="s">
        <v>559</v>
      </c>
      <c r="P213" s="145"/>
      <c r="Q213" s="146"/>
      <c r="R213" s="146"/>
      <c r="S213" s="145"/>
      <c r="T213" s="146"/>
      <c r="U213" s="132"/>
    </row>
    <row r="214" spans="1:21">
      <c r="A214" s="144">
        <v>143</v>
      </c>
      <c r="B214" s="145">
        <v>46137</v>
      </c>
      <c r="C214" s="146" t="s">
        <v>1021</v>
      </c>
      <c r="D214" s="146" t="s">
        <v>486</v>
      </c>
      <c r="E214" s="146" t="s">
        <v>584</v>
      </c>
      <c r="F214" s="146" t="s">
        <v>1022</v>
      </c>
      <c r="G214" s="146" t="s">
        <v>1023</v>
      </c>
      <c r="H214" s="146" t="s">
        <v>501</v>
      </c>
      <c r="I214" s="145">
        <v>46106</v>
      </c>
      <c r="J214" s="145">
        <v>46106</v>
      </c>
      <c r="K214" s="144">
        <v>1</v>
      </c>
      <c r="L214" s="178">
        <v>5460</v>
      </c>
      <c r="M214" s="176">
        <v>0.25</v>
      </c>
      <c r="N214" s="178">
        <f>IFERROR(Tabela225[[#This Row],[VALOR  (R$)]]/Tabela225[[#This Row],[PRAZO
EXECUÇÃO]],0)</f>
        <v>5460</v>
      </c>
      <c r="O214" s="194" t="s">
        <v>599</v>
      </c>
      <c r="P214" s="145">
        <v>46129</v>
      </c>
      <c r="Q214" s="146"/>
      <c r="R214" s="146"/>
      <c r="S214" s="145"/>
      <c r="T214" s="146" t="s">
        <v>1042</v>
      </c>
      <c r="U214" s="132"/>
    </row>
    <row r="215" spans="1:21">
      <c r="A215" s="144">
        <v>144</v>
      </c>
      <c r="B215" s="145">
        <v>46137</v>
      </c>
      <c r="C215" s="146" t="s">
        <v>1024</v>
      </c>
      <c r="D215" s="146" t="s">
        <v>987</v>
      </c>
      <c r="E215" s="146" t="s">
        <v>495</v>
      </c>
      <c r="F215" s="146" t="s">
        <v>1025</v>
      </c>
      <c r="G215" s="146" t="s">
        <v>1026</v>
      </c>
      <c r="H215" s="146" t="s">
        <v>520</v>
      </c>
      <c r="I215" s="145">
        <v>46108</v>
      </c>
      <c r="J215" s="145">
        <v>46111</v>
      </c>
      <c r="K215" s="144">
        <v>19</v>
      </c>
      <c r="L215" s="178">
        <f>49900+49900+80160</f>
        <v>179960</v>
      </c>
      <c r="M215" s="176">
        <v>0.25</v>
      </c>
      <c r="N215" s="178">
        <f>IFERROR(Tabela225[[#This Row],[VALOR  (R$)]]/Tabela225[[#This Row],[PRAZO
EXECUÇÃO]],0)</f>
        <v>9471.5789473684217</v>
      </c>
      <c r="O215" s="194" t="s">
        <v>559</v>
      </c>
      <c r="P215" s="145"/>
      <c r="Q215" s="146"/>
      <c r="R215" s="146"/>
      <c r="S215" s="145"/>
      <c r="T215" s="146"/>
      <c r="U215" s="132"/>
    </row>
    <row r="216" spans="1:21">
      <c r="A216" s="144">
        <v>146</v>
      </c>
      <c r="B216" s="145">
        <v>46137</v>
      </c>
      <c r="C216" s="146" t="s">
        <v>1027</v>
      </c>
      <c r="D216" s="146" t="s">
        <v>394</v>
      </c>
      <c r="E216" s="146" t="s">
        <v>495</v>
      </c>
      <c r="F216" s="146" t="s">
        <v>1028</v>
      </c>
      <c r="G216" s="146" t="s">
        <v>1029</v>
      </c>
      <c r="H216" s="146" t="s">
        <v>520</v>
      </c>
      <c r="I216" s="145">
        <v>46106</v>
      </c>
      <c r="J216" s="145">
        <v>46106</v>
      </c>
      <c r="K216" s="144">
        <v>2</v>
      </c>
      <c r="L216" s="178">
        <v>5000</v>
      </c>
      <c r="M216" s="176">
        <v>0.25</v>
      </c>
      <c r="N216" s="178">
        <f>IFERROR(Tabela225[[#This Row],[VALOR  (R$)]]/Tabela225[[#This Row],[PRAZO
EXECUÇÃO]],0)</f>
        <v>2500</v>
      </c>
      <c r="O216" s="194" t="s">
        <v>599</v>
      </c>
      <c r="P216" s="145">
        <v>46119</v>
      </c>
      <c r="Q216" s="146"/>
      <c r="R216" s="146"/>
      <c r="S216" s="145"/>
      <c r="T216" s="146" t="s">
        <v>1042</v>
      </c>
      <c r="U216" s="132"/>
    </row>
    <row r="217" spans="1:21">
      <c r="A217" s="144">
        <v>147</v>
      </c>
      <c r="B217" s="145">
        <v>46137</v>
      </c>
      <c r="C217" s="146" t="s">
        <v>1030</v>
      </c>
      <c r="D217" s="146" t="s">
        <v>667</v>
      </c>
      <c r="E217" s="146" t="s">
        <v>495</v>
      </c>
      <c r="F217" s="146" t="s">
        <v>627</v>
      </c>
      <c r="G217" s="146" t="s">
        <v>1031</v>
      </c>
      <c r="H217" s="146" t="s">
        <v>501</v>
      </c>
      <c r="I217" s="145">
        <v>46107</v>
      </c>
      <c r="J217" s="145">
        <v>46107</v>
      </c>
      <c r="K217" s="144">
        <v>2</v>
      </c>
      <c r="L217" s="178">
        <v>245600</v>
      </c>
      <c r="M217" s="176">
        <v>0.25</v>
      </c>
      <c r="N217" s="178">
        <f>IFERROR(Tabela225[[#This Row],[VALOR  (R$)]]/Tabela225[[#This Row],[PRAZO
EXECUÇÃO]],0)</f>
        <v>122800</v>
      </c>
      <c r="O217" s="194" t="s">
        <v>599</v>
      </c>
      <c r="P217" s="145">
        <v>46265</v>
      </c>
      <c r="Q217" s="146"/>
      <c r="R217" s="146"/>
      <c r="S217" s="145"/>
      <c r="T217" s="146"/>
      <c r="U217" s="132"/>
    </row>
    <row r="218" spans="1:21">
      <c r="A218" s="144">
        <v>145</v>
      </c>
      <c r="B218" s="145">
        <v>46139</v>
      </c>
      <c r="C218" s="146" t="s">
        <v>1032</v>
      </c>
      <c r="D218" s="146" t="s">
        <v>486</v>
      </c>
      <c r="E218" s="146" t="s">
        <v>584</v>
      </c>
      <c r="F218" s="146" t="s">
        <v>1037</v>
      </c>
      <c r="G218" s="146" t="s">
        <v>1038</v>
      </c>
      <c r="H218" s="146" t="s">
        <v>520</v>
      </c>
      <c r="I218" s="145">
        <v>46108</v>
      </c>
      <c r="J218" s="145">
        <v>46108</v>
      </c>
      <c r="K218" s="144">
        <v>1</v>
      </c>
      <c r="L218" s="178">
        <v>12900</v>
      </c>
      <c r="M218" s="176">
        <v>0.25</v>
      </c>
      <c r="N218" s="178">
        <f>IFERROR(Tabela225[[#This Row],[VALOR  (R$)]]/Tabela225[[#This Row],[PRAZO
EXECUÇÃO]],0)</f>
        <v>12900</v>
      </c>
      <c r="O218" s="194" t="s">
        <v>525</v>
      </c>
      <c r="P218" s="145"/>
      <c r="Q218" s="146"/>
      <c r="R218" s="146"/>
      <c r="S218" s="145"/>
      <c r="T218" s="146"/>
      <c r="U218" s="132"/>
    </row>
    <row r="219" spans="1:21">
      <c r="A219" s="144">
        <v>205</v>
      </c>
      <c r="B219" s="145">
        <v>46139</v>
      </c>
      <c r="C219" s="145" t="s">
        <v>1190</v>
      </c>
      <c r="D219" s="146" t="s">
        <v>486</v>
      </c>
      <c r="E219" s="146" t="s">
        <v>495</v>
      </c>
      <c r="F219" s="146" t="s">
        <v>732</v>
      </c>
      <c r="G219" s="146" t="s">
        <v>1191</v>
      </c>
      <c r="H219" s="146" t="s">
        <v>520</v>
      </c>
      <c r="I219" s="145">
        <v>46139</v>
      </c>
      <c r="J219" s="145">
        <v>46139</v>
      </c>
      <c r="K219" s="144">
        <v>1</v>
      </c>
      <c r="L219" s="178">
        <v>18900</v>
      </c>
      <c r="M219" s="176">
        <v>0.01</v>
      </c>
      <c r="N219" s="178">
        <f>IFERROR(Tabela225[[#This Row],[VALOR  (R$)]]/Tabela225[[#This Row],[PRAZO
EXECUÇÃO]],0)</f>
        <v>18900</v>
      </c>
      <c r="O219" s="194" t="s">
        <v>599</v>
      </c>
      <c r="P219" s="145">
        <v>46206</v>
      </c>
      <c r="Q219" s="146"/>
      <c r="R219" s="146"/>
      <c r="S219" s="145"/>
      <c r="T219" s="146" t="s">
        <v>1040</v>
      </c>
      <c r="U219" s="132"/>
    </row>
    <row r="220" spans="1:21">
      <c r="A220" s="144">
        <v>206</v>
      </c>
      <c r="B220" s="145">
        <v>46140</v>
      </c>
      <c r="C220" s="145" t="s">
        <v>1195</v>
      </c>
      <c r="D220" s="146" t="s">
        <v>486</v>
      </c>
      <c r="E220" s="146" t="s">
        <v>584</v>
      </c>
      <c r="F220" s="146" t="s">
        <v>1196</v>
      </c>
      <c r="G220" s="146" t="s">
        <v>688</v>
      </c>
      <c r="H220" s="146" t="s">
        <v>520</v>
      </c>
      <c r="I220" s="145">
        <v>46140</v>
      </c>
      <c r="J220" s="145">
        <v>46140</v>
      </c>
      <c r="K220" s="144">
        <v>10</v>
      </c>
      <c r="L220" s="178">
        <v>139900</v>
      </c>
      <c r="M220" s="176">
        <v>0.22</v>
      </c>
      <c r="N220" s="178">
        <f>IFERROR(Tabela225[[#This Row],[VALOR  (R$)]]/Tabela225[[#This Row],[PRAZO
EXECUÇÃO]],0)</f>
        <v>13990</v>
      </c>
      <c r="O220" s="194" t="s">
        <v>559</v>
      </c>
      <c r="P220" s="145"/>
      <c r="Q220" s="146"/>
      <c r="R220" s="146"/>
      <c r="S220" s="145"/>
      <c r="T220" s="146"/>
      <c r="U220" s="132"/>
    </row>
    <row r="221" spans="1:21">
      <c r="A221" s="144">
        <v>207</v>
      </c>
      <c r="B221" s="145">
        <v>46140</v>
      </c>
      <c r="C221" s="145" t="s">
        <v>1197</v>
      </c>
      <c r="D221" s="146" t="s">
        <v>486</v>
      </c>
      <c r="E221" s="146" t="s">
        <v>584</v>
      </c>
      <c r="F221" s="146" t="s">
        <v>1198</v>
      </c>
      <c r="G221" s="146" t="s">
        <v>1199</v>
      </c>
      <c r="H221" s="146" t="s">
        <v>520</v>
      </c>
      <c r="I221" s="145">
        <v>46142</v>
      </c>
      <c r="J221" s="145">
        <v>46142</v>
      </c>
      <c r="K221" s="144">
        <v>10</v>
      </c>
      <c r="L221" s="178">
        <v>143880</v>
      </c>
      <c r="M221" s="176">
        <v>0.26</v>
      </c>
      <c r="N221" s="178">
        <f>IFERROR(Tabela225[[#This Row],[VALOR  (R$)]]/Tabela225[[#This Row],[PRAZO
EXECUÇÃO]],0)</f>
        <v>14388</v>
      </c>
      <c r="O221" s="194" t="s">
        <v>504</v>
      </c>
      <c r="P221" s="145"/>
      <c r="Q221" s="146"/>
      <c r="R221" s="146"/>
      <c r="S221" s="145"/>
      <c r="T221" s="146"/>
      <c r="U221" s="132"/>
    </row>
    <row r="222" spans="1:21">
      <c r="A222" s="144">
        <v>208</v>
      </c>
      <c r="B222" s="197">
        <v>46140</v>
      </c>
      <c r="C222" s="197" t="s">
        <v>1200</v>
      </c>
      <c r="D222" s="198" t="s">
        <v>595</v>
      </c>
      <c r="E222" s="198" t="s">
        <v>495</v>
      </c>
      <c r="F222" s="198" t="s">
        <v>1201</v>
      </c>
      <c r="G222" s="198" t="s">
        <v>1202</v>
      </c>
      <c r="H222" s="146" t="s">
        <v>520</v>
      </c>
      <c r="I222" s="145">
        <v>46147</v>
      </c>
      <c r="J222" s="145">
        <v>46147</v>
      </c>
      <c r="K222" s="199">
        <v>20</v>
      </c>
      <c r="L222" s="182">
        <v>351720</v>
      </c>
      <c r="M222" s="183">
        <v>0.25</v>
      </c>
      <c r="N222" s="178">
        <f>IFERROR(Tabela225[[#This Row],[VALOR  (R$)]]/Tabela225[[#This Row],[PRAZO
EXECUÇÃO]],0)</f>
        <v>17586</v>
      </c>
      <c r="O222" s="194" t="s">
        <v>504</v>
      </c>
      <c r="P222" s="197"/>
      <c r="Q222" s="198"/>
      <c r="R222" s="146"/>
      <c r="S222" s="197"/>
      <c r="T222" s="146"/>
      <c r="U222" s="132"/>
    </row>
    <row r="223" spans="1:21" s="200" customFormat="1">
      <c r="A223" s="144">
        <v>209</v>
      </c>
      <c r="B223" s="145">
        <v>46140</v>
      </c>
      <c r="C223" s="145" t="s">
        <v>1203</v>
      </c>
      <c r="D223" s="146" t="s">
        <v>486</v>
      </c>
      <c r="E223" s="146" t="s">
        <v>584</v>
      </c>
      <c r="F223" s="146" t="s">
        <v>659</v>
      </c>
      <c r="G223" s="146" t="s">
        <v>1204</v>
      </c>
      <c r="H223" s="146" t="s">
        <v>520</v>
      </c>
      <c r="I223" s="145">
        <v>46142</v>
      </c>
      <c r="J223" s="145">
        <v>46146</v>
      </c>
      <c r="K223" s="144">
        <v>10</v>
      </c>
      <c r="L223" s="178">
        <v>257845</v>
      </c>
      <c r="M223" s="176">
        <v>0.23</v>
      </c>
      <c r="N223" s="178">
        <f>IFERROR(Tabela225[[#This Row],[VALOR  (R$)]]/Tabela225[[#This Row],[PRAZO
EXECUÇÃO]],0)</f>
        <v>25784.5</v>
      </c>
      <c r="O223" s="194" t="s">
        <v>559</v>
      </c>
      <c r="P223" s="145"/>
      <c r="Q223" s="146"/>
      <c r="R223" s="146"/>
      <c r="S223" s="145"/>
      <c r="T223" s="146"/>
    </row>
    <row r="224" spans="1:21" s="200" customFormat="1">
      <c r="A224" s="144">
        <v>210</v>
      </c>
      <c r="B224" s="197">
        <v>46141</v>
      </c>
      <c r="C224" s="197" t="s">
        <v>1205</v>
      </c>
      <c r="D224" s="198" t="s">
        <v>583</v>
      </c>
      <c r="E224" s="198" t="s">
        <v>584</v>
      </c>
      <c r="F224" s="198" t="s">
        <v>855</v>
      </c>
      <c r="G224" s="198" t="s">
        <v>1206</v>
      </c>
      <c r="H224" s="146" t="s">
        <v>501</v>
      </c>
      <c r="I224" s="197">
        <v>46141</v>
      </c>
      <c r="J224" s="197">
        <v>46141</v>
      </c>
      <c r="K224" s="199">
        <v>7</v>
      </c>
      <c r="L224" s="182">
        <v>63000</v>
      </c>
      <c r="M224" s="183">
        <v>0.27</v>
      </c>
      <c r="N224" s="178">
        <f>IFERROR(Tabela225[[#This Row],[VALOR  (R$)]]/Tabela225[[#This Row],[PRAZO
EXECUÇÃO]],0)</f>
        <v>9000</v>
      </c>
      <c r="O224" s="194" t="s">
        <v>599</v>
      </c>
      <c r="P224" s="197">
        <v>46156</v>
      </c>
      <c r="Q224" s="198"/>
      <c r="R224" s="146"/>
      <c r="S224" s="197"/>
      <c r="T224" s="146" t="s">
        <v>1042</v>
      </c>
    </row>
    <row r="225" spans="1:20" s="200" customFormat="1">
      <c r="A225" s="144">
        <v>211</v>
      </c>
      <c r="B225" s="197">
        <v>46141</v>
      </c>
      <c r="C225" s="197" t="s">
        <v>1207</v>
      </c>
      <c r="D225" s="146" t="s">
        <v>1208</v>
      </c>
      <c r="E225" s="198" t="s">
        <v>495</v>
      </c>
      <c r="F225" s="198" t="s">
        <v>1100</v>
      </c>
      <c r="G225" s="198" t="s">
        <v>1209</v>
      </c>
      <c r="H225" s="146" t="s">
        <v>520</v>
      </c>
      <c r="I225" s="197">
        <v>46141</v>
      </c>
      <c r="J225" s="197">
        <v>46141</v>
      </c>
      <c r="K225" s="199">
        <v>5</v>
      </c>
      <c r="L225" s="182">
        <v>150680</v>
      </c>
      <c r="M225" s="183">
        <v>0.24</v>
      </c>
      <c r="N225" s="178">
        <f>IFERROR(Tabela225[[#This Row],[VALOR  (R$)]]/Tabela225[[#This Row],[PRAZO
EXECUÇÃO]],0)</f>
        <v>30136</v>
      </c>
      <c r="O225" s="194" t="s">
        <v>504</v>
      </c>
      <c r="P225" s="197"/>
      <c r="Q225" s="198"/>
      <c r="R225" s="146"/>
      <c r="S225" s="197"/>
      <c r="T225" s="146"/>
    </row>
    <row r="226" spans="1:20" s="200" customFormat="1">
      <c r="A226" s="144">
        <v>212</v>
      </c>
      <c r="B226" s="197">
        <v>46141</v>
      </c>
      <c r="C226" s="197" t="s">
        <v>1210</v>
      </c>
      <c r="D226" s="198" t="s">
        <v>486</v>
      </c>
      <c r="E226" s="198" t="s">
        <v>584</v>
      </c>
      <c r="F226" s="198" t="s">
        <v>710</v>
      </c>
      <c r="G226" s="198" t="s">
        <v>1211</v>
      </c>
      <c r="H226" s="146" t="s">
        <v>520</v>
      </c>
      <c r="I226" s="197">
        <v>46141</v>
      </c>
      <c r="J226" s="197">
        <v>46141</v>
      </c>
      <c r="K226" s="199">
        <v>12</v>
      </c>
      <c r="L226" s="182">
        <v>175254</v>
      </c>
      <c r="M226" s="183">
        <v>0.28000000000000003</v>
      </c>
      <c r="N226" s="178">
        <f>IFERROR(Tabela225[[#This Row],[VALOR  (R$)]]/Tabela225[[#This Row],[PRAZO
EXECUÇÃO]],0)</f>
        <v>14604.5</v>
      </c>
      <c r="O226" s="194" t="s">
        <v>599</v>
      </c>
      <c r="P226" s="197">
        <v>46142</v>
      </c>
      <c r="Q226" s="198">
        <v>20955</v>
      </c>
      <c r="R226" s="146"/>
      <c r="S226" s="197"/>
      <c r="T226" s="146" t="s">
        <v>1042</v>
      </c>
    </row>
    <row r="227" spans="1:20" s="200" customFormat="1">
      <c r="A227" s="144">
        <v>213</v>
      </c>
      <c r="B227" s="197">
        <v>46142</v>
      </c>
      <c r="C227" s="197" t="s">
        <v>1212</v>
      </c>
      <c r="D227" s="198" t="s">
        <v>1213</v>
      </c>
      <c r="E227" s="198" t="s">
        <v>495</v>
      </c>
      <c r="F227" s="198" t="s">
        <v>907</v>
      </c>
      <c r="G227" s="198" t="s">
        <v>1445</v>
      </c>
      <c r="H227" s="146" t="s">
        <v>520</v>
      </c>
      <c r="I227" s="197">
        <v>46142</v>
      </c>
      <c r="J227" s="197">
        <v>46142</v>
      </c>
      <c r="K227" s="199">
        <v>1</v>
      </c>
      <c r="L227" s="182">
        <v>7460</v>
      </c>
      <c r="M227" s="183">
        <v>0.3</v>
      </c>
      <c r="N227" s="178">
        <f>IFERROR(Tabela225[[#This Row],[VALOR  (R$)]]/Tabela225[[#This Row],[PRAZO
EXECUÇÃO]],0)</f>
        <v>7460</v>
      </c>
      <c r="O227" s="194" t="s">
        <v>525</v>
      </c>
      <c r="P227" s="197"/>
      <c r="Q227" s="198"/>
      <c r="R227" s="146"/>
      <c r="S227" s="197"/>
      <c r="T227" s="146"/>
    </row>
    <row r="228" spans="1:20" s="200" customFormat="1">
      <c r="A228" s="144">
        <v>214</v>
      </c>
      <c r="B228" s="197">
        <v>46142</v>
      </c>
      <c r="C228" s="197" t="s">
        <v>1214</v>
      </c>
      <c r="D228" s="198" t="s">
        <v>563</v>
      </c>
      <c r="E228" s="198" t="s">
        <v>495</v>
      </c>
      <c r="F228" s="198" t="s">
        <v>1215</v>
      </c>
      <c r="G228" s="198" t="s">
        <v>1216</v>
      </c>
      <c r="H228" s="146" t="s">
        <v>520</v>
      </c>
      <c r="I228" s="197">
        <v>46142</v>
      </c>
      <c r="J228" s="197">
        <v>46142</v>
      </c>
      <c r="K228" s="199">
        <v>8</v>
      </c>
      <c r="L228" s="182">
        <v>259900</v>
      </c>
      <c r="M228" s="183">
        <v>0.3</v>
      </c>
      <c r="N228" s="178">
        <f>IFERROR(Tabela225[[#This Row],[VALOR  (R$)]]/Tabela225[[#This Row],[PRAZO
EXECUÇÃO]],0)</f>
        <v>32487.5</v>
      </c>
      <c r="O228" s="194" t="s">
        <v>559</v>
      </c>
      <c r="P228" s="197"/>
      <c r="Q228" s="198"/>
      <c r="R228" s="146"/>
      <c r="S228" s="197"/>
      <c r="T228" s="146"/>
    </row>
    <row r="229" spans="1:20" s="200" customFormat="1">
      <c r="A229" s="144">
        <v>215</v>
      </c>
      <c r="B229" s="197">
        <v>46146</v>
      </c>
      <c r="C229" s="197" t="s">
        <v>1217</v>
      </c>
      <c r="D229" s="198" t="s">
        <v>486</v>
      </c>
      <c r="E229" s="198" t="s">
        <v>584</v>
      </c>
      <c r="F229" s="198" t="s">
        <v>1218</v>
      </c>
      <c r="G229" s="198" t="s">
        <v>1219</v>
      </c>
      <c r="H229" s="146" t="s">
        <v>520</v>
      </c>
      <c r="I229" s="197">
        <v>46146</v>
      </c>
      <c r="J229" s="197">
        <v>46146</v>
      </c>
      <c r="K229" s="199">
        <v>15</v>
      </c>
      <c r="L229" s="182">
        <v>198900</v>
      </c>
      <c r="M229" s="183">
        <v>0.23</v>
      </c>
      <c r="N229" s="178">
        <f>IFERROR(Tabela225[[#This Row],[VALOR  (R$)]]/Tabela225[[#This Row],[PRAZO
EXECUÇÃO]],0)</f>
        <v>13260</v>
      </c>
      <c r="O229" s="194" t="s">
        <v>559</v>
      </c>
      <c r="P229" s="197"/>
      <c r="Q229" s="198"/>
      <c r="R229" s="146"/>
      <c r="S229" s="197"/>
      <c r="T229" s="146"/>
    </row>
    <row r="230" spans="1:20" s="200" customFormat="1">
      <c r="A230" s="144">
        <v>216</v>
      </c>
      <c r="B230" s="145">
        <v>46146</v>
      </c>
      <c r="C230" s="145" t="s">
        <v>1222</v>
      </c>
      <c r="D230" s="146" t="s">
        <v>486</v>
      </c>
      <c r="E230" s="146" t="s">
        <v>584</v>
      </c>
      <c r="F230" s="146" t="s">
        <v>1215</v>
      </c>
      <c r="G230" s="146" t="s">
        <v>1223</v>
      </c>
      <c r="H230" s="146" t="s">
        <v>520</v>
      </c>
      <c r="I230" s="145">
        <v>46147</v>
      </c>
      <c r="J230" s="145">
        <v>46147</v>
      </c>
      <c r="K230" s="144">
        <v>7</v>
      </c>
      <c r="L230" s="178">
        <v>262500</v>
      </c>
      <c r="M230" s="176">
        <v>0.3</v>
      </c>
      <c r="N230" s="178">
        <f>IFERROR(Tabela225[[#This Row],[VALOR  (R$)]]/Tabela225[[#This Row],[PRAZO
EXECUÇÃO]],0)</f>
        <v>37500</v>
      </c>
      <c r="O230" s="194" t="s">
        <v>559</v>
      </c>
      <c r="P230" s="145"/>
      <c r="Q230" s="146"/>
      <c r="R230" s="146"/>
      <c r="S230" s="145"/>
      <c r="T230" s="146"/>
    </row>
    <row r="231" spans="1:20" s="200" customFormat="1">
      <c r="A231" s="144">
        <v>217</v>
      </c>
      <c r="B231" s="197">
        <v>46146</v>
      </c>
      <c r="C231" s="197" t="s">
        <v>1220</v>
      </c>
      <c r="D231" s="198" t="s">
        <v>1076</v>
      </c>
      <c r="E231" s="198" t="s">
        <v>495</v>
      </c>
      <c r="F231" s="198" t="s">
        <v>1022</v>
      </c>
      <c r="G231" s="198" t="s">
        <v>1221</v>
      </c>
      <c r="H231" s="146" t="s">
        <v>520</v>
      </c>
      <c r="I231" s="197">
        <v>46146</v>
      </c>
      <c r="J231" s="197">
        <v>46146</v>
      </c>
      <c r="K231" s="199">
        <v>3</v>
      </c>
      <c r="L231" s="182">
        <v>14900</v>
      </c>
      <c r="M231" s="183">
        <v>0.2</v>
      </c>
      <c r="N231" s="178">
        <f>IFERROR(Tabela225[[#This Row],[VALOR  (R$)]]/Tabela225[[#This Row],[PRAZO
EXECUÇÃO]],0)</f>
        <v>4966.666666666667</v>
      </c>
      <c r="O231" s="194" t="s">
        <v>599</v>
      </c>
      <c r="P231" s="197">
        <v>46149</v>
      </c>
      <c r="Q231" s="198">
        <v>21078</v>
      </c>
      <c r="R231" s="146"/>
      <c r="S231" s="197"/>
      <c r="T231" s="146" t="s">
        <v>1042</v>
      </c>
    </row>
    <row r="232" spans="1:20" s="200" customFormat="1">
      <c r="A232" s="144">
        <v>218</v>
      </c>
      <c r="B232" s="145">
        <v>46146</v>
      </c>
      <c r="C232" s="145" t="s">
        <v>1256</v>
      </c>
      <c r="D232" s="146" t="s">
        <v>486</v>
      </c>
      <c r="E232" s="146" t="s">
        <v>584</v>
      </c>
      <c r="F232" s="146" t="s">
        <v>1257</v>
      </c>
      <c r="G232" s="146" t="s">
        <v>1258</v>
      </c>
      <c r="H232" s="146" t="s">
        <v>520</v>
      </c>
      <c r="I232" s="145">
        <v>46147</v>
      </c>
      <c r="J232" s="145">
        <v>46147</v>
      </c>
      <c r="K232" s="144">
        <v>10</v>
      </c>
      <c r="L232" s="178">
        <v>165540</v>
      </c>
      <c r="M232" s="176">
        <v>0.23</v>
      </c>
      <c r="N232" s="178">
        <f>IFERROR(Tabela225[[#This Row],[VALOR  (R$)]]/Tabela225[[#This Row],[PRAZO
EXECUÇÃO]],0)</f>
        <v>16554</v>
      </c>
      <c r="O232" s="194" t="s">
        <v>504</v>
      </c>
      <c r="P232" s="145"/>
      <c r="Q232" s="146"/>
      <c r="R232" s="146"/>
      <c r="S232" s="145"/>
      <c r="T232" s="146"/>
    </row>
    <row r="233" spans="1:20" s="200" customFormat="1">
      <c r="A233" s="144">
        <v>219</v>
      </c>
      <c r="B233" s="197">
        <v>46147</v>
      </c>
      <c r="C233" s="197" t="s">
        <v>1225</v>
      </c>
      <c r="D233" s="198" t="s">
        <v>570</v>
      </c>
      <c r="E233" s="198" t="s">
        <v>584</v>
      </c>
      <c r="F233" s="198" t="s">
        <v>1226</v>
      </c>
      <c r="G233" s="198" t="s">
        <v>1227</v>
      </c>
      <c r="H233" s="146" t="s">
        <v>520</v>
      </c>
      <c r="I233" s="197">
        <v>46147</v>
      </c>
      <c r="J233" s="197">
        <v>46149</v>
      </c>
      <c r="K233" s="199">
        <v>90</v>
      </c>
      <c r="L233" s="178">
        <v>914102.2</v>
      </c>
      <c r="M233" s="183">
        <v>0.26</v>
      </c>
      <c r="N233" s="178">
        <f>IFERROR(Tabela225[[#This Row],[VALOR  (R$)]]/Tabela225[[#This Row],[PRAZO
EXECUÇÃO]],0)</f>
        <v>10156.691111111111</v>
      </c>
      <c r="O233" s="194" t="s">
        <v>504</v>
      </c>
      <c r="P233" s="197"/>
      <c r="Q233" s="198"/>
      <c r="R233" s="146"/>
      <c r="S233" s="197"/>
      <c r="T233" s="146"/>
    </row>
    <row r="234" spans="1:20" s="200" customFormat="1">
      <c r="A234" s="144">
        <v>220</v>
      </c>
      <c r="B234" s="145">
        <v>46147</v>
      </c>
      <c r="C234" s="145" t="s">
        <v>1228</v>
      </c>
      <c r="D234" s="146" t="s">
        <v>583</v>
      </c>
      <c r="E234" s="146" t="s">
        <v>584</v>
      </c>
      <c r="F234" s="146" t="s">
        <v>1229</v>
      </c>
      <c r="G234" s="146" t="s">
        <v>1230</v>
      </c>
      <c r="H234" s="146" t="s">
        <v>520</v>
      </c>
      <c r="I234" s="145">
        <v>46148</v>
      </c>
      <c r="J234" s="145">
        <v>46149</v>
      </c>
      <c r="K234" s="144">
        <v>14</v>
      </c>
      <c r="L234" s="178">
        <v>160000</v>
      </c>
      <c r="M234" s="176">
        <v>0.2</v>
      </c>
      <c r="N234" s="178">
        <f>IFERROR(Tabela225[[#This Row],[VALOR  (R$)]]/Tabela225[[#This Row],[PRAZO
EXECUÇÃO]],0)</f>
        <v>11428.571428571429</v>
      </c>
      <c r="O234" s="194" t="s">
        <v>599</v>
      </c>
      <c r="P234" s="145">
        <v>46153</v>
      </c>
      <c r="Q234" s="146">
        <v>21087</v>
      </c>
      <c r="R234" s="146"/>
      <c r="S234" s="145"/>
      <c r="T234" s="146" t="s">
        <v>1042</v>
      </c>
    </row>
    <row r="235" spans="1:20" s="200" customFormat="1">
      <c r="A235" s="144">
        <v>221</v>
      </c>
      <c r="B235" s="197">
        <v>46147</v>
      </c>
      <c r="C235" s="197" t="s">
        <v>1231</v>
      </c>
      <c r="D235" s="198" t="s">
        <v>987</v>
      </c>
      <c r="E235" s="198" t="s">
        <v>584</v>
      </c>
      <c r="F235" s="198" t="s">
        <v>1232</v>
      </c>
      <c r="G235" s="198" t="s">
        <v>1233</v>
      </c>
      <c r="H235" s="146" t="s">
        <v>520</v>
      </c>
      <c r="I235" s="197">
        <v>46148</v>
      </c>
      <c r="J235" s="197">
        <v>46147</v>
      </c>
      <c r="K235" s="199">
        <v>1</v>
      </c>
      <c r="L235" s="182">
        <v>17900</v>
      </c>
      <c r="M235" s="183">
        <v>0.24</v>
      </c>
      <c r="N235" s="178">
        <f>IFERROR(Tabela225[[#This Row],[VALOR  (R$)]]/Tabela225[[#This Row],[PRAZO
EXECUÇÃO]],0)</f>
        <v>17900</v>
      </c>
      <c r="O235" s="194" t="s">
        <v>559</v>
      </c>
      <c r="P235" s="197"/>
      <c r="Q235" s="198"/>
      <c r="R235" s="146"/>
      <c r="S235" s="197"/>
      <c r="T235" s="146"/>
    </row>
    <row r="236" spans="1:20" s="200" customFormat="1">
      <c r="A236" s="144">
        <v>222</v>
      </c>
      <c r="B236" s="197">
        <v>46147</v>
      </c>
      <c r="C236" s="197" t="s">
        <v>1234</v>
      </c>
      <c r="D236" s="198" t="s">
        <v>486</v>
      </c>
      <c r="E236" s="198" t="s">
        <v>584</v>
      </c>
      <c r="F236" s="198" t="s">
        <v>1235</v>
      </c>
      <c r="G236" s="198" t="s">
        <v>1236</v>
      </c>
      <c r="H236" s="146" t="s">
        <v>520</v>
      </c>
      <c r="I236" s="197">
        <v>46148</v>
      </c>
      <c r="J236" s="197">
        <v>46147</v>
      </c>
      <c r="K236" s="199">
        <v>10</v>
      </c>
      <c r="L236" s="182">
        <v>351260</v>
      </c>
      <c r="M236" s="183">
        <v>0.25</v>
      </c>
      <c r="N236" s="178">
        <f>IFERROR(Tabela225[[#This Row],[VALOR  (R$)]]/Tabela225[[#This Row],[PRAZO
EXECUÇÃO]],0)</f>
        <v>35126</v>
      </c>
      <c r="O236" s="194" t="s">
        <v>559</v>
      </c>
      <c r="P236" s="197"/>
      <c r="Q236" s="198"/>
      <c r="R236" s="146"/>
      <c r="S236" s="197"/>
      <c r="T236" s="146"/>
    </row>
    <row r="237" spans="1:20" s="200" customFormat="1">
      <c r="A237" s="144">
        <v>223</v>
      </c>
      <c r="B237" s="197">
        <v>46147</v>
      </c>
      <c r="C237" s="197" t="s">
        <v>1237</v>
      </c>
      <c r="D237" s="198" t="s">
        <v>1238</v>
      </c>
      <c r="E237" s="198" t="s">
        <v>495</v>
      </c>
      <c r="F237" s="198" t="s">
        <v>1226</v>
      </c>
      <c r="G237" s="198" t="s">
        <v>1239</v>
      </c>
      <c r="H237" s="146" t="s">
        <v>520</v>
      </c>
      <c r="I237" s="197">
        <v>46148</v>
      </c>
      <c r="J237" s="197">
        <v>46153</v>
      </c>
      <c r="K237" s="199">
        <f>7*11</f>
        <v>77</v>
      </c>
      <c r="L237" s="182">
        <v>590590</v>
      </c>
      <c r="M237" s="183">
        <v>0.23</v>
      </c>
      <c r="N237" s="178">
        <f>IFERROR(Tabela225[[#This Row],[VALOR  (R$)]]/Tabela225[[#This Row],[PRAZO
EXECUÇÃO]],0)</f>
        <v>7670</v>
      </c>
      <c r="O237" s="194" t="s">
        <v>559</v>
      </c>
      <c r="P237" s="197"/>
      <c r="Q237" s="198"/>
      <c r="R237" s="146"/>
      <c r="S237" s="197"/>
      <c r="T237" s="146"/>
    </row>
    <row r="238" spans="1:20" s="200" customFormat="1">
      <c r="A238" s="144">
        <v>224</v>
      </c>
      <c r="B238" s="197">
        <v>46147</v>
      </c>
      <c r="C238" s="197" t="s">
        <v>1240</v>
      </c>
      <c r="D238" s="198" t="s">
        <v>486</v>
      </c>
      <c r="E238" s="198" t="s">
        <v>584</v>
      </c>
      <c r="F238" s="198" t="s">
        <v>1241</v>
      </c>
      <c r="G238" s="198" t="s">
        <v>1242</v>
      </c>
      <c r="H238" s="146" t="s">
        <v>520</v>
      </c>
      <c r="I238" s="197">
        <v>46148</v>
      </c>
      <c r="J238" s="197">
        <v>0</v>
      </c>
      <c r="K238" s="199">
        <v>0</v>
      </c>
      <c r="L238" s="182">
        <v>0</v>
      </c>
      <c r="M238" s="183">
        <v>0</v>
      </c>
      <c r="N238" s="178">
        <f>IFERROR(Tabela225[[#This Row],[VALOR  (R$)]]/Tabela225[[#This Row],[PRAZO
EXECUÇÃO]],0)</f>
        <v>0</v>
      </c>
      <c r="O238" s="194" t="s">
        <v>525</v>
      </c>
      <c r="P238" s="197"/>
      <c r="Q238" s="198"/>
      <c r="R238" s="146"/>
      <c r="S238" s="197"/>
      <c r="T238" s="146"/>
    </row>
    <row r="239" spans="1:20" s="200" customFormat="1">
      <c r="A239" s="144">
        <v>225</v>
      </c>
      <c r="B239" s="197">
        <v>46148</v>
      </c>
      <c r="C239" s="197" t="s">
        <v>1243</v>
      </c>
      <c r="D239" s="198" t="s">
        <v>486</v>
      </c>
      <c r="E239" s="198" t="s">
        <v>584</v>
      </c>
      <c r="F239" s="198" t="s">
        <v>1244</v>
      </c>
      <c r="G239" s="198" t="s">
        <v>835</v>
      </c>
      <c r="H239" s="146" t="s">
        <v>520</v>
      </c>
      <c r="I239" s="197">
        <v>46150</v>
      </c>
      <c r="J239" s="197">
        <v>46149</v>
      </c>
      <c r="K239" s="199">
        <v>18</v>
      </c>
      <c r="L239" s="182">
        <v>336500</v>
      </c>
      <c r="M239" s="183">
        <v>0.23</v>
      </c>
      <c r="N239" s="178">
        <f>IFERROR(Tabela225[[#This Row],[VALOR  (R$)]]/Tabela225[[#This Row],[PRAZO
EXECUÇÃO]],0)</f>
        <v>18694.444444444445</v>
      </c>
      <c r="O239" s="194" t="s">
        <v>504</v>
      </c>
      <c r="P239" s="197"/>
      <c r="Q239" s="198"/>
      <c r="R239" s="146"/>
      <c r="S239" s="197"/>
      <c r="T239" s="146"/>
    </row>
    <row r="240" spans="1:20" s="200" customFormat="1">
      <c r="A240" s="144">
        <v>226</v>
      </c>
      <c r="B240" s="197">
        <v>46148</v>
      </c>
      <c r="C240" s="197" t="s">
        <v>1245</v>
      </c>
      <c r="D240" s="198" t="s">
        <v>486</v>
      </c>
      <c r="E240" s="198" t="s">
        <v>584</v>
      </c>
      <c r="F240" s="198" t="s">
        <v>1278</v>
      </c>
      <c r="G240" s="198" t="s">
        <v>1279</v>
      </c>
      <c r="H240" s="146" t="s">
        <v>520</v>
      </c>
      <c r="I240" s="197">
        <v>46154</v>
      </c>
      <c r="J240" s="197">
        <v>46154</v>
      </c>
      <c r="K240" s="199">
        <v>9</v>
      </c>
      <c r="L240" s="182">
        <v>136800</v>
      </c>
      <c r="M240" s="183">
        <v>0.23</v>
      </c>
      <c r="N240" s="178">
        <f>IFERROR(Tabela225[[#This Row],[VALOR  (R$)]]/Tabela225[[#This Row],[PRAZO
EXECUÇÃO]],0)</f>
        <v>15200</v>
      </c>
      <c r="O240" s="194" t="s">
        <v>504</v>
      </c>
      <c r="P240" s="197"/>
      <c r="Q240" s="198"/>
      <c r="R240" s="146"/>
      <c r="S240" s="197"/>
      <c r="T240" s="146"/>
    </row>
    <row r="241" spans="1:20" s="200" customFormat="1">
      <c r="A241" s="144">
        <v>227</v>
      </c>
      <c r="B241" s="197">
        <v>46148</v>
      </c>
      <c r="C241" s="197" t="s">
        <v>1246</v>
      </c>
      <c r="D241" s="198" t="s">
        <v>1247</v>
      </c>
      <c r="E241" s="198" t="s">
        <v>584</v>
      </c>
      <c r="F241" s="198" t="s">
        <v>710</v>
      </c>
      <c r="G241" s="198" t="s">
        <v>1248</v>
      </c>
      <c r="H241" s="146" t="s">
        <v>501</v>
      </c>
      <c r="I241" s="197">
        <v>46148</v>
      </c>
      <c r="J241" s="197">
        <v>46148</v>
      </c>
      <c r="K241" s="199">
        <v>13</v>
      </c>
      <c r="L241" s="182">
        <f>15876+10490+8500</f>
        <v>34866</v>
      </c>
      <c r="M241" s="183">
        <v>0.22</v>
      </c>
      <c r="N241" s="178">
        <f>IFERROR(Tabela225[[#This Row],[VALOR  (R$)]]/Tabela225[[#This Row],[PRAZO
EXECUÇÃO]],0)</f>
        <v>2682</v>
      </c>
      <c r="O241" s="194" t="s">
        <v>599</v>
      </c>
      <c r="P241" s="197">
        <v>46149</v>
      </c>
      <c r="Q241" s="198"/>
      <c r="R241" s="146"/>
      <c r="S241" s="197"/>
      <c r="T241" s="146" t="s">
        <v>1042</v>
      </c>
    </row>
    <row r="242" spans="1:20" s="200" customFormat="1">
      <c r="A242" s="144">
        <v>228</v>
      </c>
      <c r="B242" s="197">
        <v>46148</v>
      </c>
      <c r="C242" s="197" t="s">
        <v>1249</v>
      </c>
      <c r="D242" s="198" t="s">
        <v>486</v>
      </c>
      <c r="E242" s="198" t="s">
        <v>584</v>
      </c>
      <c r="F242" s="198" t="s">
        <v>1250</v>
      </c>
      <c r="G242" s="198" t="s">
        <v>1251</v>
      </c>
      <c r="H242" s="146" t="s">
        <v>520</v>
      </c>
      <c r="I242" s="197">
        <v>46150</v>
      </c>
      <c r="J242" s="197">
        <v>46149</v>
      </c>
      <c r="K242" s="199">
        <f>18*3</f>
        <v>54</v>
      </c>
      <c r="L242" s="182">
        <v>742500</v>
      </c>
      <c r="M242" s="183">
        <v>0.23</v>
      </c>
      <c r="N242" s="178">
        <f>IFERROR(Tabela225[[#This Row],[VALOR  (R$)]]/Tabela225[[#This Row],[PRAZO
EXECUÇÃO]],0)</f>
        <v>13750</v>
      </c>
      <c r="O242" s="194" t="s">
        <v>559</v>
      </c>
      <c r="P242" s="197"/>
      <c r="Q242" s="198"/>
      <c r="R242" s="146"/>
      <c r="S242" s="197"/>
      <c r="T242" s="146"/>
    </row>
    <row r="243" spans="1:20" s="200" customFormat="1">
      <c r="A243" s="144">
        <v>229</v>
      </c>
      <c r="B243" s="197">
        <v>46148</v>
      </c>
      <c r="C243" s="197" t="s">
        <v>1252</v>
      </c>
      <c r="D243" s="198" t="s">
        <v>486</v>
      </c>
      <c r="E243" s="198" t="s">
        <v>584</v>
      </c>
      <c r="F243" s="198" t="s">
        <v>1250</v>
      </c>
      <c r="G243" s="198" t="s">
        <v>1253</v>
      </c>
      <c r="H243" s="146" t="s">
        <v>520</v>
      </c>
      <c r="I243" s="197">
        <v>46150</v>
      </c>
      <c r="J243" s="197">
        <v>46149</v>
      </c>
      <c r="K243" s="199">
        <v>16</v>
      </c>
      <c r="L243" s="182">
        <v>272640</v>
      </c>
      <c r="M243" s="183">
        <v>0.23</v>
      </c>
      <c r="N243" s="178">
        <f>IFERROR(Tabela225[[#This Row],[VALOR  (R$)]]/Tabela225[[#This Row],[PRAZO
EXECUÇÃO]],0)</f>
        <v>17040</v>
      </c>
      <c r="O243" s="194" t="s">
        <v>559</v>
      </c>
      <c r="P243" s="197"/>
      <c r="Q243" s="198"/>
      <c r="R243" s="146"/>
      <c r="S243" s="197"/>
      <c r="T243" s="146"/>
    </row>
    <row r="244" spans="1:20" s="200" customFormat="1">
      <c r="A244" s="144">
        <v>230</v>
      </c>
      <c r="B244" s="145">
        <v>46149</v>
      </c>
      <c r="C244" s="145" t="s">
        <v>1259</v>
      </c>
      <c r="D244" s="146" t="s">
        <v>1247</v>
      </c>
      <c r="E244" s="146" t="s">
        <v>584</v>
      </c>
      <c r="F244" s="146" t="s">
        <v>1260</v>
      </c>
      <c r="G244" s="146" t="s">
        <v>1261</v>
      </c>
      <c r="H244" s="146" t="s">
        <v>520</v>
      </c>
      <c r="I244" s="145">
        <v>46150</v>
      </c>
      <c r="J244" s="145" t="s">
        <v>104</v>
      </c>
      <c r="K244" s="144">
        <v>0</v>
      </c>
      <c r="L244" s="178">
        <v>0</v>
      </c>
      <c r="M244" s="176">
        <v>0</v>
      </c>
      <c r="N244" s="178">
        <f>IFERROR(Tabela225[[#This Row],[VALOR  (R$)]]/Tabela225[[#This Row],[PRAZO
EXECUÇÃO]],0)</f>
        <v>0</v>
      </c>
      <c r="O244" s="194" t="s">
        <v>525</v>
      </c>
      <c r="P244" s="145"/>
      <c r="Q244" s="146"/>
      <c r="R244" s="146"/>
      <c r="S244" s="145"/>
      <c r="T244" s="146"/>
    </row>
    <row r="245" spans="1:20" s="200" customFormat="1">
      <c r="A245" s="144">
        <v>231</v>
      </c>
      <c r="B245" s="197">
        <v>46149</v>
      </c>
      <c r="C245" s="197" t="s">
        <v>1254</v>
      </c>
      <c r="D245" s="198" t="s">
        <v>486</v>
      </c>
      <c r="E245" s="198" t="s">
        <v>584</v>
      </c>
      <c r="F245" s="198" t="s">
        <v>1255</v>
      </c>
      <c r="G245" s="198" t="s">
        <v>1277</v>
      </c>
      <c r="H245" s="146" t="s">
        <v>520</v>
      </c>
      <c r="I245" s="197">
        <v>46150</v>
      </c>
      <c r="J245" s="197">
        <v>46149</v>
      </c>
      <c r="K245" s="199">
        <v>18</v>
      </c>
      <c r="L245" s="182">
        <v>235499</v>
      </c>
      <c r="M245" s="183">
        <v>0.23</v>
      </c>
      <c r="N245" s="178">
        <f>IFERROR(Tabela225[[#This Row],[VALOR  (R$)]]/Tabela225[[#This Row],[PRAZO
EXECUÇÃO]],0)</f>
        <v>13083.277777777777</v>
      </c>
      <c r="O245" s="194" t="s">
        <v>559</v>
      </c>
      <c r="P245" s="197"/>
      <c r="Q245" s="198"/>
      <c r="R245" s="146"/>
      <c r="S245" s="197"/>
      <c r="T245" s="146"/>
    </row>
    <row r="246" spans="1:20" s="200" customFormat="1">
      <c r="A246" s="144">
        <v>232</v>
      </c>
      <c r="B246" s="197">
        <v>46149</v>
      </c>
      <c r="C246" s="197" t="s">
        <v>1262</v>
      </c>
      <c r="D246" s="198" t="s">
        <v>486</v>
      </c>
      <c r="E246" s="198" t="s">
        <v>584</v>
      </c>
      <c r="F246" s="198" t="s">
        <v>993</v>
      </c>
      <c r="G246" s="198" t="s">
        <v>1263</v>
      </c>
      <c r="H246" s="146" t="s">
        <v>520</v>
      </c>
      <c r="I246" s="197">
        <v>46150</v>
      </c>
      <c r="J246" s="197">
        <v>46149</v>
      </c>
      <c r="K246" s="199">
        <v>7</v>
      </c>
      <c r="L246" s="182">
        <v>275520</v>
      </c>
      <c r="M246" s="183">
        <v>0.23</v>
      </c>
      <c r="N246" s="178">
        <f>IFERROR(Tabela225[[#This Row],[VALOR  (R$)]]/Tabela225[[#This Row],[PRAZO
EXECUÇÃO]],0)</f>
        <v>39360</v>
      </c>
      <c r="O246" s="194" t="s">
        <v>599</v>
      </c>
      <c r="P246" s="197">
        <v>46153</v>
      </c>
      <c r="Q246" s="198"/>
      <c r="R246" s="146"/>
      <c r="S246" s="197"/>
      <c r="T246" s="146" t="s">
        <v>1042</v>
      </c>
    </row>
    <row r="247" spans="1:20" s="200" customFormat="1">
      <c r="A247" s="144">
        <v>233</v>
      </c>
      <c r="B247" s="197">
        <v>46149</v>
      </c>
      <c r="C247" s="197" t="s">
        <v>1265</v>
      </c>
      <c r="D247" s="198" t="s">
        <v>1702</v>
      </c>
      <c r="E247" s="198" t="s">
        <v>495</v>
      </c>
      <c r="F247" s="198" t="s">
        <v>1244</v>
      </c>
      <c r="G247" s="198" t="s">
        <v>1264</v>
      </c>
      <c r="H247" s="146" t="s">
        <v>520</v>
      </c>
      <c r="I247" s="197">
        <v>46150</v>
      </c>
      <c r="J247" s="197">
        <v>46150</v>
      </c>
      <c r="K247" s="199">
        <v>3</v>
      </c>
      <c r="L247" s="182">
        <v>39900</v>
      </c>
      <c r="M247" s="183">
        <v>0.3</v>
      </c>
      <c r="N247" s="178">
        <f>IFERROR(Tabela225[[#This Row],[VALOR  (R$)]]/Tabela225[[#This Row],[PRAZO
EXECUÇÃO]],0)</f>
        <v>13300</v>
      </c>
      <c r="O247" s="194" t="s">
        <v>599</v>
      </c>
      <c r="P247" s="197">
        <v>46150</v>
      </c>
      <c r="Q247" s="198">
        <v>21058</v>
      </c>
      <c r="R247" s="146"/>
      <c r="S247" s="197"/>
      <c r="T247" s="146" t="s">
        <v>1042</v>
      </c>
    </row>
    <row r="248" spans="1:20" s="200" customFormat="1">
      <c r="A248" s="144">
        <v>234</v>
      </c>
      <c r="B248" s="145">
        <v>46149</v>
      </c>
      <c r="C248" s="145" t="s">
        <v>1431</v>
      </c>
      <c r="D248" s="146" t="s">
        <v>1702</v>
      </c>
      <c r="E248" s="146" t="s">
        <v>495</v>
      </c>
      <c r="F248" s="146" t="s">
        <v>1019</v>
      </c>
      <c r="G248" s="198" t="s">
        <v>1432</v>
      </c>
      <c r="H248" s="146" t="s">
        <v>520</v>
      </c>
      <c r="I248" s="145">
        <v>46176</v>
      </c>
      <c r="J248" s="145">
        <v>46176</v>
      </c>
      <c r="K248" s="144">
        <v>2</v>
      </c>
      <c r="L248" s="178">
        <f>17600*2</f>
        <v>35200</v>
      </c>
      <c r="M248" s="176">
        <v>0.3</v>
      </c>
      <c r="N248" s="178">
        <f>IFERROR(Tabela225[[#This Row],[VALOR  (R$)]]/Tabela225[[#This Row],[PRAZO
EXECUÇÃO]],0)</f>
        <v>17600</v>
      </c>
      <c r="O248" s="194" t="s">
        <v>599</v>
      </c>
      <c r="P248" s="145">
        <v>46176</v>
      </c>
      <c r="Q248" s="146"/>
      <c r="R248" s="146"/>
      <c r="S248" s="145"/>
      <c r="T248" s="146" t="s">
        <v>1042</v>
      </c>
    </row>
    <row r="249" spans="1:20" s="200" customFormat="1">
      <c r="A249" s="144">
        <v>235</v>
      </c>
      <c r="B249" s="197">
        <v>46153</v>
      </c>
      <c r="C249" s="197" t="s">
        <v>1266</v>
      </c>
      <c r="D249" s="198" t="s">
        <v>486</v>
      </c>
      <c r="E249" s="198" t="s">
        <v>584</v>
      </c>
      <c r="F249" s="198" t="s">
        <v>1267</v>
      </c>
      <c r="G249" s="198" t="s">
        <v>1268</v>
      </c>
      <c r="H249" s="146" t="s">
        <v>520</v>
      </c>
      <c r="I249" s="197">
        <v>46150</v>
      </c>
      <c r="J249" s="197">
        <v>46154</v>
      </c>
      <c r="K249" s="199">
        <v>6</v>
      </c>
      <c r="L249" s="182">
        <v>93140</v>
      </c>
      <c r="M249" s="183">
        <v>0.25</v>
      </c>
      <c r="N249" s="178">
        <f>IFERROR(Tabela225[[#This Row],[VALOR  (R$)]]/Tabela225[[#This Row],[PRAZO
EXECUÇÃO]],0)</f>
        <v>15523.333333333334</v>
      </c>
      <c r="O249" s="194" t="s">
        <v>504</v>
      </c>
      <c r="P249" s="197"/>
      <c r="Q249" s="198"/>
      <c r="R249" s="146"/>
      <c r="S249" s="197"/>
      <c r="T249" s="146"/>
    </row>
    <row r="250" spans="1:20" s="200" customFormat="1">
      <c r="A250" s="144">
        <v>236</v>
      </c>
      <c r="B250" s="197">
        <v>46153</v>
      </c>
      <c r="C250" s="197" t="s">
        <v>1269</v>
      </c>
      <c r="D250" s="198" t="s">
        <v>486</v>
      </c>
      <c r="E250" s="198" t="s">
        <v>584</v>
      </c>
      <c r="F250" s="198" t="s">
        <v>1280</v>
      </c>
      <c r="G250" s="198" t="s">
        <v>1281</v>
      </c>
      <c r="H250" s="146" t="s">
        <v>520</v>
      </c>
      <c r="I250" s="197">
        <v>46153</v>
      </c>
      <c r="J250" s="197">
        <v>46154</v>
      </c>
      <c r="K250" s="199">
        <f>3*9</f>
        <v>27</v>
      </c>
      <c r="L250" s="182">
        <v>350274</v>
      </c>
      <c r="M250" s="183">
        <v>0.23</v>
      </c>
      <c r="N250" s="178">
        <f>IFERROR(Tabela225[[#This Row],[VALOR  (R$)]]/Tabela225[[#This Row],[PRAZO
EXECUÇÃO]],0)</f>
        <v>12973.111111111111</v>
      </c>
      <c r="O250" s="194" t="s">
        <v>504</v>
      </c>
      <c r="P250" s="197"/>
      <c r="Q250" s="198"/>
      <c r="R250" s="146"/>
      <c r="S250" s="197"/>
      <c r="T250" s="146"/>
    </row>
    <row r="251" spans="1:20" s="200" customFormat="1">
      <c r="A251" s="144">
        <v>237</v>
      </c>
      <c r="B251" s="197">
        <v>46153</v>
      </c>
      <c r="C251" s="197" t="s">
        <v>1270</v>
      </c>
      <c r="D251" s="198" t="s">
        <v>718</v>
      </c>
      <c r="E251" s="198" t="s">
        <v>495</v>
      </c>
      <c r="F251" s="198" t="s">
        <v>1037</v>
      </c>
      <c r="G251" s="198" t="s">
        <v>1271</v>
      </c>
      <c r="H251" s="146" t="s">
        <v>520</v>
      </c>
      <c r="I251" s="197">
        <v>46153</v>
      </c>
      <c r="J251" s="197">
        <v>46167</v>
      </c>
      <c r="K251" s="199">
        <v>21</v>
      </c>
      <c r="L251" s="182">
        <v>117900</v>
      </c>
      <c r="M251" s="183">
        <v>0.3</v>
      </c>
      <c r="N251" s="178">
        <f>IFERROR(Tabela225[[#This Row],[VALOR  (R$)]]/Tabela225[[#This Row],[PRAZO
EXECUÇÃO]],0)</f>
        <v>5614.2857142857147</v>
      </c>
      <c r="O251" s="194" t="s">
        <v>559</v>
      </c>
      <c r="P251" s="197"/>
      <c r="Q251" s="198"/>
      <c r="R251" s="146"/>
      <c r="S251" s="197"/>
      <c r="T251" s="146"/>
    </row>
    <row r="252" spans="1:20" s="200" customFormat="1">
      <c r="A252" s="144">
        <v>238</v>
      </c>
      <c r="B252" s="197">
        <v>46153</v>
      </c>
      <c r="C252" s="197" t="s">
        <v>1272</v>
      </c>
      <c r="D252" s="198" t="s">
        <v>486</v>
      </c>
      <c r="E252" s="198" t="s">
        <v>584</v>
      </c>
      <c r="F252" s="198" t="s">
        <v>1273</v>
      </c>
      <c r="G252" s="198" t="s">
        <v>1182</v>
      </c>
      <c r="H252" s="146" t="s">
        <v>501</v>
      </c>
      <c r="I252" s="197">
        <v>46153</v>
      </c>
      <c r="J252" s="197">
        <v>46153</v>
      </c>
      <c r="K252" s="199">
        <v>3</v>
      </c>
      <c r="L252" s="182">
        <v>32991</v>
      </c>
      <c r="M252" s="183">
        <v>0.2</v>
      </c>
      <c r="N252" s="178">
        <f>IFERROR(Tabela225[[#This Row],[VALOR  (R$)]]/Tabela225[[#This Row],[PRAZO
EXECUÇÃO]],0)</f>
        <v>10997</v>
      </c>
      <c r="O252" s="194" t="s">
        <v>599</v>
      </c>
      <c r="P252" s="197">
        <v>46181</v>
      </c>
      <c r="Q252" s="198"/>
      <c r="R252" s="146"/>
      <c r="S252" s="197"/>
      <c r="T252" s="146" t="s">
        <v>1042</v>
      </c>
    </row>
    <row r="253" spans="1:20" s="200" customFormat="1">
      <c r="A253" s="144">
        <v>239</v>
      </c>
      <c r="B253" s="197">
        <v>46153</v>
      </c>
      <c r="C253" s="197" t="s">
        <v>1274</v>
      </c>
      <c r="D253" s="198" t="s">
        <v>562</v>
      </c>
      <c r="E253" s="198" t="s">
        <v>495</v>
      </c>
      <c r="F253" s="198" t="s">
        <v>581</v>
      </c>
      <c r="G253" s="198" t="s">
        <v>1275</v>
      </c>
      <c r="H253" s="146" t="s">
        <v>520</v>
      </c>
      <c r="I253" s="197">
        <v>46153</v>
      </c>
      <c r="J253" s="197"/>
      <c r="K253" s="199"/>
      <c r="L253" s="182"/>
      <c r="M253" s="183"/>
      <c r="N253" s="178">
        <f>IFERROR(Tabela225[[#This Row],[VALOR  (R$)]]/Tabela225[[#This Row],[PRAZO
EXECUÇÃO]],0)</f>
        <v>0</v>
      </c>
      <c r="O253" s="194" t="s">
        <v>559</v>
      </c>
      <c r="P253" s="197"/>
      <c r="Q253" s="198"/>
      <c r="R253" s="146"/>
      <c r="S253" s="197"/>
      <c r="T253" s="146"/>
    </row>
    <row r="254" spans="1:20" s="200" customFormat="1">
      <c r="A254" s="144">
        <v>240</v>
      </c>
      <c r="B254" s="197">
        <v>46153</v>
      </c>
      <c r="C254" s="197" t="s">
        <v>1296</v>
      </c>
      <c r="D254" s="198" t="s">
        <v>595</v>
      </c>
      <c r="E254" s="198" t="s">
        <v>495</v>
      </c>
      <c r="F254" s="198" t="s">
        <v>1297</v>
      </c>
      <c r="G254" s="198" t="s">
        <v>1298</v>
      </c>
      <c r="H254" s="146" t="s">
        <v>520</v>
      </c>
      <c r="I254" s="197">
        <v>46154</v>
      </c>
      <c r="J254" s="197">
        <v>46154</v>
      </c>
      <c r="K254" s="199">
        <v>4</v>
      </c>
      <c r="L254" s="182">
        <v>699952</v>
      </c>
      <c r="M254" s="183">
        <v>0.3</v>
      </c>
      <c r="N254" s="178">
        <f>IFERROR(Tabela225[[#This Row],[VALOR  (R$)]]/Tabela225[[#This Row],[PRAZO
EXECUÇÃO]],0)</f>
        <v>174988</v>
      </c>
      <c r="O254" s="194" t="s">
        <v>559</v>
      </c>
      <c r="P254" s="145"/>
      <c r="Q254" s="146"/>
      <c r="R254" s="146"/>
      <c r="S254" s="145"/>
      <c r="T254" s="146"/>
    </row>
    <row r="255" spans="1:20" s="200" customFormat="1">
      <c r="A255" s="144">
        <v>241</v>
      </c>
      <c r="B255" s="197">
        <v>46154</v>
      </c>
      <c r="C255" s="197" t="s">
        <v>1282</v>
      </c>
      <c r="D255" s="198" t="s">
        <v>486</v>
      </c>
      <c r="E255" s="198" t="s">
        <v>584</v>
      </c>
      <c r="F255" s="198" t="s">
        <v>1283</v>
      </c>
      <c r="G255" s="198" t="s">
        <v>1284</v>
      </c>
      <c r="H255" s="146" t="s">
        <v>520</v>
      </c>
      <c r="I255" s="197">
        <v>46155</v>
      </c>
      <c r="J255" s="197">
        <v>46155</v>
      </c>
      <c r="K255" s="199">
        <v>10</v>
      </c>
      <c r="L255" s="182">
        <v>235100</v>
      </c>
      <c r="M255" s="183">
        <v>0.23</v>
      </c>
      <c r="N255" s="178">
        <f>IFERROR(Tabela225[[#This Row],[VALOR  (R$)]]/Tabela225[[#This Row],[PRAZO
EXECUÇÃO]],0)</f>
        <v>23510</v>
      </c>
      <c r="O255" s="194" t="s">
        <v>504</v>
      </c>
      <c r="P255" s="197"/>
      <c r="Q255" s="198"/>
      <c r="R255" s="146"/>
      <c r="S255" s="197"/>
      <c r="T255" s="146"/>
    </row>
    <row r="256" spans="1:20" s="200" customFormat="1">
      <c r="A256" s="144">
        <v>242</v>
      </c>
      <c r="B256" s="197">
        <v>46154</v>
      </c>
      <c r="C256" s="197" t="s">
        <v>1285</v>
      </c>
      <c r="D256" s="198" t="s">
        <v>486</v>
      </c>
      <c r="E256" s="198" t="s">
        <v>584</v>
      </c>
      <c r="F256" s="198" t="s">
        <v>611</v>
      </c>
      <c r="G256" s="198" t="s">
        <v>1286</v>
      </c>
      <c r="H256" s="146" t="s">
        <v>520</v>
      </c>
      <c r="I256" s="197">
        <v>46156</v>
      </c>
      <c r="J256" s="197">
        <v>46155</v>
      </c>
      <c r="K256" s="199">
        <v>19</v>
      </c>
      <c r="L256" s="182">
        <v>275740</v>
      </c>
      <c r="M256" s="183">
        <v>0.23</v>
      </c>
      <c r="N256" s="178">
        <f>IFERROR(Tabela225[[#This Row],[VALOR  (R$)]]/Tabela225[[#This Row],[PRAZO
EXECUÇÃO]],0)</f>
        <v>14512.631578947368</v>
      </c>
      <c r="O256" s="194" t="s">
        <v>559</v>
      </c>
      <c r="P256" s="197"/>
      <c r="Q256" s="198"/>
      <c r="R256" s="146"/>
      <c r="S256" s="197"/>
      <c r="T256" s="146"/>
    </row>
    <row r="257" spans="1:20" s="200" customFormat="1">
      <c r="A257" s="144">
        <v>243</v>
      </c>
      <c r="B257" s="197">
        <v>46154</v>
      </c>
      <c r="C257" s="197" t="s">
        <v>1287</v>
      </c>
      <c r="D257" s="200" t="s">
        <v>486</v>
      </c>
      <c r="E257" s="198" t="s">
        <v>584</v>
      </c>
      <c r="F257" s="198" t="s">
        <v>762</v>
      </c>
      <c r="G257" s="200" t="s">
        <v>1293</v>
      </c>
      <c r="H257" s="146" t="s">
        <v>520</v>
      </c>
      <c r="I257" s="197">
        <v>46155</v>
      </c>
      <c r="J257" s="197">
        <v>46156</v>
      </c>
      <c r="K257" s="199">
        <v>26</v>
      </c>
      <c r="L257" s="182">
        <v>37800</v>
      </c>
      <c r="M257" s="183">
        <v>0.2</v>
      </c>
      <c r="N257" s="178">
        <f>IFERROR(Tabela225[[#This Row],[VALOR  (R$)]]/Tabela225[[#This Row],[PRAZO
EXECUÇÃO]],0)</f>
        <v>1453.8461538461538</v>
      </c>
      <c r="O257" s="194" t="s">
        <v>525</v>
      </c>
      <c r="P257" s="197"/>
      <c r="Q257" s="198"/>
      <c r="R257" s="146"/>
      <c r="S257" s="197"/>
      <c r="T257" s="146"/>
    </row>
    <row r="258" spans="1:20" s="200" customFormat="1">
      <c r="A258" s="144">
        <v>244</v>
      </c>
      <c r="B258" s="197">
        <v>46154</v>
      </c>
      <c r="C258" s="197" t="s">
        <v>1288</v>
      </c>
      <c r="D258" s="198" t="s">
        <v>1076</v>
      </c>
      <c r="E258" s="198" t="s">
        <v>495</v>
      </c>
      <c r="F258" s="198" t="s">
        <v>1022</v>
      </c>
      <c r="G258" s="198" t="s">
        <v>1289</v>
      </c>
      <c r="H258" s="146" t="s">
        <v>520</v>
      </c>
      <c r="I258" s="197">
        <v>46155</v>
      </c>
      <c r="J258" s="197">
        <v>46156</v>
      </c>
      <c r="K258" s="199">
        <v>60</v>
      </c>
      <c r="L258" s="182">
        <v>525600</v>
      </c>
      <c r="M258" s="183">
        <v>1.4999999999999999E-2</v>
      </c>
      <c r="N258" s="178">
        <f>IFERROR(Tabela225[[#This Row],[VALOR  (R$)]]/Tabela225[[#This Row],[PRAZO
EXECUÇÃO]],0)</f>
        <v>8760</v>
      </c>
      <c r="O258" s="194" t="s">
        <v>525</v>
      </c>
      <c r="P258" s="197"/>
      <c r="Q258" s="198"/>
      <c r="R258" s="146"/>
      <c r="S258" s="197"/>
      <c r="T258" s="146"/>
    </row>
    <row r="259" spans="1:20" s="200" customFormat="1">
      <c r="A259" s="144">
        <v>245</v>
      </c>
      <c r="B259" s="197">
        <v>46154</v>
      </c>
      <c r="C259" s="197" t="s">
        <v>1290</v>
      </c>
      <c r="D259" s="198" t="s">
        <v>469</v>
      </c>
      <c r="E259" s="198" t="s">
        <v>584</v>
      </c>
      <c r="F259" s="198" t="s">
        <v>1291</v>
      </c>
      <c r="G259" s="198" t="s">
        <v>1292</v>
      </c>
      <c r="H259" s="146" t="s">
        <v>520</v>
      </c>
      <c r="I259" s="197">
        <v>46155</v>
      </c>
      <c r="J259" s="197">
        <v>46155</v>
      </c>
      <c r="K259" s="199">
        <v>2</v>
      </c>
      <c r="L259" s="182">
        <v>25250</v>
      </c>
      <c r="M259" s="183">
        <v>0.25</v>
      </c>
      <c r="N259" s="178">
        <f>IFERROR(Tabela225[[#This Row],[VALOR  (R$)]]/Tabela225[[#This Row],[PRAZO
EXECUÇÃO]],0)</f>
        <v>12625</v>
      </c>
      <c r="O259" s="194" t="s">
        <v>525</v>
      </c>
      <c r="P259" s="197"/>
      <c r="Q259" s="198"/>
      <c r="R259" s="146"/>
      <c r="S259" s="197"/>
      <c r="T259" s="146"/>
    </row>
    <row r="260" spans="1:20" s="200" customFormat="1">
      <c r="A260" s="144">
        <v>246</v>
      </c>
      <c r="B260" s="197">
        <v>46155</v>
      </c>
      <c r="C260" s="197" t="s">
        <v>1294</v>
      </c>
      <c r="D260" s="198" t="s">
        <v>486</v>
      </c>
      <c r="E260" s="198" t="s">
        <v>584</v>
      </c>
      <c r="F260" s="198" t="s">
        <v>1374</v>
      </c>
      <c r="G260" s="198" t="s">
        <v>1295</v>
      </c>
      <c r="H260" s="146" t="s">
        <v>520</v>
      </c>
      <c r="I260" s="197">
        <v>46167</v>
      </c>
      <c r="J260" s="197">
        <v>46167</v>
      </c>
      <c r="K260" s="199">
        <f>15*8</f>
        <v>120</v>
      </c>
      <c r="L260" s="182">
        <f>169990*8</f>
        <v>1359920</v>
      </c>
      <c r="M260" s="183">
        <v>0.23</v>
      </c>
      <c r="N260" s="178">
        <f>IFERROR(Tabela225[[#This Row],[VALOR  (R$)]]/Tabela225[[#This Row],[PRAZO
EXECUÇÃO]],0)</f>
        <v>11332.666666666666</v>
      </c>
      <c r="O260" s="194" t="s">
        <v>599</v>
      </c>
      <c r="P260" s="197">
        <v>46192</v>
      </c>
      <c r="Q260" s="198"/>
      <c r="R260" s="145">
        <v>46251</v>
      </c>
      <c r="S260" s="197"/>
      <c r="T260" s="146" t="s">
        <v>1042</v>
      </c>
    </row>
    <row r="261" spans="1:20" s="200" customFormat="1">
      <c r="A261" s="144">
        <v>247</v>
      </c>
      <c r="B261" s="197">
        <v>46156</v>
      </c>
      <c r="C261" s="197" t="s">
        <v>1299</v>
      </c>
      <c r="D261" s="198" t="s">
        <v>486</v>
      </c>
      <c r="E261" s="198" t="s">
        <v>584</v>
      </c>
      <c r="F261" s="198" t="s">
        <v>1300</v>
      </c>
      <c r="G261" s="198" t="s">
        <v>1301</v>
      </c>
      <c r="H261" s="146" t="s">
        <v>520</v>
      </c>
      <c r="I261" s="197">
        <v>46157</v>
      </c>
      <c r="J261" s="197">
        <v>46157</v>
      </c>
      <c r="K261" s="199">
        <v>18</v>
      </c>
      <c r="L261" s="182">
        <v>293298</v>
      </c>
      <c r="M261" s="183">
        <v>0.21</v>
      </c>
      <c r="N261" s="178">
        <f>IFERROR(Tabela225[[#This Row],[VALOR  (R$)]]/Tabela225[[#This Row],[PRAZO
EXECUÇÃO]],0)</f>
        <v>16294.333333333334</v>
      </c>
      <c r="O261" s="194" t="s">
        <v>504</v>
      </c>
      <c r="P261" s="197"/>
      <c r="Q261" s="198"/>
      <c r="R261" s="145">
        <v>46174</v>
      </c>
      <c r="S261" s="197"/>
      <c r="T261" s="146"/>
    </row>
    <row r="262" spans="1:20" s="200" customFormat="1">
      <c r="A262" s="144">
        <v>248</v>
      </c>
      <c r="B262" s="197">
        <v>46156</v>
      </c>
      <c r="C262" s="197" t="s">
        <v>1302</v>
      </c>
      <c r="D262" s="198" t="s">
        <v>1247</v>
      </c>
      <c r="E262" s="198" t="s">
        <v>584</v>
      </c>
      <c r="F262" s="198" t="s">
        <v>1011</v>
      </c>
      <c r="G262" s="198" t="s">
        <v>1303</v>
      </c>
      <c r="H262" s="146" t="s">
        <v>520</v>
      </c>
      <c r="I262" s="197">
        <v>46156</v>
      </c>
      <c r="J262" s="197">
        <v>46156</v>
      </c>
      <c r="K262" s="199">
        <v>1</v>
      </c>
      <c r="L262" s="182">
        <v>11160</v>
      </c>
      <c r="M262" s="183">
        <v>0.3</v>
      </c>
      <c r="N262" s="178">
        <f>IFERROR(Tabela225[[#This Row],[VALOR  (R$)]]/Tabela225[[#This Row],[PRAZO
EXECUÇÃO]],0)</f>
        <v>11160</v>
      </c>
      <c r="O262" s="194" t="s">
        <v>559</v>
      </c>
      <c r="P262" s="197"/>
      <c r="Q262" s="198"/>
      <c r="R262" s="145">
        <v>46163</v>
      </c>
      <c r="S262" s="197"/>
      <c r="T262" s="146"/>
    </row>
    <row r="263" spans="1:20" s="200" customFormat="1">
      <c r="A263" s="144">
        <v>249</v>
      </c>
      <c r="B263" s="197">
        <v>46156</v>
      </c>
      <c r="C263" s="197" t="s">
        <v>1304</v>
      </c>
      <c r="D263" s="198" t="s">
        <v>486</v>
      </c>
      <c r="E263" s="198" t="s">
        <v>584</v>
      </c>
      <c r="F263" s="198" t="s">
        <v>1305</v>
      </c>
      <c r="G263" s="198" t="s">
        <v>1306</v>
      </c>
      <c r="H263" s="146" t="s">
        <v>520</v>
      </c>
      <c r="I263" s="197">
        <v>46157</v>
      </c>
      <c r="J263" s="197">
        <v>46157</v>
      </c>
      <c r="K263" s="199">
        <v>18</v>
      </c>
      <c r="L263" s="182">
        <v>308400</v>
      </c>
      <c r="M263" s="183">
        <v>0.21</v>
      </c>
      <c r="N263" s="178">
        <f>IFERROR(Tabela225[[#This Row],[VALOR  (R$)]]/Tabela225[[#This Row],[PRAZO
EXECUÇÃO]],0)</f>
        <v>17133.333333333332</v>
      </c>
      <c r="O263" s="194" t="s">
        <v>504</v>
      </c>
      <c r="P263" s="197"/>
      <c r="Q263" s="198"/>
      <c r="R263" s="145">
        <v>46167</v>
      </c>
      <c r="S263" s="197"/>
      <c r="T263" s="146"/>
    </row>
    <row r="264" spans="1:20" s="200" customFormat="1">
      <c r="A264" s="144">
        <v>250</v>
      </c>
      <c r="B264" s="197">
        <v>46156</v>
      </c>
      <c r="C264" s="197" t="s">
        <v>1307</v>
      </c>
      <c r="D264" s="198" t="s">
        <v>1308</v>
      </c>
      <c r="E264" s="198" t="s">
        <v>495</v>
      </c>
      <c r="F264" s="198" t="s">
        <v>611</v>
      </c>
      <c r="G264" s="198" t="s">
        <v>1309</v>
      </c>
      <c r="H264" s="146" t="s">
        <v>520</v>
      </c>
      <c r="I264" s="197">
        <v>46160</v>
      </c>
      <c r="J264" s="197">
        <v>46195</v>
      </c>
      <c r="K264" s="199">
        <v>200</v>
      </c>
      <c r="L264" s="182">
        <v>11117404</v>
      </c>
      <c r="M264" s="183">
        <v>0.25</v>
      </c>
      <c r="N264" s="178">
        <f>IFERROR(Tabela225[[#This Row],[VALOR  (R$)]]/Tabela225[[#This Row],[PRAZO
EXECUÇÃO]],0)</f>
        <v>55587.02</v>
      </c>
      <c r="O264" s="194" t="s">
        <v>504</v>
      </c>
      <c r="P264" s="197"/>
      <c r="Q264" s="198"/>
      <c r="R264" s="146">
        <v>2026</v>
      </c>
      <c r="S264" s="197"/>
      <c r="T264" s="146"/>
    </row>
    <row r="265" spans="1:20" s="200" customFormat="1">
      <c r="A265" s="144">
        <v>251</v>
      </c>
      <c r="B265" s="197">
        <v>46157</v>
      </c>
      <c r="C265" s="197" t="s">
        <v>1310</v>
      </c>
      <c r="D265" s="198" t="s">
        <v>570</v>
      </c>
      <c r="E265" s="198" t="s">
        <v>584</v>
      </c>
      <c r="F265" s="198" t="s">
        <v>1311</v>
      </c>
      <c r="G265" s="198" t="s">
        <v>1312</v>
      </c>
      <c r="H265" s="146" t="s">
        <v>520</v>
      </c>
      <c r="I265" s="197">
        <v>46157</v>
      </c>
      <c r="J265" s="197">
        <v>46161</v>
      </c>
      <c r="K265" s="199">
        <v>60</v>
      </c>
      <c r="L265" s="182">
        <v>1094037.8</v>
      </c>
      <c r="M265" s="183">
        <v>0.26</v>
      </c>
      <c r="N265" s="178">
        <f>IFERROR(Tabela225[[#This Row],[VALOR  (R$)]]/Tabela225[[#This Row],[PRAZO
EXECUÇÃO]],0)</f>
        <v>18233.963333333333</v>
      </c>
      <c r="O265" s="194" t="s">
        <v>504</v>
      </c>
      <c r="P265" s="197"/>
      <c r="Q265" s="198"/>
      <c r="R265" s="146">
        <v>2027</v>
      </c>
      <c r="S265" s="197"/>
      <c r="T265" s="146"/>
    </row>
    <row r="266" spans="1:20" s="200" customFormat="1">
      <c r="A266" s="144">
        <v>252</v>
      </c>
      <c r="B266" s="197">
        <v>46160</v>
      </c>
      <c r="C266" s="197" t="s">
        <v>1316</v>
      </c>
      <c r="D266" s="146" t="s">
        <v>486</v>
      </c>
      <c r="E266" s="198" t="s">
        <v>584</v>
      </c>
      <c r="F266" s="198" t="s">
        <v>1317</v>
      </c>
      <c r="G266" s="198" t="s">
        <v>1318</v>
      </c>
      <c r="H266" s="146" t="s">
        <v>520</v>
      </c>
      <c r="I266" s="197">
        <v>46160</v>
      </c>
      <c r="J266" s="197">
        <v>46161</v>
      </c>
      <c r="K266" s="199">
        <f>15*4+9</f>
        <v>69</v>
      </c>
      <c r="L266" s="182">
        <v>859238</v>
      </c>
      <c r="M266" s="183">
        <v>0.25</v>
      </c>
      <c r="N266" s="178">
        <f>IFERROR(Tabela225[[#This Row],[VALOR  (R$)]]/Tabela225[[#This Row],[PRAZO
EXECUÇÃO]],0)</f>
        <v>12452.72463768116</v>
      </c>
      <c r="O266" s="194" t="s">
        <v>504</v>
      </c>
      <c r="P266" s="197"/>
      <c r="Q266" s="198"/>
      <c r="R266" s="145">
        <v>46251</v>
      </c>
      <c r="S266" s="197"/>
      <c r="T266" s="146"/>
    </row>
    <row r="267" spans="1:20" s="200" customFormat="1">
      <c r="A267" s="144">
        <v>253</v>
      </c>
      <c r="B267" s="197">
        <v>46160</v>
      </c>
      <c r="C267" s="197" t="s">
        <v>1319</v>
      </c>
      <c r="D267" s="198" t="s">
        <v>469</v>
      </c>
      <c r="E267" s="198" t="s">
        <v>584</v>
      </c>
      <c r="F267" s="198" t="s">
        <v>814</v>
      </c>
      <c r="G267" s="198" t="s">
        <v>1320</v>
      </c>
      <c r="H267" s="146" t="s">
        <v>501</v>
      </c>
      <c r="I267" s="197">
        <v>46160</v>
      </c>
      <c r="J267" s="197">
        <v>46160</v>
      </c>
      <c r="K267" s="199">
        <v>9</v>
      </c>
      <c r="L267" s="182">
        <v>22539</v>
      </c>
      <c r="M267" s="183">
        <v>0</v>
      </c>
      <c r="N267" s="178">
        <f>IFERROR(Tabela225[[#This Row],[VALOR  (R$)]]/Tabela225[[#This Row],[PRAZO
EXECUÇÃO]],0)</f>
        <v>2504.3333333333335</v>
      </c>
      <c r="O267" s="194" t="s">
        <v>599</v>
      </c>
      <c r="P267" s="197">
        <v>46160</v>
      </c>
      <c r="Q267" s="198"/>
      <c r="R267" s="145">
        <v>46160</v>
      </c>
      <c r="S267" s="197" t="s">
        <v>1039</v>
      </c>
      <c r="T267" s="146" t="s">
        <v>1042</v>
      </c>
    </row>
    <row r="268" spans="1:20" s="200" customFormat="1">
      <c r="A268" s="144">
        <v>254</v>
      </c>
      <c r="B268" s="197">
        <v>46160</v>
      </c>
      <c r="C268" s="197" t="s">
        <v>1321</v>
      </c>
      <c r="D268" s="198" t="s">
        <v>1322</v>
      </c>
      <c r="E268" s="198" t="s">
        <v>495</v>
      </c>
      <c r="F268" s="198" t="s">
        <v>1323</v>
      </c>
      <c r="G268" s="198" t="s">
        <v>1324</v>
      </c>
      <c r="H268" s="146" t="s">
        <v>520</v>
      </c>
      <c r="I268" s="197">
        <v>46161</v>
      </c>
      <c r="J268" s="197">
        <v>46161</v>
      </c>
      <c r="K268" s="199">
        <v>6</v>
      </c>
      <c r="L268" s="182">
        <v>108400</v>
      </c>
      <c r="M268" s="183">
        <v>0.3</v>
      </c>
      <c r="N268" s="178">
        <f>IFERROR(Tabela225[[#This Row],[VALOR  (R$)]]/Tabela225[[#This Row],[PRAZO
EXECUÇÃO]],0)</f>
        <v>18066.666666666668</v>
      </c>
      <c r="O268" s="194" t="s">
        <v>504</v>
      </c>
      <c r="P268" s="197"/>
      <c r="Q268" s="198"/>
      <c r="R268" s="146"/>
      <c r="S268" s="197"/>
      <c r="T268" s="146"/>
    </row>
    <row r="269" spans="1:20" s="200" customFormat="1">
      <c r="A269" s="144">
        <v>255</v>
      </c>
      <c r="B269" s="197">
        <v>46160</v>
      </c>
      <c r="C269" s="197" t="s">
        <v>1325</v>
      </c>
      <c r="D269" s="198" t="s">
        <v>1208</v>
      </c>
      <c r="E269" s="198" t="s">
        <v>495</v>
      </c>
      <c r="F269" s="198" t="s">
        <v>1326</v>
      </c>
      <c r="G269" s="198" t="s">
        <v>1327</v>
      </c>
      <c r="H269" s="146" t="s">
        <v>520</v>
      </c>
      <c r="I269" s="197">
        <v>46161</v>
      </c>
      <c r="J269" s="197">
        <v>46161</v>
      </c>
      <c r="K269" s="199">
        <v>3</v>
      </c>
      <c r="L269" s="182">
        <v>98420</v>
      </c>
      <c r="M269" s="183">
        <v>0.25</v>
      </c>
      <c r="N269" s="178">
        <f>IFERROR(Tabela225[[#This Row],[VALOR  (R$)]]/Tabela225[[#This Row],[PRAZO
EXECUÇÃO]],0)</f>
        <v>32806.666666666664</v>
      </c>
      <c r="O269" s="194" t="s">
        <v>504</v>
      </c>
      <c r="P269" s="197"/>
      <c r="Q269" s="198"/>
      <c r="R269" s="146"/>
      <c r="S269" s="197"/>
      <c r="T269" s="146"/>
    </row>
    <row r="270" spans="1:20" s="200" customFormat="1">
      <c r="A270" s="144">
        <v>256</v>
      </c>
      <c r="B270" s="197">
        <v>46161</v>
      </c>
      <c r="C270" s="197" t="s">
        <v>1328</v>
      </c>
      <c r="D270" s="198" t="s">
        <v>589</v>
      </c>
      <c r="E270" s="198" t="s">
        <v>495</v>
      </c>
      <c r="F270" s="198" t="s">
        <v>1329</v>
      </c>
      <c r="G270" s="198" t="s">
        <v>1330</v>
      </c>
      <c r="H270" s="146" t="s">
        <v>520</v>
      </c>
      <c r="I270" s="197">
        <v>46161</v>
      </c>
      <c r="J270" s="197">
        <v>46161</v>
      </c>
      <c r="K270" s="199">
        <v>4</v>
      </c>
      <c r="L270" s="182">
        <f>17290*4</f>
        <v>69160</v>
      </c>
      <c r="M270" s="183">
        <v>0.25</v>
      </c>
      <c r="N270" s="178">
        <f>IFERROR(Tabela225[[#This Row],[VALOR  (R$)]]/Tabela225[[#This Row],[PRAZO
EXECUÇÃO]],0)</f>
        <v>17290</v>
      </c>
      <c r="O270" s="194" t="s">
        <v>559</v>
      </c>
      <c r="P270" s="197"/>
      <c r="Q270" s="198"/>
      <c r="R270" s="205">
        <v>46143</v>
      </c>
      <c r="S270" s="197"/>
      <c r="T270" s="146"/>
    </row>
    <row r="271" spans="1:20" s="200" customFormat="1">
      <c r="A271" s="144">
        <v>257</v>
      </c>
      <c r="B271" s="197">
        <v>46161</v>
      </c>
      <c r="C271" s="197" t="s">
        <v>1331</v>
      </c>
      <c r="D271" s="198" t="s">
        <v>486</v>
      </c>
      <c r="E271" s="198" t="s">
        <v>584</v>
      </c>
      <c r="F271" s="198" t="s">
        <v>646</v>
      </c>
      <c r="G271" s="198" t="s">
        <v>647</v>
      </c>
      <c r="H271" s="146" t="s">
        <v>520</v>
      </c>
      <c r="I271" s="197">
        <v>46161</v>
      </c>
      <c r="J271" s="197">
        <v>46161</v>
      </c>
      <c r="K271" s="199">
        <v>13</v>
      </c>
      <c r="L271" s="182">
        <v>224280</v>
      </c>
      <c r="M271" s="183">
        <v>0.22</v>
      </c>
      <c r="N271" s="178">
        <f>IFERROR(Tabela225[[#This Row],[VALOR  (R$)]]/Tabela225[[#This Row],[PRAZO
EXECUÇÃO]],0)</f>
        <v>17252.307692307691</v>
      </c>
      <c r="O271" s="194" t="s">
        <v>504</v>
      </c>
      <c r="P271" s="197"/>
      <c r="Q271" s="198"/>
      <c r="R271" s="145">
        <v>46179</v>
      </c>
      <c r="S271" s="197"/>
      <c r="T271" s="146"/>
    </row>
    <row r="272" spans="1:20" s="200" customFormat="1">
      <c r="A272" s="144">
        <v>258</v>
      </c>
      <c r="B272" s="197">
        <v>46161</v>
      </c>
      <c r="C272" s="197" t="s">
        <v>1332</v>
      </c>
      <c r="D272" s="198" t="s">
        <v>486</v>
      </c>
      <c r="E272" s="198" t="s">
        <v>584</v>
      </c>
      <c r="F272" s="198" t="s">
        <v>1089</v>
      </c>
      <c r="G272" s="198" t="s">
        <v>1049</v>
      </c>
      <c r="H272" s="146" t="s">
        <v>520</v>
      </c>
      <c r="I272" s="197">
        <v>46161</v>
      </c>
      <c r="J272" s="197">
        <v>46161</v>
      </c>
      <c r="K272" s="199">
        <v>10</v>
      </c>
      <c r="L272" s="182">
        <v>269790</v>
      </c>
      <c r="M272" s="183">
        <v>0.25</v>
      </c>
      <c r="N272" s="178">
        <f>IFERROR(Tabela225[[#This Row],[VALOR  (R$)]]/Tabela225[[#This Row],[PRAZO
EXECUÇÃO]],0)</f>
        <v>26979</v>
      </c>
      <c r="O272" s="194" t="s">
        <v>504</v>
      </c>
      <c r="P272" s="197"/>
      <c r="Q272" s="198"/>
      <c r="R272" s="145">
        <v>46182</v>
      </c>
      <c r="S272" s="197"/>
      <c r="T272" s="146"/>
    </row>
    <row r="273" spans="1:21" s="200" customFormat="1">
      <c r="A273" s="144">
        <v>259</v>
      </c>
      <c r="B273" s="197">
        <v>46161</v>
      </c>
      <c r="C273" s="197" t="s">
        <v>1333</v>
      </c>
      <c r="D273" s="198" t="s">
        <v>469</v>
      </c>
      <c r="E273" s="198" t="s">
        <v>495</v>
      </c>
      <c r="F273" s="198" t="s">
        <v>1334</v>
      </c>
      <c r="G273" s="198" t="s">
        <v>1335</v>
      </c>
      <c r="H273" s="146" t="s">
        <v>520</v>
      </c>
      <c r="I273" s="197">
        <v>46164</v>
      </c>
      <c r="J273" s="197">
        <v>46162</v>
      </c>
      <c r="K273" s="199">
        <v>12</v>
      </c>
      <c r="L273" s="182">
        <v>137900</v>
      </c>
      <c r="M273" s="183">
        <v>0.23</v>
      </c>
      <c r="N273" s="178">
        <f>IFERROR(Tabela225[[#This Row],[VALOR  (R$)]]/Tabela225[[#This Row],[PRAZO
EXECUÇÃO]],0)</f>
        <v>11491.666666666666</v>
      </c>
      <c r="O273" s="194" t="s">
        <v>599</v>
      </c>
      <c r="P273" s="197">
        <v>46176</v>
      </c>
      <c r="Q273" s="198">
        <v>21475</v>
      </c>
      <c r="R273" s="145">
        <v>46209</v>
      </c>
      <c r="S273" s="197"/>
      <c r="T273" s="146" t="s">
        <v>1042</v>
      </c>
    </row>
    <row r="274" spans="1:21" s="200" customFormat="1">
      <c r="A274" s="144">
        <v>260</v>
      </c>
      <c r="B274" s="197">
        <v>46161</v>
      </c>
      <c r="C274" s="197" t="s">
        <v>1336</v>
      </c>
      <c r="D274" s="198" t="s">
        <v>1076</v>
      </c>
      <c r="E274" s="198" t="s">
        <v>495</v>
      </c>
      <c r="F274" s="198" t="s">
        <v>611</v>
      </c>
      <c r="G274" s="198" t="s">
        <v>1337</v>
      </c>
      <c r="H274" s="146" t="s">
        <v>520</v>
      </c>
      <c r="I274" s="197">
        <v>46161</v>
      </c>
      <c r="J274" s="197">
        <v>46161</v>
      </c>
      <c r="K274" s="199">
        <v>4</v>
      </c>
      <c r="L274" s="182">
        <v>68200</v>
      </c>
      <c r="M274" s="183">
        <v>0.23</v>
      </c>
      <c r="N274" s="178">
        <f>IFERROR(Tabela225[[#This Row],[VALOR  (R$)]]/Tabela225[[#This Row],[PRAZO
EXECUÇÃO]],0)</f>
        <v>17050</v>
      </c>
      <c r="O274" s="194" t="s">
        <v>599</v>
      </c>
      <c r="P274" s="197">
        <v>46204</v>
      </c>
      <c r="Q274" s="198"/>
      <c r="R274" s="146"/>
      <c r="S274" s="197"/>
      <c r="T274" s="146" t="s">
        <v>1042</v>
      </c>
    </row>
    <row r="275" spans="1:21" s="200" customFormat="1">
      <c r="A275" s="144">
        <v>261</v>
      </c>
      <c r="B275" s="197">
        <v>46162</v>
      </c>
      <c r="C275" s="197" t="s">
        <v>1338</v>
      </c>
      <c r="D275" s="198" t="s">
        <v>570</v>
      </c>
      <c r="E275" s="198" t="s">
        <v>584</v>
      </c>
      <c r="F275" s="198" t="s">
        <v>1339</v>
      </c>
      <c r="G275" s="198" t="s">
        <v>1340</v>
      </c>
      <c r="H275" s="146" t="s">
        <v>520</v>
      </c>
      <c r="I275" s="145">
        <v>46161</v>
      </c>
      <c r="J275" s="145">
        <v>46162</v>
      </c>
      <c r="K275" s="144">
        <v>20</v>
      </c>
      <c r="L275" s="203">
        <v>449810</v>
      </c>
      <c r="M275" s="204">
        <v>0.25</v>
      </c>
      <c r="N275" s="178">
        <f>IFERROR(Tabela225[[#This Row],[VALOR  (R$)]]/Tabela225[[#This Row],[PRAZO
EXECUÇÃO]],0)</f>
        <v>22490.5</v>
      </c>
      <c r="O275" s="194" t="s">
        <v>504</v>
      </c>
      <c r="P275" s="197"/>
      <c r="Q275" s="198"/>
      <c r="R275" s="146">
        <v>2027</v>
      </c>
      <c r="S275" s="197"/>
      <c r="T275" s="146"/>
    </row>
    <row r="276" spans="1:21" s="200" customFormat="1">
      <c r="A276" s="144">
        <v>262</v>
      </c>
      <c r="B276" s="197">
        <v>46162</v>
      </c>
      <c r="C276" s="197" t="s">
        <v>1341</v>
      </c>
      <c r="D276" s="198" t="s">
        <v>1247</v>
      </c>
      <c r="E276" s="198" t="s">
        <v>584</v>
      </c>
      <c r="F276" s="198" t="s">
        <v>620</v>
      </c>
      <c r="G276" s="198" t="s">
        <v>1342</v>
      </c>
      <c r="H276" s="146" t="s">
        <v>520</v>
      </c>
      <c r="I276" s="197">
        <v>46163</v>
      </c>
      <c r="J276" s="197">
        <v>46163</v>
      </c>
      <c r="K276" s="199">
        <v>2</v>
      </c>
      <c r="L276" s="182">
        <v>110220</v>
      </c>
      <c r="M276" s="183">
        <v>0.26</v>
      </c>
      <c r="N276" s="178">
        <f>IFERROR(Tabela225[[#This Row],[VALOR  (R$)]]/Tabela225[[#This Row],[PRAZO
EXECUÇÃO]],0)</f>
        <v>55110</v>
      </c>
      <c r="O276" s="194" t="s">
        <v>504</v>
      </c>
      <c r="P276" s="197"/>
      <c r="Q276" s="198"/>
      <c r="R276" s="145">
        <v>46195</v>
      </c>
      <c r="S276" s="197"/>
      <c r="T276" s="146"/>
    </row>
    <row r="277" spans="1:21">
      <c r="A277" s="144">
        <v>263</v>
      </c>
      <c r="B277" s="145">
        <v>46162</v>
      </c>
      <c r="C277" s="197" t="s">
        <v>1343</v>
      </c>
      <c r="D277" s="146" t="s">
        <v>1344</v>
      </c>
      <c r="E277" s="198" t="s">
        <v>495</v>
      </c>
      <c r="F277" s="146" t="s">
        <v>922</v>
      </c>
      <c r="G277" s="146" t="s">
        <v>1345</v>
      </c>
      <c r="H277" s="146" t="s">
        <v>520</v>
      </c>
      <c r="I277" s="145">
        <v>46162</v>
      </c>
      <c r="J277" s="145">
        <v>46162</v>
      </c>
      <c r="K277" s="144">
        <v>7</v>
      </c>
      <c r="L277" s="178">
        <v>10600</v>
      </c>
      <c r="M277" s="176">
        <v>0.25</v>
      </c>
      <c r="N277" s="178">
        <f>IFERROR(Tabela225[[#This Row],[VALOR  (R$)]]/Tabela225[[#This Row],[PRAZO
EXECUÇÃO]],0)</f>
        <v>1514.2857142857142</v>
      </c>
      <c r="O277" s="194" t="s">
        <v>559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264</v>
      </c>
      <c r="B278" s="145">
        <v>46162</v>
      </c>
      <c r="C278" s="197" t="s">
        <v>1346</v>
      </c>
      <c r="D278" s="198" t="s">
        <v>1347</v>
      </c>
      <c r="E278" s="198" t="s">
        <v>495</v>
      </c>
      <c r="F278" s="146" t="s">
        <v>1348</v>
      </c>
      <c r="G278" s="146" t="s">
        <v>1349</v>
      </c>
      <c r="H278" s="146" t="s">
        <v>520</v>
      </c>
      <c r="I278" s="145">
        <v>46164</v>
      </c>
      <c r="J278" s="145">
        <v>46176</v>
      </c>
      <c r="K278" s="144">
        <v>4</v>
      </c>
      <c r="L278" s="178">
        <v>194700</v>
      </c>
      <c r="M278" s="176">
        <v>0.23</v>
      </c>
      <c r="N278" s="178">
        <f>IFERROR(Tabela225[[#This Row],[VALOR  (R$)]]/Tabela225[[#This Row],[PRAZO
EXECUÇÃO]],0)</f>
        <v>48675</v>
      </c>
      <c r="O278" s="194" t="s">
        <v>559</v>
      </c>
      <c r="P278" s="145"/>
      <c r="Q278" s="146"/>
      <c r="R278" s="146"/>
      <c r="S278" s="145"/>
      <c r="T278" s="146"/>
      <c r="U278" s="132"/>
    </row>
    <row r="279" spans="1:21">
      <c r="A279" s="144">
        <v>265</v>
      </c>
      <c r="B279" s="145">
        <v>46162</v>
      </c>
      <c r="C279" s="197" t="s">
        <v>1350</v>
      </c>
      <c r="D279" s="146" t="s">
        <v>1247</v>
      </c>
      <c r="E279" s="198" t="s">
        <v>584</v>
      </c>
      <c r="F279" s="146" t="s">
        <v>1351</v>
      </c>
      <c r="G279" s="146" t="s">
        <v>1352</v>
      </c>
      <c r="H279" s="146" t="s">
        <v>520</v>
      </c>
      <c r="I279" s="145">
        <v>46163</v>
      </c>
      <c r="J279" s="145">
        <v>46163</v>
      </c>
      <c r="K279" s="144">
        <v>1</v>
      </c>
      <c r="L279" s="178">
        <v>34622</v>
      </c>
      <c r="M279" s="176">
        <v>0.25</v>
      </c>
      <c r="N279" s="178">
        <f>IFERROR(Tabela225[[#This Row],[VALOR  (R$)]]/Tabela225[[#This Row],[PRAZO
EXECUÇÃO]],0)</f>
        <v>34622</v>
      </c>
      <c r="O279" s="194" t="s">
        <v>504</v>
      </c>
      <c r="P279" s="145"/>
      <c r="Q279" s="146"/>
      <c r="R279" s="146" t="s">
        <v>1362</v>
      </c>
      <c r="S279" s="145"/>
      <c r="T279" s="146"/>
      <c r="U279" s="132"/>
    </row>
    <row r="280" spans="1:21">
      <c r="A280" s="144">
        <v>266</v>
      </c>
      <c r="B280" s="145">
        <v>46162</v>
      </c>
      <c r="C280" s="197" t="s">
        <v>1353</v>
      </c>
      <c r="D280" s="146" t="s">
        <v>486</v>
      </c>
      <c r="E280" s="198" t="s">
        <v>584</v>
      </c>
      <c r="F280" s="146" t="s">
        <v>1354</v>
      </c>
      <c r="G280" s="146" t="s">
        <v>1355</v>
      </c>
      <c r="H280" s="146" t="s">
        <v>520</v>
      </c>
      <c r="I280" s="145">
        <v>46164</v>
      </c>
      <c r="J280" s="145">
        <v>46164</v>
      </c>
      <c r="K280" s="144">
        <v>15</v>
      </c>
      <c r="L280" s="178">
        <v>209600</v>
      </c>
      <c r="M280" s="176">
        <v>0.22</v>
      </c>
      <c r="N280" s="178">
        <f>IFERROR(Tabela225[[#This Row],[VALOR  (R$)]]/Tabela225[[#This Row],[PRAZO
EXECUÇÃO]],0)</f>
        <v>13973.333333333334</v>
      </c>
      <c r="O280" s="194" t="s">
        <v>504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267</v>
      </c>
      <c r="B281" s="145">
        <v>46162</v>
      </c>
      <c r="C281" s="197" t="s">
        <v>1356</v>
      </c>
      <c r="D281" s="146" t="s">
        <v>1247</v>
      </c>
      <c r="E281" s="198" t="s">
        <v>584</v>
      </c>
      <c r="F281" s="146" t="s">
        <v>1357</v>
      </c>
      <c r="G281" s="146" t="s">
        <v>1358</v>
      </c>
      <c r="H281" s="146" t="s">
        <v>520</v>
      </c>
      <c r="I281" s="145">
        <v>46164</v>
      </c>
      <c r="J281" s="145">
        <v>46164</v>
      </c>
      <c r="K281" s="144">
        <v>15</v>
      </c>
      <c r="L281" s="178">
        <v>219952</v>
      </c>
      <c r="M281" s="176">
        <v>0.26</v>
      </c>
      <c r="N281" s="178">
        <f>IFERROR(Tabela225[[#This Row],[VALOR  (R$)]]/Tabela225[[#This Row],[PRAZO
EXECUÇÃO]],0)</f>
        <v>14663.466666666667</v>
      </c>
      <c r="O281" s="194" t="s">
        <v>559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268</v>
      </c>
      <c r="B282" s="145">
        <v>46162</v>
      </c>
      <c r="C282" s="197" t="s">
        <v>1359</v>
      </c>
      <c r="D282" s="146" t="s">
        <v>486</v>
      </c>
      <c r="E282" s="198" t="s">
        <v>584</v>
      </c>
      <c r="F282" s="146" t="s">
        <v>1360</v>
      </c>
      <c r="G282" s="146" t="s">
        <v>1361</v>
      </c>
      <c r="H282" s="146" t="s">
        <v>520</v>
      </c>
      <c r="I282" s="145">
        <v>46164</v>
      </c>
      <c r="J282" s="145">
        <v>46164</v>
      </c>
      <c r="K282" s="144">
        <v>10</v>
      </c>
      <c r="L282" s="178">
        <v>199320</v>
      </c>
      <c r="M282" s="176">
        <v>0.25</v>
      </c>
      <c r="N282" s="178">
        <f>IFERROR(Tabela225[[#This Row],[VALOR  (R$)]]/Tabela225[[#This Row],[PRAZO
EXECUÇÃO]],0)</f>
        <v>19932</v>
      </c>
      <c r="O282" s="194" t="s">
        <v>504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269</v>
      </c>
      <c r="B283" s="145">
        <v>46163</v>
      </c>
      <c r="C283" s="197" t="s">
        <v>1363</v>
      </c>
      <c r="D283" s="146" t="s">
        <v>570</v>
      </c>
      <c r="E283" s="146" t="s">
        <v>584</v>
      </c>
      <c r="F283" s="146" t="s">
        <v>1364</v>
      </c>
      <c r="G283" s="146" t="s">
        <v>1365</v>
      </c>
      <c r="H283" s="146" t="s">
        <v>520</v>
      </c>
      <c r="I283" s="145">
        <v>46164</v>
      </c>
      <c r="J283" s="145" t="s">
        <v>1411</v>
      </c>
      <c r="K283" s="144">
        <v>108</v>
      </c>
      <c r="L283" s="178">
        <v>1975080</v>
      </c>
      <c r="M283" s="176">
        <v>0.3</v>
      </c>
      <c r="N283" s="178">
        <f>IFERROR(Tabela225[[#This Row],[VALOR  (R$)]]/Tabela225[[#This Row],[PRAZO
EXECUÇÃO]],0)</f>
        <v>18287.777777777777</v>
      </c>
      <c r="O283" s="194" t="s">
        <v>504</v>
      </c>
      <c r="P283" s="145"/>
      <c r="Q283" s="146"/>
      <c r="R283" s="146"/>
      <c r="S283" s="145"/>
      <c r="T283" s="146"/>
      <c r="U283" s="132"/>
    </row>
    <row r="284" spans="1:21">
      <c r="A284" s="144">
        <v>270</v>
      </c>
      <c r="B284" s="145">
        <v>46163</v>
      </c>
      <c r="C284" s="197" t="s">
        <v>1366</v>
      </c>
      <c r="D284" s="146" t="s">
        <v>1367</v>
      </c>
      <c r="E284" s="146" t="s">
        <v>495</v>
      </c>
      <c r="F284" s="146" t="s">
        <v>759</v>
      </c>
      <c r="G284" s="146" t="s">
        <v>1368</v>
      </c>
      <c r="H284" s="146" t="s">
        <v>520</v>
      </c>
      <c r="I284" s="145">
        <v>46167</v>
      </c>
      <c r="J284" s="145">
        <v>46164</v>
      </c>
      <c r="K284" s="144">
        <v>11</v>
      </c>
      <c r="L284" s="178">
        <v>124320</v>
      </c>
      <c r="M284" s="176">
        <v>0.23</v>
      </c>
      <c r="N284" s="178">
        <f>IFERROR(Tabela225[[#This Row],[VALOR  (R$)]]/Tabela225[[#This Row],[PRAZO
EXECUÇÃO]],0)</f>
        <v>11301.818181818182</v>
      </c>
      <c r="O284" s="194" t="s">
        <v>504</v>
      </c>
      <c r="P284" s="145"/>
      <c r="Q284" s="146"/>
      <c r="R284" s="146" t="s">
        <v>1362</v>
      </c>
      <c r="S284" s="145"/>
      <c r="T284" s="146"/>
      <c r="U284" s="132"/>
    </row>
    <row r="285" spans="1:21">
      <c r="A285" s="144">
        <v>271</v>
      </c>
      <c r="B285" s="145">
        <v>46163</v>
      </c>
      <c r="C285" s="197" t="s">
        <v>1369</v>
      </c>
      <c r="D285" s="146" t="s">
        <v>1076</v>
      </c>
      <c r="E285" s="146" t="s">
        <v>495</v>
      </c>
      <c r="F285" s="146" t="s">
        <v>1370</v>
      </c>
      <c r="G285" s="146" t="s">
        <v>1371</v>
      </c>
      <c r="H285" s="146" t="s">
        <v>520</v>
      </c>
      <c r="I285" s="145">
        <v>46164</v>
      </c>
      <c r="J285" s="145">
        <v>46164</v>
      </c>
      <c r="K285" s="144">
        <v>10</v>
      </c>
      <c r="L285" s="178">
        <v>447000</v>
      </c>
      <c r="M285" s="176">
        <v>0.15</v>
      </c>
      <c r="N285" s="178">
        <f>IFERROR(Tabela225[[#This Row],[VALOR  (R$)]]/Tabela225[[#This Row],[PRAZO
EXECUÇÃO]],0)</f>
        <v>44700</v>
      </c>
      <c r="O285" s="196" t="s">
        <v>525</v>
      </c>
      <c r="P285" s="145"/>
      <c r="Q285" s="146"/>
      <c r="R285" s="146"/>
      <c r="S285" s="145"/>
      <c r="T285" s="146"/>
      <c r="U285" s="132"/>
    </row>
    <row r="286" spans="1:21">
      <c r="A286" s="144">
        <v>272</v>
      </c>
      <c r="B286" s="145">
        <v>46164</v>
      </c>
      <c r="C286" s="197" t="s">
        <v>1372</v>
      </c>
      <c r="D286" s="146" t="s">
        <v>675</v>
      </c>
      <c r="E286" s="146" t="s">
        <v>495</v>
      </c>
      <c r="F286" s="146" t="s">
        <v>1267</v>
      </c>
      <c r="G286" s="146" t="s">
        <v>1373</v>
      </c>
      <c r="H286" s="146" t="s">
        <v>520</v>
      </c>
      <c r="I286" s="145">
        <v>46167</v>
      </c>
      <c r="J286" s="145">
        <v>46167</v>
      </c>
      <c r="K286" s="144">
        <v>1</v>
      </c>
      <c r="L286" s="178">
        <v>119000</v>
      </c>
      <c r="M286" s="176">
        <v>0.25</v>
      </c>
      <c r="N286" s="178">
        <f>IFERROR(Tabela225[[#This Row],[VALOR  (R$)]]/Tabela225[[#This Row],[PRAZO
EXECUÇÃO]],0)</f>
        <v>119000</v>
      </c>
      <c r="O286" s="194" t="s">
        <v>504</v>
      </c>
      <c r="P286" s="145"/>
      <c r="Q286" s="146"/>
      <c r="R286" s="146"/>
      <c r="S286" s="145"/>
      <c r="T286" s="146"/>
      <c r="U286" s="132"/>
    </row>
    <row r="287" spans="1:21">
      <c r="A287" s="144">
        <v>273</v>
      </c>
      <c r="B287" s="145">
        <v>46164</v>
      </c>
      <c r="C287" s="145" t="s">
        <v>1375</v>
      </c>
      <c r="D287" s="146" t="s">
        <v>670</v>
      </c>
      <c r="E287" s="146" t="s">
        <v>495</v>
      </c>
      <c r="F287" s="146" t="s">
        <v>627</v>
      </c>
      <c r="G287" s="146" t="s">
        <v>1376</v>
      </c>
      <c r="H287" s="146" t="s">
        <v>520</v>
      </c>
      <c r="I287" s="145">
        <v>46167</v>
      </c>
      <c r="J287" s="145">
        <v>46167</v>
      </c>
      <c r="K287" s="144">
        <v>1</v>
      </c>
      <c r="L287" s="178">
        <v>13650</v>
      </c>
      <c r="M287" s="176">
        <v>0.25</v>
      </c>
      <c r="N287" s="178">
        <f>IFERROR(Tabela225[[#This Row],[VALOR  (R$)]]/Tabela225[[#This Row],[PRAZO
EXECUÇÃO]],0)</f>
        <v>13650</v>
      </c>
      <c r="O287" s="194" t="s">
        <v>599</v>
      </c>
      <c r="P287" s="145">
        <v>46188</v>
      </c>
      <c r="Q287" s="146"/>
      <c r="R287" s="146"/>
      <c r="S287" s="145"/>
      <c r="T287" s="146" t="s">
        <v>1042</v>
      </c>
      <c r="U287" s="132"/>
    </row>
    <row r="288" spans="1:21">
      <c r="A288" s="144">
        <v>274</v>
      </c>
      <c r="B288" s="145">
        <v>46167</v>
      </c>
      <c r="C288" s="145" t="s">
        <v>1377</v>
      </c>
      <c r="D288" s="146" t="s">
        <v>1247</v>
      </c>
      <c r="E288" s="146" t="s">
        <v>584</v>
      </c>
      <c r="F288" s="146" t="s">
        <v>1378</v>
      </c>
      <c r="G288" s="146" t="s">
        <v>1379</v>
      </c>
      <c r="H288" s="146" t="s">
        <v>520</v>
      </c>
      <c r="I288" s="145">
        <v>46169</v>
      </c>
      <c r="J288" s="145">
        <v>46169</v>
      </c>
      <c r="K288" s="144">
        <v>1</v>
      </c>
      <c r="L288" s="178">
        <v>26400</v>
      </c>
      <c r="M288" s="176">
        <v>0.25</v>
      </c>
      <c r="N288" s="178">
        <f>IFERROR(Tabela225[[#This Row],[VALOR  (R$)]]/Tabela225[[#This Row],[PRAZO
EXECUÇÃO]],0)</f>
        <v>26400</v>
      </c>
      <c r="O288" s="194" t="s">
        <v>504</v>
      </c>
      <c r="P288" s="145"/>
      <c r="Q288" s="146"/>
      <c r="R288" s="146"/>
      <c r="S288" s="145"/>
      <c r="T288" s="146"/>
      <c r="U288" s="132"/>
    </row>
    <row r="289" spans="1:21">
      <c r="A289" s="144">
        <v>275</v>
      </c>
      <c r="B289" s="145">
        <v>46167</v>
      </c>
      <c r="C289" s="197" t="s">
        <v>1380</v>
      </c>
      <c r="D289" s="146" t="s">
        <v>1381</v>
      </c>
      <c r="E289" s="146" t="s">
        <v>495</v>
      </c>
      <c r="F289" s="146" t="s">
        <v>1382</v>
      </c>
      <c r="G289" s="146" t="s">
        <v>1383</v>
      </c>
      <c r="H289" s="146" t="s">
        <v>520</v>
      </c>
      <c r="I289" s="145">
        <v>46169</v>
      </c>
      <c r="J289" s="145">
        <v>46169</v>
      </c>
      <c r="K289" s="144">
        <v>0</v>
      </c>
      <c r="L289" s="178">
        <v>0</v>
      </c>
      <c r="M289" s="176"/>
      <c r="N289" s="178">
        <f>IFERROR(Tabela225[[#This Row],[VALOR  (R$)]]/Tabela225[[#This Row],[PRAZO
EXECUÇÃO]],0)</f>
        <v>0</v>
      </c>
      <c r="O289" s="196" t="s">
        <v>525</v>
      </c>
      <c r="P289" s="145"/>
      <c r="Q289" s="146"/>
      <c r="R289" s="146"/>
      <c r="S289" s="145"/>
      <c r="T289" s="146"/>
      <c r="U289" s="132"/>
    </row>
    <row r="290" spans="1:21">
      <c r="A290" s="144">
        <v>276</v>
      </c>
      <c r="B290" s="145">
        <v>46167</v>
      </c>
      <c r="C290" s="197" t="s">
        <v>1433</v>
      </c>
      <c r="D290" s="146" t="s">
        <v>866</v>
      </c>
      <c r="E290" s="146" t="s">
        <v>495</v>
      </c>
      <c r="F290" s="146" t="s">
        <v>1385</v>
      </c>
      <c r="G290" s="146" t="s">
        <v>1386</v>
      </c>
      <c r="H290" s="146" t="s">
        <v>520</v>
      </c>
      <c r="I290" s="145">
        <v>46170</v>
      </c>
      <c r="J290" s="145">
        <v>46171</v>
      </c>
      <c r="K290" s="144">
        <v>10</v>
      </c>
      <c r="L290" s="178">
        <f>131900</f>
        <v>131900</v>
      </c>
      <c r="M290" s="176">
        <v>0.26</v>
      </c>
      <c r="N290" s="178">
        <f>IFERROR(Tabela225[[#This Row],[VALOR  (R$)]]/Tabela225[[#This Row],[PRAZO
EXECUÇÃO]],0)</f>
        <v>13190</v>
      </c>
      <c r="O290" s="194" t="s">
        <v>504</v>
      </c>
      <c r="P290" s="145"/>
      <c r="Q290" s="146"/>
      <c r="R290" s="146"/>
      <c r="S290" s="145"/>
      <c r="T290" s="146"/>
      <c r="U290" s="132"/>
    </row>
    <row r="291" spans="1:21">
      <c r="A291" s="144">
        <v>277</v>
      </c>
      <c r="B291" s="145">
        <v>46167</v>
      </c>
      <c r="C291" s="145" t="s">
        <v>1384</v>
      </c>
      <c r="D291" s="146" t="s">
        <v>1434</v>
      </c>
      <c r="E291" s="146" t="s">
        <v>495</v>
      </c>
      <c r="F291" s="146" t="s">
        <v>1435</v>
      </c>
      <c r="G291" s="146" t="s">
        <v>1436</v>
      </c>
      <c r="H291" s="146" t="s">
        <v>520</v>
      </c>
      <c r="I291" s="145">
        <v>46150</v>
      </c>
      <c r="J291" s="145">
        <v>46176</v>
      </c>
      <c r="K291" s="144">
        <v>10</v>
      </c>
      <c r="L291" s="178">
        <v>373640</v>
      </c>
      <c r="M291" s="176">
        <v>0.25</v>
      </c>
      <c r="N291" s="178">
        <f>IFERROR(Tabela225[[#This Row],[VALOR  (R$)]]/Tabela225[[#This Row],[PRAZO
EXECUÇÃO]],0)</f>
        <v>37364</v>
      </c>
      <c r="O291" s="194" t="s">
        <v>559</v>
      </c>
      <c r="P291" s="145"/>
      <c r="Q291" s="146"/>
      <c r="R291" s="146"/>
      <c r="S291" s="145"/>
      <c r="T291" s="146"/>
      <c r="U291" s="132"/>
    </row>
    <row r="292" spans="1:21">
      <c r="A292" s="144">
        <v>278</v>
      </c>
      <c r="B292" s="145">
        <v>46167</v>
      </c>
      <c r="C292" s="197" t="s">
        <v>1387</v>
      </c>
      <c r="D292" s="146" t="s">
        <v>1390</v>
      </c>
      <c r="E292" s="146" t="s">
        <v>495</v>
      </c>
      <c r="F292" s="146" t="s">
        <v>1388</v>
      </c>
      <c r="G292" s="146" t="s">
        <v>1389</v>
      </c>
      <c r="H292" s="146" t="s">
        <v>520</v>
      </c>
      <c r="I292" s="145">
        <v>46168</v>
      </c>
      <c r="J292" s="145">
        <v>46168</v>
      </c>
      <c r="K292" s="144">
        <v>7</v>
      </c>
      <c r="L292" s="178">
        <f>425201+(99952*12)</f>
        <v>1624625</v>
      </c>
      <c r="M292" s="176">
        <v>0.3</v>
      </c>
      <c r="N292" s="178">
        <f>IFERROR(Tabela225[[#This Row],[VALOR  (R$)]]/Tabela225[[#This Row],[PRAZO
EXECUÇÃO]],0)</f>
        <v>232089.28571428571</v>
      </c>
      <c r="O292" s="194" t="s">
        <v>525</v>
      </c>
      <c r="P292" s="145"/>
      <c r="Q292" s="146"/>
      <c r="R292" s="146"/>
      <c r="S292" s="145"/>
      <c r="T292" s="146"/>
      <c r="U292" s="132"/>
    </row>
    <row r="293" spans="1:21">
      <c r="A293" s="144">
        <v>279</v>
      </c>
      <c r="B293" s="145">
        <v>46169</v>
      </c>
      <c r="C293" s="197" t="s">
        <v>1391</v>
      </c>
      <c r="D293" s="146" t="s">
        <v>486</v>
      </c>
      <c r="E293" s="146" t="s">
        <v>584</v>
      </c>
      <c r="F293" s="146" t="s">
        <v>1392</v>
      </c>
      <c r="G293" s="146" t="s">
        <v>1393</v>
      </c>
      <c r="H293" s="146" t="s">
        <v>520</v>
      </c>
      <c r="I293" s="145">
        <v>46170</v>
      </c>
      <c r="J293" s="145">
        <v>46169</v>
      </c>
      <c r="K293" s="144">
        <f>12*4</f>
        <v>48</v>
      </c>
      <c r="L293" s="178">
        <f>149900*4</f>
        <v>599600</v>
      </c>
      <c r="M293" s="176">
        <v>0.23</v>
      </c>
      <c r="N293" s="178">
        <f>IFERROR(Tabela225[[#This Row],[VALOR  (R$)]]/Tabela225[[#This Row],[PRAZO
EXECUÇÃO]],0)</f>
        <v>12491.666666666666</v>
      </c>
      <c r="O293" s="194" t="s">
        <v>599</v>
      </c>
      <c r="P293" s="145">
        <v>46191</v>
      </c>
      <c r="Q293" s="146"/>
      <c r="R293" s="146"/>
      <c r="S293" s="145"/>
      <c r="T293" s="146" t="s">
        <v>1042</v>
      </c>
      <c r="U293" s="132"/>
    </row>
    <row r="294" spans="1:21">
      <c r="A294" s="144">
        <v>280</v>
      </c>
      <c r="B294" s="145">
        <v>46169</v>
      </c>
      <c r="C294" s="197" t="s">
        <v>1394</v>
      </c>
      <c r="D294" s="146" t="s">
        <v>486</v>
      </c>
      <c r="E294" s="146" t="s">
        <v>584</v>
      </c>
      <c r="F294" s="146" t="s">
        <v>1107</v>
      </c>
      <c r="G294" s="146" t="s">
        <v>1395</v>
      </c>
      <c r="H294" s="146" t="s">
        <v>520</v>
      </c>
      <c r="I294" s="145">
        <v>46171</v>
      </c>
      <c r="J294" s="145">
        <v>46169</v>
      </c>
      <c r="K294" s="144">
        <v>15</v>
      </c>
      <c r="L294" s="178">
        <v>252895</v>
      </c>
      <c r="M294" s="176">
        <v>0.23</v>
      </c>
      <c r="N294" s="178">
        <f>IFERROR(Tabela225[[#This Row],[VALOR  (R$)]]/Tabela225[[#This Row],[PRAZO
EXECUÇÃO]],0)</f>
        <v>16859.666666666668</v>
      </c>
      <c r="O294" s="194" t="s">
        <v>504</v>
      </c>
      <c r="P294" s="145"/>
      <c r="Q294" s="146"/>
      <c r="R294" s="146"/>
      <c r="S294" s="145"/>
      <c r="T294" s="146"/>
      <c r="U294" s="132"/>
    </row>
    <row r="295" spans="1:21">
      <c r="A295" s="144">
        <v>281</v>
      </c>
      <c r="B295" s="145">
        <v>46169</v>
      </c>
      <c r="C295" s="197" t="s">
        <v>1396</v>
      </c>
      <c r="D295" s="146" t="s">
        <v>524</v>
      </c>
      <c r="E295" s="146" t="s">
        <v>495</v>
      </c>
      <c r="F295" s="146" t="s">
        <v>1397</v>
      </c>
      <c r="G295" s="146" t="s">
        <v>1398</v>
      </c>
      <c r="H295" s="146" t="s">
        <v>520</v>
      </c>
      <c r="I295" s="145">
        <v>46174</v>
      </c>
      <c r="J295" s="145">
        <v>46181</v>
      </c>
      <c r="K295" s="144">
        <v>1</v>
      </c>
      <c r="L295" s="178">
        <f>69800+34800</f>
        <v>104600</v>
      </c>
      <c r="M295" s="176">
        <v>0.23</v>
      </c>
      <c r="N295" s="178">
        <f>IFERROR(Tabela225[[#This Row],[VALOR  (R$)]]/Tabela225[[#This Row],[PRAZO
EXECUÇÃO]],0)</f>
        <v>104600</v>
      </c>
      <c r="O295" s="194" t="s">
        <v>504</v>
      </c>
      <c r="P295" s="145"/>
      <c r="Q295" s="146"/>
      <c r="R295" s="146"/>
      <c r="S295" s="145"/>
      <c r="T295" s="146"/>
      <c r="U295" s="132"/>
    </row>
    <row r="296" spans="1:21">
      <c r="A296" s="144">
        <v>282</v>
      </c>
      <c r="B296" s="145">
        <v>46170</v>
      </c>
      <c r="C296" s="197" t="s">
        <v>1399</v>
      </c>
      <c r="D296" s="146" t="s">
        <v>1247</v>
      </c>
      <c r="E296" s="146" t="s">
        <v>584</v>
      </c>
      <c r="F296" s="146" t="s">
        <v>1400</v>
      </c>
      <c r="G296" s="146" t="s">
        <v>1401</v>
      </c>
      <c r="H296" s="146" t="s">
        <v>520</v>
      </c>
      <c r="I296" s="145">
        <v>46174</v>
      </c>
      <c r="J296" s="145">
        <v>46171</v>
      </c>
      <c r="K296" s="144">
        <v>1</v>
      </c>
      <c r="L296" s="178">
        <v>16400</v>
      </c>
      <c r="M296" s="176">
        <v>0.25</v>
      </c>
      <c r="N296" s="178">
        <f>IFERROR(Tabela225[[#This Row],[VALOR  (R$)]]/Tabela225[[#This Row],[PRAZO
EXECUÇÃO]],0)</f>
        <v>16400</v>
      </c>
      <c r="O296" s="194" t="s">
        <v>504</v>
      </c>
      <c r="P296" s="145"/>
      <c r="Q296" s="146"/>
      <c r="R296" s="146"/>
      <c r="S296" s="145"/>
      <c r="T296" s="146"/>
      <c r="U296" s="132"/>
    </row>
    <row r="297" spans="1:21">
      <c r="A297" s="144">
        <v>283</v>
      </c>
      <c r="B297" s="145">
        <v>46170</v>
      </c>
      <c r="C297" s="197" t="s">
        <v>1402</v>
      </c>
      <c r="D297" s="146" t="s">
        <v>1247</v>
      </c>
      <c r="E297" s="146" t="s">
        <v>584</v>
      </c>
      <c r="F297" s="146" t="s">
        <v>1019</v>
      </c>
      <c r="G297" s="146" t="s">
        <v>1403</v>
      </c>
      <c r="H297" s="146" t="s">
        <v>520</v>
      </c>
      <c r="I297" s="145">
        <v>46174</v>
      </c>
      <c r="J297" s="145">
        <v>46171</v>
      </c>
      <c r="K297" s="144">
        <v>2</v>
      </c>
      <c r="L297" s="178">
        <v>68100</v>
      </c>
      <c r="M297" s="176">
        <v>0.2</v>
      </c>
      <c r="N297" s="178">
        <f>IFERROR(Tabela225[[#This Row],[VALOR  (R$)]]/Tabela225[[#This Row],[PRAZO
EXECUÇÃO]],0)</f>
        <v>34050</v>
      </c>
      <c r="O297" s="194" t="s">
        <v>504</v>
      </c>
      <c r="P297" s="145"/>
      <c r="Q297" s="146"/>
      <c r="R297" s="146"/>
      <c r="S297" s="145"/>
      <c r="T297" s="146"/>
      <c r="U297" s="132"/>
    </row>
    <row r="298" spans="1:21">
      <c r="A298" s="144">
        <v>284</v>
      </c>
      <c r="B298" s="145">
        <v>46170</v>
      </c>
      <c r="C298" s="145" t="s">
        <v>1412</v>
      </c>
      <c r="D298" s="146" t="s">
        <v>486</v>
      </c>
      <c r="E298" s="146" t="s">
        <v>584</v>
      </c>
      <c r="F298" s="146" t="s">
        <v>980</v>
      </c>
      <c r="G298" s="146" t="s">
        <v>1413</v>
      </c>
      <c r="H298" s="146" t="s">
        <v>520</v>
      </c>
      <c r="I298" s="145">
        <v>46202</v>
      </c>
      <c r="J298" s="145">
        <v>46171</v>
      </c>
      <c r="K298" s="144">
        <v>10</v>
      </c>
      <c r="L298" s="178">
        <f>140900+23400</f>
        <v>164300</v>
      </c>
      <c r="M298" s="176">
        <v>0.23</v>
      </c>
      <c r="N298" s="178">
        <f>IFERROR(Tabela225[[#This Row],[VALOR  (R$)]]/Tabela225[[#This Row],[PRAZO
EXECUÇÃO]],0)</f>
        <v>16430</v>
      </c>
      <c r="O298" s="194" t="s">
        <v>504</v>
      </c>
      <c r="P298" s="145"/>
      <c r="Q298" s="146"/>
      <c r="R298" s="146"/>
      <c r="S298" s="145"/>
      <c r="T298" s="146"/>
      <c r="U298" s="132"/>
    </row>
    <row r="299" spans="1:21">
      <c r="A299" s="144">
        <v>285</v>
      </c>
      <c r="B299" s="145">
        <v>46170</v>
      </c>
      <c r="C299" s="145" t="s">
        <v>1409</v>
      </c>
      <c r="D299" s="146" t="s">
        <v>1420</v>
      </c>
      <c r="E299" s="146" t="s">
        <v>584</v>
      </c>
      <c r="F299" s="146" t="s">
        <v>757</v>
      </c>
      <c r="G299" s="146" t="s">
        <v>1410</v>
      </c>
      <c r="H299" s="146" t="s">
        <v>501</v>
      </c>
      <c r="I299" s="145">
        <v>46174</v>
      </c>
      <c r="J299" s="145">
        <v>46174</v>
      </c>
      <c r="K299" s="144">
        <v>1</v>
      </c>
      <c r="L299" s="178">
        <v>13920</v>
      </c>
      <c r="M299" s="176">
        <v>0.26</v>
      </c>
      <c r="N299" s="178">
        <f>IFERROR(Tabela225[[#This Row],[VALOR  (R$)]]/Tabela225[[#This Row],[PRAZO
EXECUÇÃO]],0)</f>
        <v>13920</v>
      </c>
      <c r="O299" s="194" t="s">
        <v>599</v>
      </c>
      <c r="P299" s="145">
        <v>46175</v>
      </c>
      <c r="Q299" s="146">
        <v>21527</v>
      </c>
      <c r="R299" s="146"/>
      <c r="S299" s="145"/>
      <c r="T299" s="146" t="s">
        <v>1042</v>
      </c>
      <c r="U299" s="132"/>
    </row>
    <row r="300" spans="1:21">
      <c r="A300" s="144">
        <v>286</v>
      </c>
      <c r="B300" s="145">
        <v>46170</v>
      </c>
      <c r="C300" s="197" t="s">
        <v>1404</v>
      </c>
      <c r="D300" s="146" t="s">
        <v>1405</v>
      </c>
      <c r="E300" s="146" t="s">
        <v>495</v>
      </c>
      <c r="F300" s="146" t="s">
        <v>1406</v>
      </c>
      <c r="G300" s="146" t="s">
        <v>1407</v>
      </c>
      <c r="H300" s="146" t="s">
        <v>520</v>
      </c>
      <c r="I300" s="145">
        <v>46170</v>
      </c>
      <c r="J300" s="145"/>
      <c r="K300" s="144"/>
      <c r="L300" s="178"/>
      <c r="M300" s="176"/>
      <c r="N300" s="178">
        <f>IFERROR(Tabela225[[#This Row],[VALOR  (R$)]]/Tabela225[[#This Row],[PRAZO
EXECUÇÃO]],0)</f>
        <v>0</v>
      </c>
      <c r="O300" s="194" t="s">
        <v>525</v>
      </c>
      <c r="P300" s="145"/>
      <c r="Q300" s="146"/>
      <c r="R300" s="146"/>
      <c r="S300" s="145"/>
      <c r="T300" s="146"/>
      <c r="U300" s="132"/>
    </row>
    <row r="301" spans="1:21">
      <c r="A301" s="144">
        <v>287</v>
      </c>
      <c r="B301" s="145">
        <v>46170</v>
      </c>
      <c r="C301" s="197" t="s">
        <v>1408</v>
      </c>
      <c r="D301" s="146" t="s">
        <v>486</v>
      </c>
      <c r="E301" s="146" t="s">
        <v>584</v>
      </c>
      <c r="F301" s="146" t="s">
        <v>1406</v>
      </c>
      <c r="G301" s="146" t="s">
        <v>1407</v>
      </c>
      <c r="H301" s="146" t="s">
        <v>520</v>
      </c>
      <c r="I301" s="145">
        <v>46170</v>
      </c>
      <c r="J301" s="145">
        <v>46170</v>
      </c>
      <c r="K301" s="144">
        <v>2</v>
      </c>
      <c r="L301" s="178">
        <v>45000</v>
      </c>
      <c r="M301" s="176">
        <v>0.28000000000000003</v>
      </c>
      <c r="N301" s="178">
        <f>IFERROR(Tabela225[[#This Row],[VALOR  (R$)]]/Tabela225[[#This Row],[PRAZO
EXECUÇÃO]],0)</f>
        <v>22500</v>
      </c>
      <c r="O301" s="194" t="s">
        <v>599</v>
      </c>
      <c r="P301" s="145">
        <v>46170</v>
      </c>
      <c r="Q301" s="146">
        <v>21372</v>
      </c>
      <c r="R301" s="145">
        <v>46171</v>
      </c>
      <c r="S301" s="145"/>
      <c r="T301" s="146" t="s">
        <v>1042</v>
      </c>
      <c r="U301" s="132"/>
    </row>
    <row r="302" spans="1:21">
      <c r="A302" s="144">
        <v>288</v>
      </c>
      <c r="B302" s="145">
        <v>46170</v>
      </c>
      <c r="C302" s="197" t="s">
        <v>1414</v>
      </c>
      <c r="D302" s="146" t="s">
        <v>487</v>
      </c>
      <c r="E302" s="146" t="s">
        <v>584</v>
      </c>
      <c r="F302" s="146" t="s">
        <v>1085</v>
      </c>
      <c r="G302" s="146" t="s">
        <v>1415</v>
      </c>
      <c r="H302" s="146" t="s">
        <v>520</v>
      </c>
      <c r="I302" s="145">
        <v>46175</v>
      </c>
      <c r="J302" s="145">
        <v>46175</v>
      </c>
      <c r="K302" s="144">
        <v>60</v>
      </c>
      <c r="L302" s="178">
        <v>857430</v>
      </c>
      <c r="M302" s="176">
        <v>0.28000000000000003</v>
      </c>
      <c r="N302" s="178">
        <f>IFERROR(Tabela225[[#This Row],[VALOR  (R$)]]/Tabela225[[#This Row],[PRAZO
EXECUÇÃO]],0)</f>
        <v>14290.5</v>
      </c>
      <c r="O302" s="194" t="s">
        <v>504</v>
      </c>
      <c r="P302" s="145"/>
      <c r="Q302" s="146"/>
      <c r="R302" s="146"/>
      <c r="S302" s="145"/>
      <c r="T302" s="146"/>
      <c r="U302" s="132"/>
    </row>
    <row r="303" spans="1:21">
      <c r="A303" s="144">
        <v>289</v>
      </c>
      <c r="B303" s="145">
        <v>46174</v>
      </c>
      <c r="C303" s="197" t="s">
        <v>1416</v>
      </c>
      <c r="D303" s="146" t="s">
        <v>1076</v>
      </c>
      <c r="E303" s="146" t="s">
        <v>495</v>
      </c>
      <c r="F303" s="146" t="s">
        <v>1022</v>
      </c>
      <c r="G303" s="146" t="s">
        <v>1417</v>
      </c>
      <c r="H303" s="146" t="s">
        <v>520</v>
      </c>
      <c r="I303" s="145">
        <v>46175</v>
      </c>
      <c r="J303" s="145"/>
      <c r="K303" s="144"/>
      <c r="L303" s="178"/>
      <c r="M303" s="176"/>
      <c r="N303" s="178">
        <f>IFERROR(Tabela225[[#This Row],[VALOR  (R$)]]/Tabela225[[#This Row],[PRAZO
EXECUÇÃO]],0)</f>
        <v>0</v>
      </c>
      <c r="O303" s="194" t="s">
        <v>525</v>
      </c>
      <c r="P303" s="145"/>
      <c r="Q303" s="146"/>
      <c r="R303" s="146"/>
      <c r="S303" s="145"/>
      <c r="T303" s="146"/>
      <c r="U303" s="132"/>
    </row>
    <row r="304" spans="1:21">
      <c r="A304" s="144">
        <v>290</v>
      </c>
      <c r="B304" s="145">
        <v>46174</v>
      </c>
      <c r="C304" s="197" t="s">
        <v>1418</v>
      </c>
      <c r="D304" s="146" t="s">
        <v>524</v>
      </c>
      <c r="E304" s="146" t="s">
        <v>495</v>
      </c>
      <c r="F304" s="146" t="s">
        <v>993</v>
      </c>
      <c r="G304" s="146" t="s">
        <v>1419</v>
      </c>
      <c r="H304" s="146" t="s">
        <v>520</v>
      </c>
      <c r="I304" s="145">
        <v>46174</v>
      </c>
      <c r="J304" s="145">
        <v>46174</v>
      </c>
      <c r="K304" s="144">
        <v>12</v>
      </c>
      <c r="L304" s="178">
        <v>79680</v>
      </c>
      <c r="M304" s="176">
        <v>0.1</v>
      </c>
      <c r="N304" s="178">
        <f>IFERROR(Tabela225[[#This Row],[VALOR  (R$)]]/Tabela225[[#This Row],[PRAZO
EXECUÇÃO]],0)</f>
        <v>6640</v>
      </c>
      <c r="O304" s="194" t="s">
        <v>504</v>
      </c>
      <c r="P304" s="145"/>
      <c r="Q304" s="146"/>
      <c r="R304" s="146"/>
      <c r="S304" s="145"/>
      <c r="T304" s="146"/>
      <c r="U304" s="132"/>
    </row>
    <row r="305" spans="1:21">
      <c r="A305" s="144">
        <v>291</v>
      </c>
      <c r="B305" s="145">
        <v>46175</v>
      </c>
      <c r="C305" s="197" t="s">
        <v>1421</v>
      </c>
      <c r="D305" s="146" t="s">
        <v>931</v>
      </c>
      <c r="E305" s="146" t="s">
        <v>495</v>
      </c>
      <c r="F305" s="146" t="s">
        <v>1422</v>
      </c>
      <c r="G305" s="146" t="s">
        <v>1423</v>
      </c>
      <c r="H305" s="146" t="s">
        <v>520</v>
      </c>
      <c r="I305" s="145">
        <v>46178</v>
      </c>
      <c r="J305" s="145">
        <v>46178</v>
      </c>
      <c r="K305" s="144">
        <v>5</v>
      </c>
      <c r="L305" s="178">
        <f>119980*2</f>
        <v>239960</v>
      </c>
      <c r="M305" s="176">
        <v>0.23</v>
      </c>
      <c r="N305" s="178">
        <f>IFERROR(Tabela225[[#This Row],[VALOR  (R$)]]/Tabela225[[#This Row],[PRAZO
EXECUÇÃO]],0)</f>
        <v>47992</v>
      </c>
      <c r="O305" s="194" t="s">
        <v>599</v>
      </c>
      <c r="P305" s="145"/>
      <c r="Q305" s="146"/>
      <c r="R305" s="146"/>
      <c r="S305" s="145"/>
      <c r="T305" s="146"/>
      <c r="U305" s="132"/>
    </row>
    <row r="306" spans="1:21">
      <c r="A306" s="144">
        <v>292</v>
      </c>
      <c r="B306" s="145">
        <v>46175</v>
      </c>
      <c r="C306" s="197" t="s">
        <v>1424</v>
      </c>
      <c r="D306" s="146" t="s">
        <v>486</v>
      </c>
      <c r="E306" s="146" t="s">
        <v>584</v>
      </c>
      <c r="F306" s="146" t="s">
        <v>1406</v>
      </c>
      <c r="G306" s="146" t="s">
        <v>1425</v>
      </c>
      <c r="H306" s="146" t="s">
        <v>520</v>
      </c>
      <c r="I306" s="145">
        <v>46176</v>
      </c>
      <c r="J306" s="145">
        <v>46176</v>
      </c>
      <c r="K306" s="144">
        <v>1</v>
      </c>
      <c r="L306" s="178">
        <v>44400</v>
      </c>
      <c r="M306" s="176">
        <v>0.28999999999999998</v>
      </c>
      <c r="N306" s="178">
        <f>IFERROR(Tabela225[[#This Row],[VALOR  (R$)]]/Tabela225[[#This Row],[PRAZO
EXECUÇÃO]],0)</f>
        <v>44400</v>
      </c>
      <c r="O306" s="194" t="s">
        <v>599</v>
      </c>
      <c r="P306" s="145">
        <v>46176</v>
      </c>
      <c r="Q306" s="146"/>
      <c r="R306" s="146"/>
      <c r="S306" s="145"/>
      <c r="T306" s="146" t="s">
        <v>1042</v>
      </c>
      <c r="U306" s="132"/>
    </row>
    <row r="307" spans="1:21">
      <c r="A307" s="144">
        <v>293</v>
      </c>
      <c r="B307" s="145">
        <v>46176</v>
      </c>
      <c r="C307" s="197" t="s">
        <v>1426</v>
      </c>
      <c r="D307" s="146" t="s">
        <v>486</v>
      </c>
      <c r="E307" s="146" t="s">
        <v>584</v>
      </c>
      <c r="F307" s="146" t="s">
        <v>1427</v>
      </c>
      <c r="G307" s="146" t="s">
        <v>1123</v>
      </c>
      <c r="H307" s="146" t="s">
        <v>520</v>
      </c>
      <c r="I307" s="145">
        <v>46176</v>
      </c>
      <c r="J307" s="145">
        <v>46176</v>
      </c>
      <c r="K307" s="144">
        <f>10+7</f>
        <v>17</v>
      </c>
      <c r="L307" s="178">
        <f>106320</f>
        <v>106320</v>
      </c>
      <c r="M307" s="176">
        <v>0.2</v>
      </c>
      <c r="N307" s="178">
        <f>IFERROR(Tabela225[[#This Row],[VALOR  (R$)]]/Tabela225[[#This Row],[PRAZO
EXECUÇÃO]],0)</f>
        <v>6254.1176470588234</v>
      </c>
      <c r="O307" s="194" t="s">
        <v>504</v>
      </c>
      <c r="P307" s="145"/>
      <c r="Q307" s="146"/>
      <c r="R307" s="146"/>
      <c r="S307" s="145"/>
      <c r="T307" s="146"/>
      <c r="U307" s="132"/>
    </row>
    <row r="308" spans="1:21">
      <c r="A308" s="144">
        <v>294</v>
      </c>
      <c r="B308" s="145">
        <v>46176</v>
      </c>
      <c r="C308" s="197" t="s">
        <v>1428</v>
      </c>
      <c r="D308" s="146" t="s">
        <v>486</v>
      </c>
      <c r="E308" s="146" t="s">
        <v>584</v>
      </c>
      <c r="F308" s="146" t="s">
        <v>1429</v>
      </c>
      <c r="G308" s="146" t="s">
        <v>1430</v>
      </c>
      <c r="H308" s="146" t="s">
        <v>520</v>
      </c>
      <c r="I308" s="145">
        <v>46176</v>
      </c>
      <c r="J308" s="145">
        <v>46176</v>
      </c>
      <c r="K308" s="144">
        <v>17</v>
      </c>
      <c r="L308" s="178">
        <v>297300</v>
      </c>
      <c r="M308" s="176">
        <v>0.23</v>
      </c>
      <c r="N308" s="178">
        <f>IFERROR(Tabela225[[#This Row],[VALOR  (R$)]]/Tabela225[[#This Row],[PRAZO
EXECUÇÃO]],0)</f>
        <v>17488.235294117647</v>
      </c>
      <c r="O308" s="194" t="s">
        <v>504</v>
      </c>
      <c r="P308" s="145"/>
      <c r="Q308" s="146"/>
      <c r="R308" s="146"/>
      <c r="S308" s="145"/>
      <c r="T308" s="146"/>
      <c r="U308" s="132"/>
    </row>
    <row r="309" spans="1:21">
      <c r="A309" s="144">
        <v>295</v>
      </c>
      <c r="B309" s="145">
        <v>46178</v>
      </c>
      <c r="C309" s="197" t="s">
        <v>1437</v>
      </c>
      <c r="D309" s="146" t="s">
        <v>1702</v>
      </c>
      <c r="E309" s="146" t="s">
        <v>495</v>
      </c>
      <c r="F309" s="146" t="s">
        <v>1438</v>
      </c>
      <c r="G309" s="146" t="s">
        <v>1439</v>
      </c>
      <c r="H309" s="146" t="s">
        <v>520</v>
      </c>
      <c r="I309" s="145">
        <v>46181</v>
      </c>
      <c r="J309" s="145">
        <v>46181</v>
      </c>
      <c r="K309" s="144">
        <v>1</v>
      </c>
      <c r="L309" s="178">
        <v>57800</v>
      </c>
      <c r="M309" s="176">
        <v>0.25</v>
      </c>
      <c r="N309" s="178">
        <f>IFERROR(Tabela225[[#This Row],[VALOR  (R$)]]/Tabela225[[#This Row],[PRAZO
EXECUÇÃO]],0)</f>
        <v>57800</v>
      </c>
      <c r="O309" s="194" t="s">
        <v>599</v>
      </c>
      <c r="P309" s="145">
        <v>46188</v>
      </c>
      <c r="Q309" s="146"/>
      <c r="R309" s="146"/>
      <c r="S309" s="145"/>
      <c r="T309" s="146" t="s">
        <v>1042</v>
      </c>
      <c r="U309" s="132"/>
    </row>
    <row r="310" spans="1:21">
      <c r="A310" s="144">
        <v>296</v>
      </c>
      <c r="B310" s="145">
        <v>46178</v>
      </c>
      <c r="C310" s="197" t="s">
        <v>1440</v>
      </c>
      <c r="D310" s="146" t="s">
        <v>1702</v>
      </c>
      <c r="E310" s="146" t="s">
        <v>495</v>
      </c>
      <c r="F310" s="146" t="s">
        <v>1441</v>
      </c>
      <c r="G310" s="146" t="s">
        <v>1442</v>
      </c>
      <c r="H310" s="146" t="s">
        <v>520</v>
      </c>
      <c r="I310" s="145">
        <v>46178</v>
      </c>
      <c r="J310" s="145">
        <v>46178</v>
      </c>
      <c r="K310" s="144">
        <v>1</v>
      </c>
      <c r="L310" s="178">
        <v>17600</v>
      </c>
      <c r="M310" s="176">
        <v>0.27</v>
      </c>
      <c r="N310" s="178">
        <f>IFERROR(Tabela225[[#This Row],[VALOR  (R$)]]/Tabela225[[#This Row],[PRAZO
EXECUÇÃO]],0)</f>
        <v>17600</v>
      </c>
      <c r="O310" s="194" t="s">
        <v>525</v>
      </c>
      <c r="P310" s="145">
        <v>46178</v>
      </c>
      <c r="Q310" s="146"/>
      <c r="R310" s="146"/>
      <c r="S310" s="145"/>
      <c r="T310" s="146" t="s">
        <v>1703</v>
      </c>
      <c r="U310" s="132"/>
    </row>
    <row r="311" spans="1:21">
      <c r="A311" s="144">
        <v>297</v>
      </c>
      <c r="B311" s="145">
        <v>46178</v>
      </c>
      <c r="C311" s="197" t="s">
        <v>1443</v>
      </c>
      <c r="D311" s="146" t="s">
        <v>486</v>
      </c>
      <c r="E311" s="146" t="s">
        <v>584</v>
      </c>
      <c r="F311" s="146" t="s">
        <v>1406</v>
      </c>
      <c r="G311" s="146" t="s">
        <v>1444</v>
      </c>
      <c r="H311" s="146" t="s">
        <v>520</v>
      </c>
      <c r="I311" s="145">
        <v>46178</v>
      </c>
      <c r="J311" s="145">
        <v>46178</v>
      </c>
      <c r="K311" s="144">
        <v>6</v>
      </c>
      <c r="L311" s="178">
        <v>108900</v>
      </c>
      <c r="M311" s="176">
        <v>0.22</v>
      </c>
      <c r="N311" s="178">
        <f>IFERROR(Tabela225[[#This Row],[VALOR  (R$)]]/Tabela225[[#This Row],[PRAZO
EXECUÇÃO]],0)</f>
        <v>18150</v>
      </c>
      <c r="O311" s="194" t="s">
        <v>599</v>
      </c>
      <c r="P311" s="145">
        <v>46178</v>
      </c>
      <c r="Q311" s="146"/>
      <c r="R311" s="146"/>
      <c r="S311" s="145"/>
      <c r="T311" s="146" t="s">
        <v>1042</v>
      </c>
      <c r="U311" s="132"/>
    </row>
    <row r="312" spans="1:21">
      <c r="A312" s="144">
        <v>298</v>
      </c>
      <c r="B312" s="145">
        <v>46181</v>
      </c>
      <c r="C312" s="197" t="s">
        <v>1449</v>
      </c>
      <c r="D312" s="146" t="s">
        <v>1450</v>
      </c>
      <c r="E312" s="146" t="s">
        <v>495</v>
      </c>
      <c r="F312" s="146" t="s">
        <v>983</v>
      </c>
      <c r="G312" s="146" t="s">
        <v>1451</v>
      </c>
      <c r="H312" s="146" t="s">
        <v>520</v>
      </c>
      <c r="I312" s="145">
        <v>46181</v>
      </c>
      <c r="J312" s="145">
        <v>46181</v>
      </c>
      <c r="K312" s="144">
        <v>1</v>
      </c>
      <c r="L312" s="178">
        <v>15900</v>
      </c>
      <c r="M312" s="176">
        <v>0.23</v>
      </c>
      <c r="N312" s="178">
        <f>IFERROR(Tabela225[[#This Row],[VALOR  (R$)]]/Tabela225[[#This Row],[PRAZO
EXECUÇÃO]],0)</f>
        <v>15900</v>
      </c>
      <c r="O312" s="194" t="s">
        <v>525</v>
      </c>
      <c r="P312" s="145"/>
      <c r="Q312" s="146"/>
      <c r="R312" s="146"/>
      <c r="S312" s="145"/>
      <c r="T312" s="146"/>
      <c r="U312" s="132"/>
    </row>
    <row r="313" spans="1:21">
      <c r="A313" s="144">
        <v>299</v>
      </c>
      <c r="B313" s="145">
        <v>46181</v>
      </c>
      <c r="C313" s="197" t="s">
        <v>1452</v>
      </c>
      <c r="D313" s="146" t="s">
        <v>486</v>
      </c>
      <c r="E313" s="146" t="s">
        <v>584</v>
      </c>
      <c r="F313" s="146" t="s">
        <v>993</v>
      </c>
      <c r="G313" s="146" t="s">
        <v>1453</v>
      </c>
      <c r="H313" s="146" t="s">
        <v>520</v>
      </c>
      <c r="I313" s="145">
        <v>46181</v>
      </c>
      <c r="J313" s="145">
        <v>46181</v>
      </c>
      <c r="K313" s="144">
        <v>12</v>
      </c>
      <c r="L313" s="178">
        <v>63000</v>
      </c>
      <c r="M313" s="176">
        <v>1.4999999999999999E-2</v>
      </c>
      <c r="N313" s="178">
        <f>IFERROR(Tabela225[[#This Row],[VALOR  (R$)]]/Tabela225[[#This Row],[PRAZO
EXECUÇÃO]],0)</f>
        <v>5250</v>
      </c>
      <c r="O313" s="194" t="s">
        <v>525</v>
      </c>
      <c r="P313" s="145"/>
      <c r="Q313" s="146"/>
      <c r="R313" s="146"/>
      <c r="S313" s="145"/>
      <c r="T313" s="146"/>
      <c r="U313" s="132"/>
    </row>
    <row r="314" spans="1:21">
      <c r="A314" s="144">
        <v>300</v>
      </c>
      <c r="B314" s="145">
        <v>46181</v>
      </c>
      <c r="C314" s="197" t="s">
        <v>1454</v>
      </c>
      <c r="D314" s="146" t="s">
        <v>1144</v>
      </c>
      <c r="E314" s="146" t="s">
        <v>495</v>
      </c>
      <c r="F314" s="146" t="s">
        <v>1145</v>
      </c>
      <c r="G314" s="146" t="s">
        <v>1455</v>
      </c>
      <c r="H314" s="146" t="s">
        <v>520</v>
      </c>
      <c r="I314" s="145">
        <v>46184</v>
      </c>
      <c r="J314" s="145">
        <v>46184</v>
      </c>
      <c r="K314" s="144">
        <v>2</v>
      </c>
      <c r="L314" s="178">
        <v>30600</v>
      </c>
      <c r="M314" s="176">
        <v>0.25</v>
      </c>
      <c r="N314" s="178">
        <f>IFERROR(Tabela225[[#This Row],[VALOR  (R$)]]/Tabela225[[#This Row],[PRAZO
EXECUÇÃO]],0)</f>
        <v>15300</v>
      </c>
      <c r="O314" s="194" t="s">
        <v>504</v>
      </c>
      <c r="P314" s="145"/>
      <c r="Q314" s="146"/>
      <c r="R314" s="146"/>
      <c r="S314" s="145"/>
      <c r="T314" s="146"/>
      <c r="U314" s="132"/>
    </row>
    <row r="315" spans="1:21">
      <c r="A315" s="144">
        <v>301</v>
      </c>
      <c r="B315" s="145">
        <v>46182</v>
      </c>
      <c r="C315" s="197" t="s">
        <v>1456</v>
      </c>
      <c r="D315" s="146" t="s">
        <v>1457</v>
      </c>
      <c r="E315" s="146" t="s">
        <v>495</v>
      </c>
      <c r="F315" s="146" t="s">
        <v>1504</v>
      </c>
      <c r="G315" s="146" t="s">
        <v>1458</v>
      </c>
      <c r="H315" s="146" t="s">
        <v>520</v>
      </c>
      <c r="I315" s="145">
        <v>46191</v>
      </c>
      <c r="J315" s="145">
        <v>46191</v>
      </c>
      <c r="K315" s="144">
        <v>120</v>
      </c>
      <c r="L315" s="178">
        <v>3685138</v>
      </c>
      <c r="M315" s="176">
        <v>0.25</v>
      </c>
      <c r="N315" s="178">
        <f>IFERROR(Tabela225[[#This Row],[VALOR  (R$)]]/Tabela225[[#This Row],[PRAZO
EXECUÇÃO]],0)</f>
        <v>30709.483333333334</v>
      </c>
      <c r="O315" s="194" t="s">
        <v>656</v>
      </c>
      <c r="P315" s="145"/>
      <c r="Q315" s="146"/>
      <c r="R315" s="146"/>
      <c r="S315" s="145"/>
      <c r="T315" s="146"/>
      <c r="U315" s="132"/>
    </row>
    <row r="316" spans="1:21">
      <c r="A316" s="144">
        <v>302</v>
      </c>
      <c r="B316" s="145">
        <v>46182</v>
      </c>
      <c r="C316" s="197" t="s">
        <v>1459</v>
      </c>
      <c r="D316" s="146" t="s">
        <v>1457</v>
      </c>
      <c r="E316" s="146" t="s">
        <v>495</v>
      </c>
      <c r="F316" s="146" t="s">
        <v>1000</v>
      </c>
      <c r="G316" s="146" t="s">
        <v>1458</v>
      </c>
      <c r="H316" s="146" t="s">
        <v>520</v>
      </c>
      <c r="I316" s="145">
        <v>46191</v>
      </c>
      <c r="J316" s="145">
        <v>46191</v>
      </c>
      <c r="K316" s="144">
        <v>120</v>
      </c>
      <c r="L316" s="178">
        <v>3355438</v>
      </c>
      <c r="M316" s="176">
        <v>0.25</v>
      </c>
      <c r="N316" s="178">
        <f>IFERROR(Tabela225[[#This Row],[VALOR  (R$)]]/Tabela225[[#This Row],[PRAZO
EXECUÇÃO]],0)</f>
        <v>27961.983333333334</v>
      </c>
      <c r="O316" s="194" t="s">
        <v>656</v>
      </c>
      <c r="P316" s="145"/>
      <c r="Q316" s="146"/>
      <c r="R316" s="146"/>
      <c r="S316" s="145"/>
      <c r="T316" s="146"/>
      <c r="U316" s="132"/>
    </row>
    <row r="317" spans="1:21">
      <c r="A317" s="144">
        <v>303</v>
      </c>
      <c r="B317" s="145">
        <v>46182</v>
      </c>
      <c r="C317" s="197" t="s">
        <v>1460</v>
      </c>
      <c r="D317" s="146" t="s">
        <v>1457</v>
      </c>
      <c r="E317" s="146" t="s">
        <v>495</v>
      </c>
      <c r="F317" s="146" t="s">
        <v>1461</v>
      </c>
      <c r="G317" s="146" t="s">
        <v>1458</v>
      </c>
      <c r="H317" s="146" t="s">
        <v>520</v>
      </c>
      <c r="I317" s="145">
        <v>46191</v>
      </c>
      <c r="J317" s="145">
        <v>46191</v>
      </c>
      <c r="K317" s="144">
        <v>120</v>
      </c>
      <c r="L317" s="178">
        <v>3213084</v>
      </c>
      <c r="M317" s="176">
        <v>0.25</v>
      </c>
      <c r="N317" s="178">
        <f>IFERROR(Tabela225[[#This Row],[VALOR  (R$)]]/Tabela225[[#This Row],[PRAZO
EXECUÇÃO]],0)</f>
        <v>26775.7</v>
      </c>
      <c r="O317" s="194" t="s">
        <v>656</v>
      </c>
      <c r="P317" s="145"/>
      <c r="Q317" s="146"/>
      <c r="R317" s="146"/>
      <c r="S317" s="145"/>
      <c r="T317" s="146"/>
      <c r="U317" s="132"/>
    </row>
    <row r="318" spans="1:21">
      <c r="A318" s="144">
        <v>304</v>
      </c>
      <c r="B318" s="145">
        <v>46182</v>
      </c>
      <c r="C318" s="197" t="s">
        <v>1462</v>
      </c>
      <c r="D318" s="146" t="s">
        <v>1457</v>
      </c>
      <c r="E318" s="146" t="s">
        <v>495</v>
      </c>
      <c r="F318" s="146" t="s">
        <v>1463</v>
      </c>
      <c r="G318" s="146" t="s">
        <v>1458</v>
      </c>
      <c r="H318" s="146" t="s">
        <v>520</v>
      </c>
      <c r="I318" s="145">
        <v>46191</v>
      </c>
      <c r="J318" s="145">
        <v>46191</v>
      </c>
      <c r="K318" s="144">
        <v>120</v>
      </c>
      <c r="L318" s="178">
        <v>3411490</v>
      </c>
      <c r="M318" s="176">
        <v>0.25</v>
      </c>
      <c r="N318" s="178">
        <f>IFERROR(Tabela225[[#This Row],[VALOR  (R$)]]/Tabela225[[#This Row],[PRAZO
EXECUÇÃO]],0)</f>
        <v>28429.083333333332</v>
      </c>
      <c r="O318" s="194" t="s">
        <v>656</v>
      </c>
      <c r="P318" s="145"/>
      <c r="Q318" s="146"/>
      <c r="R318" s="146"/>
      <c r="S318" s="145"/>
      <c r="T318" s="146"/>
      <c r="U318" s="132"/>
    </row>
    <row r="319" spans="1:21">
      <c r="A319" s="144">
        <v>305</v>
      </c>
      <c r="B319" s="145">
        <v>46183</v>
      </c>
      <c r="C319" s="197" t="s">
        <v>1464</v>
      </c>
      <c r="D319" s="146" t="s">
        <v>486</v>
      </c>
      <c r="E319" s="146" t="s">
        <v>584</v>
      </c>
      <c r="F319" s="146" t="s">
        <v>1465</v>
      </c>
      <c r="G319" s="146" t="s">
        <v>1466</v>
      </c>
      <c r="H319" s="146" t="s">
        <v>520</v>
      </c>
      <c r="I319" s="145">
        <v>46184</v>
      </c>
      <c r="J319" s="145">
        <v>46184</v>
      </c>
      <c r="K319" s="144">
        <v>44</v>
      </c>
      <c r="L319" s="178">
        <v>439600</v>
      </c>
      <c r="M319" s="176">
        <v>0.23</v>
      </c>
      <c r="N319" s="178">
        <f>IFERROR(Tabela225[[#This Row],[VALOR  (R$)]]/Tabela225[[#This Row],[PRAZO
EXECUÇÃO]],0)</f>
        <v>9990.9090909090901</v>
      </c>
      <c r="O319" s="194" t="s">
        <v>504</v>
      </c>
      <c r="P319" s="145"/>
      <c r="Q319" s="146"/>
      <c r="R319" s="146"/>
      <c r="S319" s="145"/>
      <c r="T319" s="146"/>
      <c r="U319" s="132"/>
    </row>
    <row r="320" spans="1:21">
      <c r="A320" s="144">
        <v>306</v>
      </c>
      <c r="B320" s="145">
        <v>46183</v>
      </c>
      <c r="C320" s="197" t="s">
        <v>1467</v>
      </c>
      <c r="D320" s="146" t="s">
        <v>486</v>
      </c>
      <c r="E320" s="146" t="s">
        <v>584</v>
      </c>
      <c r="F320" s="146" t="s">
        <v>837</v>
      </c>
      <c r="G320" s="146" t="s">
        <v>838</v>
      </c>
      <c r="H320" s="146" t="s">
        <v>520</v>
      </c>
      <c r="I320" s="145">
        <v>46184</v>
      </c>
      <c r="J320" s="145">
        <v>46184</v>
      </c>
      <c r="K320" s="144">
        <v>18</v>
      </c>
      <c r="L320" s="178">
        <v>239900</v>
      </c>
      <c r="M320" s="176">
        <v>0.22</v>
      </c>
      <c r="N320" s="178">
        <f>IFERROR(Tabela225[[#This Row],[VALOR  (R$)]]/Tabela225[[#This Row],[PRAZO
EXECUÇÃO]],0)</f>
        <v>13327.777777777777</v>
      </c>
      <c r="O320" s="194" t="s">
        <v>504</v>
      </c>
      <c r="P320" s="145"/>
      <c r="Q320" s="146"/>
      <c r="R320" s="146"/>
      <c r="S320" s="145"/>
      <c r="T320" s="146"/>
      <c r="U320" s="132"/>
    </row>
    <row r="321" spans="1:21">
      <c r="A321" s="144">
        <v>307</v>
      </c>
      <c r="B321" s="145">
        <v>46183</v>
      </c>
      <c r="C321" s="197" t="s">
        <v>1468</v>
      </c>
      <c r="D321" s="146" t="s">
        <v>1367</v>
      </c>
      <c r="E321" s="146" t="s">
        <v>495</v>
      </c>
      <c r="F321" s="146" t="s">
        <v>759</v>
      </c>
      <c r="G321" s="146" t="s">
        <v>1469</v>
      </c>
      <c r="H321" s="146" t="s">
        <v>520</v>
      </c>
      <c r="I321" s="145">
        <v>46195</v>
      </c>
      <c r="J321" s="145">
        <v>46191</v>
      </c>
      <c r="K321" s="144">
        <v>33</v>
      </c>
      <c r="L321" s="178">
        <v>109600</v>
      </c>
      <c r="M321" s="176">
        <v>0.2</v>
      </c>
      <c r="N321" s="178">
        <f>IFERROR(Tabela225[[#This Row],[VALOR  (R$)]]/Tabela225[[#This Row],[PRAZO
EXECUÇÃO]],0)</f>
        <v>3321.212121212121</v>
      </c>
      <c r="O321" s="194" t="s">
        <v>656</v>
      </c>
      <c r="P321" s="145"/>
      <c r="Q321" s="146"/>
      <c r="R321" s="146"/>
      <c r="S321" s="145"/>
      <c r="T321" s="146"/>
      <c r="U321" s="132"/>
    </row>
    <row r="322" spans="1:21">
      <c r="A322" s="144">
        <v>308</v>
      </c>
      <c r="B322" s="145">
        <v>46183</v>
      </c>
      <c r="C322" s="197" t="s">
        <v>1470</v>
      </c>
      <c r="D322" s="146" t="s">
        <v>1213</v>
      </c>
      <c r="E322" s="146" t="s">
        <v>495</v>
      </c>
      <c r="F322" s="146" t="s">
        <v>907</v>
      </c>
      <c r="G322" s="146" t="s">
        <v>1566</v>
      </c>
      <c r="H322" s="146" t="s">
        <v>520</v>
      </c>
      <c r="I322" s="145">
        <v>46184</v>
      </c>
      <c r="J322" s="145">
        <v>46184</v>
      </c>
      <c r="K322" s="144">
        <v>1</v>
      </c>
      <c r="L322" s="178">
        <v>1999</v>
      </c>
      <c r="M322" s="176">
        <v>0.2</v>
      </c>
      <c r="N322" s="178">
        <f>IFERROR(Tabela225[[#This Row],[VALOR  (R$)]]/Tabela225[[#This Row],[PRAZO
EXECUÇÃO]],0)</f>
        <v>1999</v>
      </c>
      <c r="O322" s="194" t="s">
        <v>599</v>
      </c>
      <c r="P322" s="145">
        <v>46206</v>
      </c>
      <c r="Q322" s="146"/>
      <c r="R322" s="146"/>
      <c r="S322" s="145"/>
      <c r="T322" s="146" t="s">
        <v>1040</v>
      </c>
      <c r="U322" s="132"/>
    </row>
    <row r="323" spans="1:21">
      <c r="A323" s="144">
        <v>309</v>
      </c>
      <c r="B323" s="145">
        <v>46183</v>
      </c>
      <c r="C323" s="197" t="s">
        <v>1471</v>
      </c>
      <c r="D323" s="146" t="s">
        <v>1472</v>
      </c>
      <c r="E323" s="146" t="s">
        <v>495</v>
      </c>
      <c r="F323" s="146" t="s">
        <v>1463</v>
      </c>
      <c r="G323" s="146" t="s">
        <v>1473</v>
      </c>
      <c r="H323" s="146" t="s">
        <v>520</v>
      </c>
      <c r="I323" s="145">
        <v>46188</v>
      </c>
      <c r="J323" s="145">
        <v>46188</v>
      </c>
      <c r="K323" s="144">
        <v>56</v>
      </c>
      <c r="L323" s="178">
        <v>244166</v>
      </c>
      <c r="M323" s="176">
        <v>0.2</v>
      </c>
      <c r="N323" s="178">
        <f>IFERROR(Tabela225[[#This Row],[VALOR  (R$)]]/Tabela225[[#This Row],[PRAZO
EXECUÇÃO]],0)</f>
        <v>4360.1071428571431</v>
      </c>
      <c r="O323" s="194" t="s">
        <v>504</v>
      </c>
      <c r="P323" s="145"/>
      <c r="Q323" s="146"/>
      <c r="R323" s="146"/>
      <c r="S323" s="145"/>
      <c r="T323" s="146"/>
      <c r="U323" s="132"/>
    </row>
    <row r="324" spans="1:21">
      <c r="A324" s="144">
        <v>310</v>
      </c>
      <c r="B324" s="145">
        <v>46183</v>
      </c>
      <c r="C324" s="197" t="s">
        <v>1474</v>
      </c>
      <c r="D324" s="146" t="s">
        <v>570</v>
      </c>
      <c r="E324" s="146" t="s">
        <v>584</v>
      </c>
      <c r="F324" s="146" t="s">
        <v>1475</v>
      </c>
      <c r="G324" s="146" t="s">
        <v>1476</v>
      </c>
      <c r="H324" s="146" t="s">
        <v>520</v>
      </c>
      <c r="I324" s="145">
        <v>46183</v>
      </c>
      <c r="J324" s="145">
        <v>46183</v>
      </c>
      <c r="K324" s="144">
        <v>198</v>
      </c>
      <c r="L324" s="178">
        <v>2096385</v>
      </c>
      <c r="M324" s="176">
        <v>0.25</v>
      </c>
      <c r="N324" s="178">
        <f>IFERROR(Tabela225[[#This Row],[VALOR  (R$)]]/Tabela225[[#This Row],[PRAZO
EXECUÇÃO]],0)</f>
        <v>10587.80303030303</v>
      </c>
      <c r="O324" s="194" t="s">
        <v>656</v>
      </c>
      <c r="P324" s="145"/>
      <c r="Q324" s="146"/>
      <c r="R324" s="146"/>
      <c r="S324" s="145"/>
      <c r="T324" s="146"/>
      <c r="U324" s="132"/>
    </row>
    <row r="325" spans="1:21">
      <c r="A325" s="144">
        <v>311</v>
      </c>
      <c r="B325" s="145">
        <v>46184</v>
      </c>
      <c r="C325" s="197" t="s">
        <v>1477</v>
      </c>
      <c r="D325" s="146" t="s">
        <v>1478</v>
      </c>
      <c r="E325" s="146" t="s">
        <v>495</v>
      </c>
      <c r="F325" s="146" t="s">
        <v>1479</v>
      </c>
      <c r="G325" s="146" t="s">
        <v>1480</v>
      </c>
      <c r="H325" s="146" t="s">
        <v>520</v>
      </c>
      <c r="I325" s="145">
        <v>46189</v>
      </c>
      <c r="J325" s="145">
        <v>46189</v>
      </c>
      <c r="K325" s="144">
        <v>2</v>
      </c>
      <c r="L325" s="178">
        <v>164985</v>
      </c>
      <c r="M325" s="176">
        <v>0.21</v>
      </c>
      <c r="N325" s="178">
        <f>IFERROR(Tabela225[[#This Row],[VALOR  (R$)]]/Tabela225[[#This Row],[PRAZO
EXECUÇÃO]],0)</f>
        <v>82492.5</v>
      </c>
      <c r="O325" s="194" t="s">
        <v>559</v>
      </c>
      <c r="P325" s="145"/>
      <c r="Q325" s="146"/>
      <c r="R325" s="146"/>
      <c r="S325" s="145"/>
      <c r="T325" s="146"/>
      <c r="U325" s="132"/>
    </row>
    <row r="326" spans="1:21">
      <c r="A326" s="144">
        <v>312</v>
      </c>
      <c r="B326" s="145">
        <v>46185</v>
      </c>
      <c r="C326" s="197" t="s">
        <v>1481</v>
      </c>
      <c r="D326" s="146" t="s">
        <v>1390</v>
      </c>
      <c r="E326" s="146" t="s">
        <v>495</v>
      </c>
      <c r="F326" s="146" t="s">
        <v>1463</v>
      </c>
      <c r="G326" s="146" t="s">
        <v>1482</v>
      </c>
      <c r="H326" s="146" t="s">
        <v>520</v>
      </c>
      <c r="I326" s="145"/>
      <c r="J326" s="145"/>
      <c r="K326" s="144"/>
      <c r="L326" s="178"/>
      <c r="M326" s="176"/>
      <c r="N326" s="178">
        <f>IFERROR(Tabela225[[#This Row],[VALOR  (R$)]]/Tabela225[[#This Row],[PRAZO
EXECUÇÃO]],0)</f>
        <v>0</v>
      </c>
      <c r="O326" s="194" t="s">
        <v>559</v>
      </c>
      <c r="P326" s="145"/>
      <c r="Q326" s="146"/>
      <c r="R326" s="146"/>
      <c r="S326" s="145"/>
      <c r="T326" s="146"/>
      <c r="U326" s="132"/>
    </row>
    <row r="327" spans="1:21">
      <c r="A327" s="144">
        <v>313</v>
      </c>
      <c r="B327" s="145">
        <v>46188</v>
      </c>
      <c r="C327" s="197" t="s">
        <v>1483</v>
      </c>
      <c r="D327" s="146" t="s">
        <v>486</v>
      </c>
      <c r="E327" s="146" t="s">
        <v>584</v>
      </c>
      <c r="F327" s="146" t="s">
        <v>907</v>
      </c>
      <c r="G327" s="146" t="s">
        <v>908</v>
      </c>
      <c r="H327" s="146" t="s">
        <v>520</v>
      </c>
      <c r="I327" s="145">
        <v>46189</v>
      </c>
      <c r="J327" s="145">
        <v>46188</v>
      </c>
      <c r="K327" s="144">
        <v>30</v>
      </c>
      <c r="L327" s="178">
        <v>479700</v>
      </c>
      <c r="M327" s="176">
        <v>0.26</v>
      </c>
      <c r="N327" s="178">
        <f>IFERROR(Tabela225[[#This Row],[VALOR  (R$)]]/Tabela225[[#This Row],[PRAZO
EXECUÇÃO]],0)</f>
        <v>15990</v>
      </c>
      <c r="O327" s="194" t="s">
        <v>599</v>
      </c>
      <c r="P327" s="145">
        <v>46199</v>
      </c>
      <c r="Q327" s="146">
        <v>21844</v>
      </c>
      <c r="R327" s="146"/>
      <c r="S327" s="145"/>
      <c r="T327" s="146" t="s">
        <v>1040</v>
      </c>
      <c r="U327" s="132"/>
    </row>
    <row r="328" spans="1:21">
      <c r="A328" s="144">
        <v>314</v>
      </c>
      <c r="B328" s="145">
        <v>46188</v>
      </c>
      <c r="C328" s="197" t="s">
        <v>1484</v>
      </c>
      <c r="D328" s="146" t="s">
        <v>486</v>
      </c>
      <c r="E328" s="146" t="s">
        <v>584</v>
      </c>
      <c r="F328" s="146" t="s">
        <v>1485</v>
      </c>
      <c r="G328" s="146" t="s">
        <v>1486</v>
      </c>
      <c r="H328" s="146" t="s">
        <v>520</v>
      </c>
      <c r="I328" s="145">
        <v>46188</v>
      </c>
      <c r="J328" s="145">
        <v>46188</v>
      </c>
      <c r="K328" s="144">
        <v>16</v>
      </c>
      <c r="L328" s="178">
        <v>279800</v>
      </c>
      <c r="M328" s="176">
        <v>0.23</v>
      </c>
      <c r="N328" s="178">
        <f>IFERROR(Tabela225[[#This Row],[VALOR  (R$)]]/Tabela225[[#This Row],[PRAZO
EXECUÇÃO]],0)</f>
        <v>17487.5</v>
      </c>
      <c r="O328" s="194" t="s">
        <v>504</v>
      </c>
      <c r="P328" s="145"/>
      <c r="Q328" s="146"/>
      <c r="R328" s="146"/>
      <c r="S328" s="145"/>
      <c r="T328" s="146"/>
      <c r="U328" s="132"/>
    </row>
    <row r="329" spans="1:21">
      <c r="A329" s="144">
        <v>315</v>
      </c>
      <c r="B329" s="145">
        <v>46188</v>
      </c>
      <c r="C329" s="197" t="s">
        <v>1487</v>
      </c>
      <c r="D329" s="146" t="s">
        <v>486</v>
      </c>
      <c r="E329" s="146" t="s">
        <v>584</v>
      </c>
      <c r="F329" s="146" t="s">
        <v>1488</v>
      </c>
      <c r="G329" s="146" t="s">
        <v>861</v>
      </c>
      <c r="H329" s="146" t="s">
        <v>520</v>
      </c>
      <c r="I329" s="145">
        <v>46189</v>
      </c>
      <c r="J329" s="145">
        <v>46189</v>
      </c>
      <c r="K329" s="144">
        <f>17*4</f>
        <v>68</v>
      </c>
      <c r="L329" s="178">
        <f>198700*4</f>
        <v>794800</v>
      </c>
      <c r="M329" s="176">
        <v>0.23</v>
      </c>
      <c r="N329" s="178">
        <f>IFERROR(Tabela225[[#This Row],[VALOR  (R$)]]/Tabela225[[#This Row],[PRAZO
EXECUÇÃO]],0)</f>
        <v>11688.235294117647</v>
      </c>
      <c r="O329" s="194" t="s">
        <v>504</v>
      </c>
      <c r="P329" s="145"/>
      <c r="Q329" s="146"/>
      <c r="R329" s="146"/>
      <c r="S329" s="145"/>
      <c r="T329" s="146"/>
      <c r="U329" s="132"/>
    </row>
    <row r="330" spans="1:21">
      <c r="A330" s="144">
        <v>316</v>
      </c>
      <c r="B330" s="145">
        <v>46188</v>
      </c>
      <c r="C330" s="197" t="s">
        <v>1489</v>
      </c>
      <c r="D330" s="146" t="s">
        <v>486</v>
      </c>
      <c r="E330" s="146" t="s">
        <v>584</v>
      </c>
      <c r="F330" s="146" t="s">
        <v>1490</v>
      </c>
      <c r="G330" s="146" t="s">
        <v>1491</v>
      </c>
      <c r="H330" s="146" t="s">
        <v>520</v>
      </c>
      <c r="I330" s="145">
        <v>46280</v>
      </c>
      <c r="J330" s="145">
        <v>46188</v>
      </c>
      <c r="K330" s="144">
        <v>13</v>
      </c>
      <c r="L330" s="178">
        <v>158270</v>
      </c>
      <c r="M330" s="176">
        <v>0.23</v>
      </c>
      <c r="N330" s="178">
        <f>IFERROR(Tabela225[[#This Row],[VALOR  (R$)]]/Tabela225[[#This Row],[PRAZO
EXECUÇÃO]],0)</f>
        <v>12174.615384615385</v>
      </c>
      <c r="O330" s="194" t="s">
        <v>504</v>
      </c>
      <c r="P330" s="145"/>
      <c r="Q330" s="146"/>
      <c r="R330" s="146"/>
      <c r="S330" s="145"/>
      <c r="T330" s="146"/>
      <c r="U330" s="132"/>
    </row>
    <row r="331" spans="1:21">
      <c r="A331" s="144">
        <v>317</v>
      </c>
      <c r="B331" s="145">
        <v>46189</v>
      </c>
      <c r="C331" s="197" t="s">
        <v>1492</v>
      </c>
      <c r="D331" s="146" t="s">
        <v>486</v>
      </c>
      <c r="E331" s="146" t="s">
        <v>584</v>
      </c>
      <c r="F331" s="146" t="s">
        <v>1493</v>
      </c>
      <c r="G331" s="146" t="s">
        <v>1494</v>
      </c>
      <c r="H331" s="146" t="s">
        <v>520</v>
      </c>
      <c r="I331" s="145">
        <v>46191</v>
      </c>
      <c r="J331" s="145">
        <v>46191</v>
      </c>
      <c r="K331" s="144">
        <v>10</v>
      </c>
      <c r="L331" s="178">
        <v>139325</v>
      </c>
      <c r="M331" s="176">
        <v>0.25</v>
      </c>
      <c r="N331" s="178">
        <f>IFERROR(Tabela225[[#This Row],[VALOR  (R$)]]/Tabela225[[#This Row],[PRAZO
EXECUÇÃO]],0)</f>
        <v>13932.5</v>
      </c>
      <c r="O331" s="194" t="s">
        <v>504</v>
      </c>
      <c r="P331" s="145"/>
      <c r="Q331" s="146"/>
      <c r="R331" s="146"/>
      <c r="S331" s="145"/>
      <c r="T331" s="146"/>
      <c r="U331" s="132"/>
    </row>
    <row r="332" spans="1:21">
      <c r="A332" s="144">
        <v>318</v>
      </c>
      <c r="B332" s="145">
        <v>46189</v>
      </c>
      <c r="C332" s="197" t="s">
        <v>1495</v>
      </c>
      <c r="D332" s="146" t="s">
        <v>486</v>
      </c>
      <c r="E332" s="146" t="s">
        <v>584</v>
      </c>
      <c r="F332" s="146" t="s">
        <v>678</v>
      </c>
      <c r="G332" s="146" t="s">
        <v>1496</v>
      </c>
      <c r="H332" s="146" t="s">
        <v>520</v>
      </c>
      <c r="I332" s="145">
        <v>46195</v>
      </c>
      <c r="J332" s="145">
        <v>46195</v>
      </c>
      <c r="K332" s="144">
        <v>16</v>
      </c>
      <c r="L332" s="178">
        <v>233240</v>
      </c>
      <c r="M332" s="176">
        <v>0.23</v>
      </c>
      <c r="N332" s="178">
        <f>IFERROR(Tabela225[[#This Row],[VALOR  (R$)]]/Tabela225[[#This Row],[PRAZO
EXECUÇÃO]],0)</f>
        <v>14577.5</v>
      </c>
      <c r="O332" s="194" t="s">
        <v>504</v>
      </c>
      <c r="P332" s="145"/>
      <c r="Q332" s="146"/>
      <c r="R332" s="146"/>
      <c r="S332" s="145"/>
      <c r="T332" s="146"/>
      <c r="U332" s="132"/>
    </row>
    <row r="333" spans="1:21">
      <c r="A333" s="144">
        <v>319</v>
      </c>
      <c r="B333" s="145">
        <v>46189</v>
      </c>
      <c r="C333" s="145" t="s">
        <v>1499</v>
      </c>
      <c r="D333" s="146" t="s">
        <v>589</v>
      </c>
      <c r="E333" s="146" t="s">
        <v>495</v>
      </c>
      <c r="F333" s="146" t="s">
        <v>611</v>
      </c>
      <c r="G333" s="146" t="s">
        <v>1500</v>
      </c>
      <c r="H333" s="146" t="s">
        <v>520</v>
      </c>
      <c r="I333" s="145">
        <v>46190</v>
      </c>
      <c r="J333" s="145">
        <v>46190</v>
      </c>
      <c r="K333" s="144">
        <v>1</v>
      </c>
      <c r="L333" s="178">
        <v>5838.62</v>
      </c>
      <c r="M333" s="176">
        <v>0.2</v>
      </c>
      <c r="N333" s="178">
        <f>IFERROR(Tabela225[[#This Row],[VALOR  (R$)]]/Tabela225[[#This Row],[PRAZO
EXECUÇÃO]],0)</f>
        <v>5838.62</v>
      </c>
      <c r="O333" s="194" t="s">
        <v>599</v>
      </c>
      <c r="P333" s="145">
        <v>46203</v>
      </c>
      <c r="Q333" s="146">
        <v>21855</v>
      </c>
      <c r="R333" s="146"/>
      <c r="S333" s="145"/>
      <c r="T333" s="146" t="s">
        <v>1042</v>
      </c>
      <c r="U333" s="132"/>
    </row>
    <row r="334" spans="1:21">
      <c r="A334" s="144">
        <v>320</v>
      </c>
      <c r="B334" s="145">
        <v>46189</v>
      </c>
      <c r="C334" s="197" t="s">
        <v>1497</v>
      </c>
      <c r="D334" s="146" t="s">
        <v>486</v>
      </c>
      <c r="E334" s="146" t="s">
        <v>584</v>
      </c>
      <c r="F334" s="146" t="s">
        <v>993</v>
      </c>
      <c r="G334" s="146" t="s">
        <v>1498</v>
      </c>
      <c r="H334" s="146" t="s">
        <v>520</v>
      </c>
      <c r="I334" s="145">
        <v>46189</v>
      </c>
      <c r="J334" s="145">
        <v>46189</v>
      </c>
      <c r="K334" s="144">
        <v>60</v>
      </c>
      <c r="L334" s="178">
        <v>83100</v>
      </c>
      <c r="M334" s="176">
        <v>1.4999999999999999E-2</v>
      </c>
      <c r="N334" s="178">
        <f>IFERROR(Tabela225[[#This Row],[VALOR  (R$)]]/Tabela225[[#This Row],[PRAZO
EXECUÇÃO]],0)</f>
        <v>1385</v>
      </c>
      <c r="O334" s="194" t="s">
        <v>599</v>
      </c>
      <c r="P334" s="145">
        <v>46251</v>
      </c>
      <c r="Q334" s="146"/>
      <c r="R334" s="146"/>
      <c r="S334" s="145"/>
      <c r="T334" s="146"/>
      <c r="U334" s="132"/>
    </row>
    <row r="335" spans="1:21">
      <c r="A335" s="144">
        <v>321</v>
      </c>
      <c r="B335" s="145">
        <v>46190</v>
      </c>
      <c r="C335" s="197" t="s">
        <v>1501</v>
      </c>
      <c r="D335" s="146" t="s">
        <v>570</v>
      </c>
      <c r="E335" s="146" t="s">
        <v>584</v>
      </c>
      <c r="F335" s="146" t="s">
        <v>1502</v>
      </c>
      <c r="G335" s="146" t="s">
        <v>1503</v>
      </c>
      <c r="H335" s="146" t="s">
        <v>520</v>
      </c>
      <c r="I335" s="145">
        <v>46190</v>
      </c>
      <c r="J335" s="145">
        <v>46190</v>
      </c>
      <c r="K335" s="144">
        <f>12*3</f>
        <v>36</v>
      </c>
      <c r="L335" s="178">
        <v>610884</v>
      </c>
      <c r="M335" s="176">
        <v>0.26</v>
      </c>
      <c r="N335" s="178">
        <f>IFERROR(Tabela225[[#This Row],[VALOR  (R$)]]/Tabela225[[#This Row],[PRAZO
EXECUÇÃO]],0)</f>
        <v>16969</v>
      </c>
      <c r="O335" s="194" t="s">
        <v>504</v>
      </c>
      <c r="P335" s="145"/>
      <c r="Q335" s="146"/>
      <c r="R335" s="146"/>
      <c r="S335" s="145"/>
      <c r="T335" s="146"/>
      <c r="U335" s="132"/>
    </row>
    <row r="336" spans="1:21">
      <c r="A336" s="144">
        <v>322</v>
      </c>
      <c r="B336" s="145">
        <v>46192</v>
      </c>
      <c r="C336" s="197" t="s">
        <v>1505</v>
      </c>
      <c r="D336" s="146" t="s">
        <v>486</v>
      </c>
      <c r="E336" s="146" t="s">
        <v>584</v>
      </c>
      <c r="F336" s="146" t="s">
        <v>1244</v>
      </c>
      <c r="G336" s="146" t="s">
        <v>1506</v>
      </c>
      <c r="H336" s="146" t="s">
        <v>520</v>
      </c>
      <c r="I336" s="145">
        <v>46195</v>
      </c>
      <c r="J336" s="145">
        <v>46195</v>
      </c>
      <c r="K336" s="144">
        <v>5</v>
      </c>
      <c r="L336" s="178">
        <v>155400</v>
      </c>
      <c r="M336" s="176">
        <v>0.24</v>
      </c>
      <c r="N336" s="178">
        <f>IFERROR(Tabela225[[#This Row],[VALOR  (R$)]]/Tabela225[[#This Row],[PRAZO
EXECUÇÃO]],0)</f>
        <v>31080</v>
      </c>
      <c r="O336" s="194" t="s">
        <v>504</v>
      </c>
      <c r="P336" s="145"/>
      <c r="Q336" s="146"/>
      <c r="R336" s="146"/>
      <c r="S336" s="145"/>
      <c r="T336" s="146"/>
      <c r="U336" s="132"/>
    </row>
    <row r="337" spans="1:21">
      <c r="A337" s="144">
        <v>323</v>
      </c>
      <c r="B337" s="145">
        <v>46192</v>
      </c>
      <c r="C337" s="197" t="s">
        <v>1507</v>
      </c>
      <c r="D337" s="146" t="s">
        <v>486</v>
      </c>
      <c r="E337" s="146" t="s">
        <v>584</v>
      </c>
      <c r="F337" s="146" t="s">
        <v>1508</v>
      </c>
      <c r="G337" s="146" t="s">
        <v>1509</v>
      </c>
      <c r="H337" s="146" t="s">
        <v>520</v>
      </c>
      <c r="I337" s="145">
        <v>46192</v>
      </c>
      <c r="J337" s="145">
        <v>46192</v>
      </c>
      <c r="K337" s="144">
        <v>1</v>
      </c>
      <c r="L337" s="178">
        <v>1910</v>
      </c>
      <c r="M337" s="176">
        <v>0.26</v>
      </c>
      <c r="N337" s="178">
        <f>IFERROR(Tabela225[[#This Row],[VALOR  (R$)]]/Tabela225[[#This Row],[PRAZO
EXECUÇÃO]],0)</f>
        <v>1910</v>
      </c>
      <c r="O337" s="194" t="s">
        <v>599</v>
      </c>
      <c r="P337" s="145">
        <v>46196</v>
      </c>
      <c r="Q337" s="146"/>
      <c r="R337" s="146"/>
      <c r="S337" s="145"/>
      <c r="T337" s="146" t="s">
        <v>1042</v>
      </c>
      <c r="U337" s="132"/>
    </row>
    <row r="338" spans="1:21">
      <c r="A338" s="144">
        <v>324</v>
      </c>
      <c r="B338" s="145">
        <v>46192</v>
      </c>
      <c r="C338" s="197" t="s">
        <v>1510</v>
      </c>
      <c r="D338" s="146" t="s">
        <v>486</v>
      </c>
      <c r="E338" s="146" t="s">
        <v>584</v>
      </c>
      <c r="F338" s="146" t="s">
        <v>1511</v>
      </c>
      <c r="G338" s="146" t="s">
        <v>1049</v>
      </c>
      <c r="H338" s="146" t="s">
        <v>520</v>
      </c>
      <c r="I338" s="145">
        <v>46192</v>
      </c>
      <c r="J338" s="145">
        <v>46192</v>
      </c>
      <c r="K338" s="144">
        <v>10</v>
      </c>
      <c r="L338" s="178">
        <v>189900</v>
      </c>
      <c r="M338" s="176">
        <v>0.23</v>
      </c>
      <c r="N338" s="178">
        <f>IFERROR(Tabela225[[#This Row],[VALOR  (R$)]]/Tabela225[[#This Row],[PRAZO
EXECUÇÃO]],0)</f>
        <v>18990</v>
      </c>
      <c r="O338" s="194" t="s">
        <v>504</v>
      </c>
      <c r="P338" s="145"/>
      <c r="Q338" s="146"/>
      <c r="R338" s="146"/>
      <c r="S338" s="145"/>
      <c r="T338" s="146"/>
      <c r="U338" s="132"/>
    </row>
    <row r="339" spans="1:21">
      <c r="A339" s="144">
        <v>325</v>
      </c>
      <c r="B339" s="145">
        <v>46195</v>
      </c>
      <c r="C339" s="197" t="s">
        <v>1512</v>
      </c>
      <c r="D339" s="146" t="s">
        <v>486</v>
      </c>
      <c r="E339" s="146" t="s">
        <v>584</v>
      </c>
      <c r="F339" s="146" t="s">
        <v>1011</v>
      </c>
      <c r="G339" s="146" t="s">
        <v>1513</v>
      </c>
      <c r="H339" s="146" t="s">
        <v>520</v>
      </c>
      <c r="I339" s="145">
        <v>46195</v>
      </c>
      <c r="J339" s="145">
        <v>46195</v>
      </c>
      <c r="K339" s="144">
        <v>96</v>
      </c>
      <c r="L339" s="178">
        <f>115000*8</f>
        <v>920000</v>
      </c>
      <c r="M339" s="176">
        <v>0.2</v>
      </c>
      <c r="N339" s="178">
        <f>IFERROR(Tabela225[[#This Row],[VALOR  (R$)]]/Tabela225[[#This Row],[PRAZO
EXECUÇÃO]],0)</f>
        <v>9583.3333333333339</v>
      </c>
      <c r="O339" s="194" t="s">
        <v>599</v>
      </c>
      <c r="P339" s="145">
        <v>46206</v>
      </c>
      <c r="Q339" s="146"/>
      <c r="R339" s="146"/>
      <c r="S339" s="145"/>
      <c r="T339" s="146" t="s">
        <v>1042</v>
      </c>
      <c r="U339" s="132"/>
    </row>
    <row r="340" spans="1:21">
      <c r="A340" s="144">
        <v>326</v>
      </c>
      <c r="B340" s="145">
        <v>46195</v>
      </c>
      <c r="C340" s="197" t="s">
        <v>1514</v>
      </c>
      <c r="D340" s="146" t="s">
        <v>486</v>
      </c>
      <c r="E340" s="146" t="s">
        <v>584</v>
      </c>
      <c r="F340" s="146" t="s">
        <v>1508</v>
      </c>
      <c r="G340" s="146" t="s">
        <v>1515</v>
      </c>
      <c r="H340" s="146" t="s">
        <v>520</v>
      </c>
      <c r="I340" s="145">
        <v>46195</v>
      </c>
      <c r="J340" s="145">
        <v>46195</v>
      </c>
      <c r="K340" s="144">
        <v>3</v>
      </c>
      <c r="L340" s="178">
        <v>35900</v>
      </c>
      <c r="M340" s="176">
        <v>0.3</v>
      </c>
      <c r="N340" s="178">
        <f>IFERROR(Tabela225[[#This Row],[VALOR  (R$)]]/Tabela225[[#This Row],[PRAZO
EXECUÇÃO]],0)</f>
        <v>11966.666666666666</v>
      </c>
      <c r="O340" s="194" t="s">
        <v>599</v>
      </c>
      <c r="P340" s="145">
        <v>46202</v>
      </c>
      <c r="Q340" s="146">
        <v>21847</v>
      </c>
      <c r="R340" s="146"/>
      <c r="S340" s="145"/>
      <c r="T340" s="146" t="s">
        <v>1040</v>
      </c>
      <c r="U340" s="132"/>
    </row>
    <row r="341" spans="1:21">
      <c r="A341" s="144">
        <v>327</v>
      </c>
      <c r="B341" s="145">
        <v>46195</v>
      </c>
      <c r="C341" s="197" t="s">
        <v>1516</v>
      </c>
      <c r="D341" s="146" t="s">
        <v>1450</v>
      </c>
      <c r="E341" s="146" t="s">
        <v>495</v>
      </c>
      <c r="F341" s="146" t="s">
        <v>983</v>
      </c>
      <c r="G341" s="146" t="s">
        <v>1517</v>
      </c>
      <c r="H341" s="146" t="s">
        <v>520</v>
      </c>
      <c r="I341" s="145">
        <v>46196</v>
      </c>
      <c r="J341" s="145">
        <v>46197</v>
      </c>
      <c r="K341" s="144">
        <v>1</v>
      </c>
      <c r="L341" s="178">
        <v>4352</v>
      </c>
      <c r="M341" s="176">
        <v>0.3</v>
      </c>
      <c r="N341" s="178">
        <f>IFERROR(Tabela225[[#This Row],[VALOR  (R$)]]/Tabela225[[#This Row],[PRAZO
EXECUÇÃO]],0)</f>
        <v>4352</v>
      </c>
      <c r="O341" s="194" t="s">
        <v>599</v>
      </c>
      <c r="P341" s="145">
        <v>46219</v>
      </c>
      <c r="Q341" s="146"/>
      <c r="R341" s="146"/>
      <c r="S341" s="145"/>
      <c r="T341" s="146" t="s">
        <v>1042</v>
      </c>
      <c r="U341" s="132"/>
    </row>
    <row r="342" spans="1:21">
      <c r="A342" s="144">
        <v>328</v>
      </c>
      <c r="B342" s="145">
        <v>46195</v>
      </c>
      <c r="C342" s="197" t="s">
        <v>1518</v>
      </c>
      <c r="D342" s="146" t="s">
        <v>469</v>
      </c>
      <c r="E342" s="146" t="s">
        <v>495</v>
      </c>
      <c r="F342" s="146" t="s">
        <v>1519</v>
      </c>
      <c r="G342" s="146" t="s">
        <v>1520</v>
      </c>
      <c r="H342" s="146" t="s">
        <v>520</v>
      </c>
      <c r="I342" s="145">
        <v>46197</v>
      </c>
      <c r="J342" s="145">
        <v>46196</v>
      </c>
      <c r="K342" s="144">
        <v>100</v>
      </c>
      <c r="L342" s="178">
        <v>7361011.54</v>
      </c>
      <c r="M342" s="176">
        <v>0.2</v>
      </c>
      <c r="N342" s="178">
        <f>IFERROR(Tabela225[[#This Row],[VALOR  (R$)]]/Tabela225[[#This Row],[PRAZO
EXECUÇÃO]],0)</f>
        <v>73610.115399999995</v>
      </c>
      <c r="O342" s="194" t="s">
        <v>559</v>
      </c>
      <c r="P342" s="145"/>
      <c r="Q342" s="146"/>
      <c r="R342" s="146"/>
      <c r="S342" s="145"/>
      <c r="T342" s="146"/>
      <c r="U342" s="132"/>
    </row>
    <row r="343" spans="1:21">
      <c r="A343" s="144">
        <v>329</v>
      </c>
      <c r="B343" s="145">
        <v>46196</v>
      </c>
      <c r="C343" s="197" t="s">
        <v>1521</v>
      </c>
      <c r="D343" s="146" t="s">
        <v>487</v>
      </c>
      <c r="E343" s="146" t="s">
        <v>495</v>
      </c>
      <c r="F343" s="146" t="s">
        <v>1522</v>
      </c>
      <c r="G343" s="146" t="s">
        <v>1523</v>
      </c>
      <c r="H343" s="146" t="s">
        <v>520</v>
      </c>
      <c r="I343" s="145">
        <v>46197</v>
      </c>
      <c r="J343" s="145">
        <v>46197</v>
      </c>
      <c r="K343" s="144">
        <v>40</v>
      </c>
      <c r="L343" s="178">
        <f>290945*2</f>
        <v>581890</v>
      </c>
      <c r="M343" s="176">
        <v>0.3</v>
      </c>
      <c r="N343" s="178">
        <f>IFERROR(Tabela225[[#This Row],[VALOR  (R$)]]/Tabela225[[#This Row],[PRAZO
EXECUÇÃO]],0)</f>
        <v>14547.25</v>
      </c>
      <c r="O343" s="194" t="s">
        <v>504</v>
      </c>
      <c r="P343" s="145"/>
      <c r="Q343" s="146"/>
      <c r="R343" s="146"/>
      <c r="S343" s="145"/>
      <c r="T343" s="146"/>
      <c r="U343" s="132"/>
    </row>
    <row r="344" spans="1:21">
      <c r="A344" s="144">
        <v>330</v>
      </c>
      <c r="B344" s="145">
        <v>46196</v>
      </c>
      <c r="C344" s="197" t="s">
        <v>1524</v>
      </c>
      <c r="D344" s="146" t="s">
        <v>1322</v>
      </c>
      <c r="E344" s="146" t="s">
        <v>495</v>
      </c>
      <c r="F344" s="146" t="s">
        <v>1323</v>
      </c>
      <c r="G344" s="146" t="s">
        <v>1525</v>
      </c>
      <c r="H344" s="146" t="s">
        <v>520</v>
      </c>
      <c r="I344" s="145">
        <v>46199</v>
      </c>
      <c r="J344" s="145">
        <v>46204</v>
      </c>
      <c r="K344" s="144">
        <v>15</v>
      </c>
      <c r="L344" s="178">
        <v>798819</v>
      </c>
      <c r="M344" s="176">
        <v>0.3</v>
      </c>
      <c r="N344" s="178">
        <f>IFERROR(Tabela225[[#This Row],[VALOR  (R$)]]/Tabela225[[#This Row],[PRAZO
EXECUÇÃO]],0)</f>
        <v>53254.6</v>
      </c>
      <c r="O344" s="194" t="s">
        <v>504</v>
      </c>
      <c r="P344" s="145"/>
      <c r="Q344" s="146"/>
      <c r="R344" s="146"/>
      <c r="S344" s="145"/>
      <c r="T344" s="146"/>
      <c r="U344" s="132"/>
    </row>
    <row r="345" spans="1:21">
      <c r="A345" s="144">
        <v>331</v>
      </c>
      <c r="B345" s="145">
        <v>46198</v>
      </c>
      <c r="C345" s="197" t="s">
        <v>1526</v>
      </c>
      <c r="D345" s="195" t="s">
        <v>486</v>
      </c>
      <c r="E345" s="146" t="s">
        <v>584</v>
      </c>
      <c r="F345" s="146" t="s">
        <v>993</v>
      </c>
      <c r="G345" s="146" t="s">
        <v>1527</v>
      </c>
      <c r="H345" s="146" t="s">
        <v>520</v>
      </c>
      <c r="I345" s="145">
        <v>46198</v>
      </c>
      <c r="J345" s="145">
        <v>46198</v>
      </c>
      <c r="K345" s="144">
        <v>45</v>
      </c>
      <c r="L345" s="178">
        <v>66317.8</v>
      </c>
      <c r="M345" s="176">
        <v>0.3</v>
      </c>
      <c r="N345" s="178">
        <f>IFERROR(Tabela225[[#This Row],[VALOR  (R$)]]/Tabela225[[#This Row],[PRAZO
EXECUÇÃO]],0)</f>
        <v>1473.7288888888891</v>
      </c>
      <c r="O345" s="194" t="s">
        <v>599</v>
      </c>
      <c r="P345" s="145">
        <v>46266</v>
      </c>
      <c r="Q345" s="146"/>
      <c r="R345" s="146"/>
      <c r="S345" s="145"/>
      <c r="T345" s="146"/>
      <c r="U345" s="132"/>
    </row>
    <row r="346" spans="1:21">
      <c r="A346" s="144">
        <v>332</v>
      </c>
      <c r="B346" s="145">
        <v>46198</v>
      </c>
      <c r="C346" s="145" t="s">
        <v>1536</v>
      </c>
      <c r="D346" s="146" t="s">
        <v>486</v>
      </c>
      <c r="E346" s="146" t="s">
        <v>584</v>
      </c>
      <c r="F346" s="146" t="s">
        <v>1508</v>
      </c>
      <c r="G346" s="146" t="s">
        <v>1513</v>
      </c>
      <c r="H346" s="146" t="s">
        <v>520</v>
      </c>
      <c r="I346" s="145" t="s">
        <v>1537</v>
      </c>
      <c r="J346" s="145">
        <v>46199</v>
      </c>
      <c r="K346" s="144">
        <f>12*8</f>
        <v>96</v>
      </c>
      <c r="L346" s="178">
        <f>145900*8</f>
        <v>1167200</v>
      </c>
      <c r="M346" s="176">
        <v>0.23619999999999999</v>
      </c>
      <c r="N346" s="178">
        <f>IFERROR(Tabela225[[#This Row],[VALOR  (R$)]]/Tabela225[[#This Row],[PRAZO
EXECUÇÃO]],0)</f>
        <v>12158.333333333334</v>
      </c>
      <c r="O346" s="194" t="s">
        <v>559</v>
      </c>
      <c r="P346" s="145"/>
      <c r="Q346" s="146"/>
      <c r="R346" s="146"/>
      <c r="S346" s="145"/>
      <c r="T346" s="146"/>
      <c r="U346" s="132"/>
    </row>
    <row r="347" spans="1:21">
      <c r="A347" s="144">
        <v>333</v>
      </c>
      <c r="B347" s="145">
        <v>46198</v>
      </c>
      <c r="C347" s="197" t="s">
        <v>1528</v>
      </c>
      <c r="D347" s="146" t="s">
        <v>1529</v>
      </c>
      <c r="E347" s="146" t="s">
        <v>495</v>
      </c>
      <c r="F347" s="146" t="s">
        <v>1530</v>
      </c>
      <c r="G347" s="146" t="s">
        <v>1531</v>
      </c>
      <c r="H347" s="146" t="s">
        <v>520</v>
      </c>
      <c r="I347" s="145">
        <v>46205</v>
      </c>
      <c r="J347" s="145">
        <v>46205</v>
      </c>
      <c r="K347" s="144">
        <v>20</v>
      </c>
      <c r="L347" s="178">
        <v>322010</v>
      </c>
      <c r="M347" s="176">
        <v>0.25</v>
      </c>
      <c r="N347" s="178">
        <f>IFERROR(Tabela225[[#This Row],[VALOR  (R$)]]/Tabela225[[#This Row],[PRAZO
EXECUÇÃO]],0)</f>
        <v>16100.5</v>
      </c>
      <c r="O347" s="194" t="s">
        <v>504</v>
      </c>
      <c r="P347" s="145"/>
      <c r="Q347" s="146"/>
      <c r="R347" s="146"/>
      <c r="S347" s="145"/>
      <c r="T347" s="146"/>
      <c r="U347" s="132"/>
    </row>
    <row r="348" spans="1:21">
      <c r="A348" s="144">
        <v>334</v>
      </c>
      <c r="B348" s="145">
        <v>46198</v>
      </c>
      <c r="C348" s="197" t="s">
        <v>1532</v>
      </c>
      <c r="D348" s="146" t="s">
        <v>486</v>
      </c>
      <c r="E348" s="146" t="s">
        <v>584</v>
      </c>
      <c r="F348" s="146" t="s">
        <v>620</v>
      </c>
      <c r="G348" s="146" t="s">
        <v>1533</v>
      </c>
      <c r="H348" s="146" t="s">
        <v>520</v>
      </c>
      <c r="I348" s="145">
        <v>46197</v>
      </c>
      <c r="J348" s="145">
        <v>46199</v>
      </c>
      <c r="K348" s="144">
        <v>17</v>
      </c>
      <c r="L348" s="178">
        <v>339050</v>
      </c>
      <c r="M348" s="176">
        <v>0.3</v>
      </c>
      <c r="N348" s="178">
        <f>IFERROR(Tabela225[[#This Row],[VALOR  (R$)]]/Tabela225[[#This Row],[PRAZO
EXECUÇÃO]],0)</f>
        <v>19944.117647058825</v>
      </c>
      <c r="O348" s="194" t="s">
        <v>504</v>
      </c>
      <c r="P348" s="145"/>
      <c r="Q348" s="146"/>
      <c r="R348" s="146"/>
      <c r="S348" s="145"/>
      <c r="T348" s="146"/>
      <c r="U348" s="132"/>
    </row>
    <row r="349" spans="1:21">
      <c r="A349" s="144">
        <v>335</v>
      </c>
      <c r="B349" s="145">
        <v>46198</v>
      </c>
      <c r="C349" s="197" t="s">
        <v>1534</v>
      </c>
      <c r="D349" s="146" t="s">
        <v>486</v>
      </c>
      <c r="E349" s="146" t="s">
        <v>584</v>
      </c>
      <c r="F349" s="146" t="s">
        <v>1291</v>
      </c>
      <c r="G349" s="146" t="s">
        <v>1535</v>
      </c>
      <c r="H349" s="146" t="s">
        <v>520</v>
      </c>
      <c r="I349" s="145">
        <v>46199</v>
      </c>
      <c r="J349" s="145">
        <v>46202</v>
      </c>
      <c r="K349" s="144">
        <v>1</v>
      </c>
      <c r="L349" s="178">
        <v>31500</v>
      </c>
      <c r="M349" s="176">
        <v>0.3</v>
      </c>
      <c r="N349" s="178">
        <f>IFERROR(Tabela225[[#This Row],[VALOR  (R$)]]/Tabela225[[#This Row],[PRAZO
EXECUÇÃO]],0)</f>
        <v>31500</v>
      </c>
      <c r="O349" s="194" t="s">
        <v>504</v>
      </c>
      <c r="P349" s="145"/>
      <c r="Q349" s="146"/>
      <c r="R349" s="146"/>
      <c r="S349" s="145"/>
      <c r="T349" s="146"/>
      <c r="U349" s="132"/>
    </row>
    <row r="350" spans="1:21">
      <c r="A350" s="144">
        <v>336</v>
      </c>
      <c r="B350" s="145">
        <v>46202</v>
      </c>
      <c r="C350" s="197" t="s">
        <v>1538</v>
      </c>
      <c r="D350" s="146" t="s">
        <v>486</v>
      </c>
      <c r="E350" s="146" t="s">
        <v>584</v>
      </c>
      <c r="F350" s="146" t="s">
        <v>1539</v>
      </c>
      <c r="G350" s="146" t="s">
        <v>1540</v>
      </c>
      <c r="H350" s="146" t="s">
        <v>520</v>
      </c>
      <c r="I350" s="145">
        <v>46202</v>
      </c>
      <c r="J350" s="145">
        <v>46202</v>
      </c>
      <c r="K350" s="144">
        <f>13*3</f>
        <v>39</v>
      </c>
      <c r="L350" s="178">
        <f>189900*3</f>
        <v>569700</v>
      </c>
      <c r="M350" s="176">
        <v>0.24</v>
      </c>
      <c r="N350" s="178">
        <f>IFERROR(Tabela225[[#This Row],[VALOR  (R$)]]/Tabela225[[#This Row],[PRAZO
EXECUÇÃO]],0)</f>
        <v>14607.692307692309</v>
      </c>
      <c r="O350" s="194" t="s">
        <v>504</v>
      </c>
      <c r="P350" s="145"/>
      <c r="Q350" s="146"/>
      <c r="R350" s="146"/>
      <c r="S350" s="145"/>
      <c r="T350" s="146"/>
      <c r="U350" s="132"/>
    </row>
    <row r="351" spans="1:21">
      <c r="A351" s="144">
        <v>337</v>
      </c>
      <c r="B351" s="145">
        <v>46202</v>
      </c>
      <c r="C351" s="197" t="s">
        <v>1541</v>
      </c>
      <c r="D351" s="146" t="s">
        <v>486</v>
      </c>
      <c r="E351" s="146" t="s">
        <v>584</v>
      </c>
      <c r="F351" s="146" t="s">
        <v>1542</v>
      </c>
      <c r="G351" s="146" t="s">
        <v>1543</v>
      </c>
      <c r="H351" s="146" t="s">
        <v>520</v>
      </c>
      <c r="I351" s="145">
        <v>46202</v>
      </c>
      <c r="J351" s="145">
        <v>46202</v>
      </c>
      <c r="K351" s="144">
        <v>22</v>
      </c>
      <c r="L351" s="178">
        <v>343400</v>
      </c>
      <c r="M351" s="176">
        <v>0.23</v>
      </c>
      <c r="N351" s="178">
        <f>IFERROR(Tabela225[[#This Row],[VALOR  (R$)]]/Tabela225[[#This Row],[PRAZO
EXECUÇÃO]],0)</f>
        <v>15609.09090909091</v>
      </c>
      <c r="O351" s="194" t="s">
        <v>504</v>
      </c>
      <c r="P351" s="145"/>
      <c r="Q351" s="146"/>
      <c r="R351" s="146"/>
      <c r="S351" s="145"/>
      <c r="T351" s="146"/>
      <c r="U351" s="132"/>
    </row>
    <row r="352" spans="1:21">
      <c r="A352" s="144">
        <v>338</v>
      </c>
      <c r="B352" s="145">
        <v>46202</v>
      </c>
      <c r="C352" s="197" t="s">
        <v>1544</v>
      </c>
      <c r="D352" s="146" t="s">
        <v>486</v>
      </c>
      <c r="E352" s="146" t="s">
        <v>584</v>
      </c>
      <c r="F352" s="146" t="s">
        <v>814</v>
      </c>
      <c r="G352" s="146" t="s">
        <v>1545</v>
      </c>
      <c r="H352" s="146" t="s">
        <v>520</v>
      </c>
      <c r="I352" s="145">
        <v>46202</v>
      </c>
      <c r="J352" s="145">
        <v>46202</v>
      </c>
      <c r="K352" s="144">
        <f>13*3</f>
        <v>39</v>
      </c>
      <c r="L352" s="178">
        <f>169900*3</f>
        <v>509700</v>
      </c>
      <c r="M352" s="176">
        <v>0.2359</v>
      </c>
      <c r="N352" s="178">
        <f>IFERROR(Tabela225[[#This Row],[VALOR  (R$)]]/Tabela225[[#This Row],[PRAZO
EXECUÇÃO]],0)</f>
        <v>13069.23076923077</v>
      </c>
      <c r="O352" s="194" t="s">
        <v>504</v>
      </c>
      <c r="P352" s="145"/>
      <c r="Q352" s="146"/>
      <c r="R352" s="146"/>
      <c r="S352" s="145"/>
      <c r="T352" s="146"/>
      <c r="U352" s="132"/>
    </row>
    <row r="353" spans="1:21">
      <c r="A353" s="144">
        <v>339</v>
      </c>
      <c r="B353" s="145">
        <v>46202</v>
      </c>
      <c r="C353" s="197" t="s">
        <v>1546</v>
      </c>
      <c r="D353" s="146" t="s">
        <v>486</v>
      </c>
      <c r="E353" s="146" t="s">
        <v>584</v>
      </c>
      <c r="F353" s="146" t="s">
        <v>1547</v>
      </c>
      <c r="G353" s="146" t="s">
        <v>1548</v>
      </c>
      <c r="H353" s="146" t="s">
        <v>520</v>
      </c>
      <c r="I353" s="145">
        <v>47298</v>
      </c>
      <c r="J353" s="145">
        <v>46202</v>
      </c>
      <c r="K353" s="144">
        <f>16*4</f>
        <v>64</v>
      </c>
      <c r="L353" s="178">
        <f>185300*4</f>
        <v>741200</v>
      </c>
      <c r="M353" s="176">
        <v>0.24</v>
      </c>
      <c r="N353" s="178">
        <f>IFERROR(Tabela225[[#This Row],[VALOR  (R$)]]/Tabela225[[#This Row],[PRAZO
EXECUÇÃO]],0)</f>
        <v>11581.25</v>
      </c>
      <c r="O353" s="194" t="s">
        <v>504</v>
      </c>
      <c r="P353" s="145"/>
      <c r="Q353" s="146"/>
      <c r="R353" s="146"/>
      <c r="S353" s="145"/>
      <c r="T353" s="146"/>
      <c r="U353" s="132"/>
    </row>
    <row r="354" spans="1:21">
      <c r="A354" s="144">
        <v>340</v>
      </c>
      <c r="B354" s="145">
        <v>46202</v>
      </c>
      <c r="C354" s="197" t="s">
        <v>1549</v>
      </c>
      <c r="D354" s="146" t="s">
        <v>1390</v>
      </c>
      <c r="E354" s="146" t="s">
        <v>495</v>
      </c>
      <c r="F354" s="146" t="s">
        <v>1388</v>
      </c>
      <c r="G354" s="146" t="s">
        <v>1550</v>
      </c>
      <c r="H354" s="146" t="s">
        <v>520</v>
      </c>
      <c r="I354" s="145">
        <v>46202</v>
      </c>
      <c r="J354" s="145">
        <v>46202</v>
      </c>
      <c r="K354" s="144">
        <v>365</v>
      </c>
      <c r="L354" s="178">
        <v>4950000</v>
      </c>
      <c r="M354" s="176">
        <v>0.2</v>
      </c>
      <c r="N354" s="178">
        <f>IFERROR(Tabela225[[#This Row],[VALOR  (R$)]]/Tabela225[[#This Row],[PRAZO
EXECUÇÃO]],0)</f>
        <v>13561.643835616438</v>
      </c>
      <c r="O354" s="194" t="s">
        <v>559</v>
      </c>
      <c r="P354" s="145"/>
      <c r="Q354" s="146"/>
      <c r="R354" s="146"/>
      <c r="S354" s="145"/>
      <c r="T354" s="146"/>
      <c r="U354" s="132"/>
    </row>
    <row r="355" spans="1:21">
      <c r="A355" s="144">
        <v>341</v>
      </c>
      <c r="B355" s="145">
        <v>46203</v>
      </c>
      <c r="C355" s="197" t="s">
        <v>1551</v>
      </c>
      <c r="D355" s="146" t="s">
        <v>469</v>
      </c>
      <c r="E355" s="146" t="s">
        <v>495</v>
      </c>
      <c r="F355" s="146" t="s">
        <v>974</v>
      </c>
      <c r="G355" s="146" t="s">
        <v>1552</v>
      </c>
      <c r="H355" s="146" t="s">
        <v>520</v>
      </c>
      <c r="I355" s="145">
        <v>46213</v>
      </c>
      <c r="J355" s="145">
        <v>46213</v>
      </c>
      <c r="K355" s="144">
        <f>12*15</f>
        <v>180</v>
      </c>
      <c r="L355" s="178">
        <v>2144415</v>
      </c>
      <c r="M355" s="176">
        <v>0.22</v>
      </c>
      <c r="N355" s="178">
        <f>IFERROR(Tabela225[[#This Row],[VALOR  (R$)]]/Tabela225[[#This Row],[PRAZO
EXECUÇÃO]],0)</f>
        <v>11913.416666666666</v>
      </c>
      <c r="O355" s="194" t="s">
        <v>656</v>
      </c>
      <c r="P355" s="145"/>
      <c r="Q355" s="146"/>
      <c r="R355" s="146"/>
      <c r="S355" s="145"/>
      <c r="T355" s="146"/>
      <c r="U355" s="132"/>
    </row>
    <row r="356" spans="1:21">
      <c r="A356" s="144">
        <v>342</v>
      </c>
      <c r="B356" s="145">
        <v>46203</v>
      </c>
      <c r="C356" s="197" t="s">
        <v>1553</v>
      </c>
      <c r="D356" s="146" t="s">
        <v>1144</v>
      </c>
      <c r="E356" s="146" t="s">
        <v>495</v>
      </c>
      <c r="F356" s="146" t="s">
        <v>1145</v>
      </c>
      <c r="G356" s="146" t="s">
        <v>1554</v>
      </c>
      <c r="H356" s="146" t="s">
        <v>520</v>
      </c>
      <c r="I356" s="145">
        <v>46204</v>
      </c>
      <c r="J356" s="145">
        <v>46226</v>
      </c>
      <c r="K356" s="144">
        <v>7</v>
      </c>
      <c r="L356" s="178">
        <v>97250</v>
      </c>
      <c r="M356" s="176">
        <v>0.3</v>
      </c>
      <c r="N356" s="178">
        <f>IFERROR(Tabela225[[#This Row],[VALOR  (R$)]]/Tabela225[[#This Row],[PRAZO
EXECUÇÃO]],0)</f>
        <v>13892.857142857143</v>
      </c>
      <c r="O356" s="194" t="s">
        <v>504</v>
      </c>
      <c r="P356" s="145"/>
      <c r="Q356" s="146"/>
      <c r="R356" s="146"/>
      <c r="S356" s="145"/>
      <c r="T356" s="146"/>
      <c r="U356" s="132"/>
    </row>
    <row r="357" spans="1:21">
      <c r="A357" s="144">
        <v>343</v>
      </c>
      <c r="B357" s="145">
        <v>46203</v>
      </c>
      <c r="C357" s="197" t="s">
        <v>1555</v>
      </c>
      <c r="D357" s="146" t="s">
        <v>524</v>
      </c>
      <c r="E357" s="146" t="s">
        <v>495</v>
      </c>
      <c r="F357" s="146" t="s">
        <v>1556</v>
      </c>
      <c r="G357" s="146" t="s">
        <v>1557</v>
      </c>
      <c r="H357" s="146" t="s">
        <v>520</v>
      </c>
      <c r="I357" s="145">
        <v>46204</v>
      </c>
      <c r="J357" s="145">
        <v>46205</v>
      </c>
      <c r="K357" s="144">
        <v>2</v>
      </c>
      <c r="L357" s="178">
        <v>102110</v>
      </c>
      <c r="M357" s="176">
        <v>0.25</v>
      </c>
      <c r="N357" s="178">
        <f>IFERROR(Tabela225[[#This Row],[VALOR  (R$)]]/Tabela225[[#This Row],[PRAZO
EXECUÇÃO]],0)</f>
        <v>51055</v>
      </c>
      <c r="O357" s="194" t="s">
        <v>559</v>
      </c>
      <c r="P357" s="145"/>
      <c r="Q357" s="146"/>
      <c r="R357" s="146"/>
      <c r="S357" s="145"/>
      <c r="T357" s="146"/>
      <c r="U357" s="132"/>
    </row>
    <row r="358" spans="1:21">
      <c r="A358" s="144">
        <v>344</v>
      </c>
      <c r="B358" s="145">
        <v>46203</v>
      </c>
      <c r="C358" s="197" t="s">
        <v>1558</v>
      </c>
      <c r="D358" s="146" t="s">
        <v>1076</v>
      </c>
      <c r="E358" s="146" t="s">
        <v>495</v>
      </c>
      <c r="F358" s="146" t="s">
        <v>1022</v>
      </c>
      <c r="G358" s="146" t="s">
        <v>1564</v>
      </c>
      <c r="H358" s="146" t="s">
        <v>520</v>
      </c>
      <c r="I358" s="145">
        <v>46204</v>
      </c>
      <c r="J358" s="145">
        <v>46204</v>
      </c>
      <c r="K358" s="144">
        <v>1</v>
      </c>
      <c r="L358" s="178">
        <v>11940</v>
      </c>
      <c r="M358" s="176">
        <v>0.3</v>
      </c>
      <c r="N358" s="178">
        <f>IFERROR(Tabela225[[#This Row],[VALOR  (R$)]]/Tabela225[[#This Row],[PRAZO
EXECUÇÃO]],0)</f>
        <v>11940</v>
      </c>
      <c r="O358" s="194" t="s">
        <v>599</v>
      </c>
      <c r="P358" s="145">
        <v>46209</v>
      </c>
      <c r="Q358" s="146"/>
      <c r="R358" s="146"/>
      <c r="S358" s="145"/>
      <c r="T358" s="146" t="s">
        <v>1042</v>
      </c>
      <c r="U358" s="132"/>
    </row>
    <row r="359" spans="1:21">
      <c r="A359" s="144">
        <v>345</v>
      </c>
      <c r="B359" s="145">
        <v>46203</v>
      </c>
      <c r="C359" s="197" t="s">
        <v>1559</v>
      </c>
      <c r="D359" s="146" t="s">
        <v>570</v>
      </c>
      <c r="E359" s="146" t="s">
        <v>584</v>
      </c>
      <c r="F359" s="146" t="s">
        <v>1560</v>
      </c>
      <c r="G359" s="146" t="s">
        <v>1561</v>
      </c>
      <c r="H359" s="146" t="s">
        <v>520</v>
      </c>
      <c r="I359" s="145">
        <v>46204</v>
      </c>
      <c r="J359" s="145">
        <v>46206</v>
      </c>
      <c r="K359" s="144">
        <v>18</v>
      </c>
      <c r="L359" s="178">
        <v>345970</v>
      </c>
      <c r="M359" s="176">
        <v>0.26</v>
      </c>
      <c r="N359" s="178">
        <f>IFERROR(Tabela225[[#This Row],[VALOR  (R$)]]/Tabela225[[#This Row],[PRAZO
EXECUÇÃO]],0)</f>
        <v>19220.555555555555</v>
      </c>
      <c r="O359" s="194" t="s">
        <v>504</v>
      </c>
      <c r="P359" s="145"/>
      <c r="Q359" s="146"/>
      <c r="R359" s="146"/>
      <c r="S359" s="145"/>
      <c r="T359" s="146"/>
      <c r="U359" s="132"/>
    </row>
    <row r="360" spans="1:21">
      <c r="A360" s="144">
        <v>346</v>
      </c>
      <c r="B360" s="145">
        <v>46204</v>
      </c>
      <c r="C360" s="197" t="s">
        <v>1562</v>
      </c>
      <c r="D360" s="146" t="s">
        <v>1390</v>
      </c>
      <c r="E360" s="146" t="s">
        <v>495</v>
      </c>
      <c r="F360" s="146" t="s">
        <v>1388</v>
      </c>
      <c r="G360" s="146" t="s">
        <v>1563</v>
      </c>
      <c r="H360" s="146" t="s">
        <v>520</v>
      </c>
      <c r="I360" s="145">
        <v>46204</v>
      </c>
      <c r="J360" s="145">
        <v>46204</v>
      </c>
      <c r="K360" s="144">
        <v>365</v>
      </c>
      <c r="L360" s="178">
        <v>4690000</v>
      </c>
      <c r="M360" s="176">
        <v>0.2</v>
      </c>
      <c r="N360" s="178">
        <f>IFERROR(Tabela225[[#This Row],[VALOR  (R$)]]/Tabela225[[#This Row],[PRAZO
EXECUÇÃO]],0)</f>
        <v>12849.315068493152</v>
      </c>
      <c r="O360" s="194" t="s">
        <v>559</v>
      </c>
      <c r="P360" s="145"/>
      <c r="Q360" s="146"/>
      <c r="R360" s="146"/>
      <c r="S360" s="145"/>
      <c r="T360" s="146"/>
      <c r="U360" s="132"/>
    </row>
    <row r="361" spans="1:21">
      <c r="A361" s="144">
        <v>347</v>
      </c>
      <c r="B361" s="145">
        <v>46205</v>
      </c>
      <c r="C361" s="197" t="s">
        <v>1565</v>
      </c>
      <c r="D361" s="146" t="s">
        <v>486</v>
      </c>
      <c r="E361" s="146" t="s">
        <v>584</v>
      </c>
      <c r="F361" s="146" t="s">
        <v>646</v>
      </c>
      <c r="G361" s="146" t="s">
        <v>647</v>
      </c>
      <c r="H361" s="146" t="s">
        <v>520</v>
      </c>
      <c r="I361" s="145">
        <v>46205</v>
      </c>
      <c r="J361" s="145">
        <v>46205</v>
      </c>
      <c r="K361" s="144">
        <v>13</v>
      </c>
      <c r="L361" s="178">
        <v>224280</v>
      </c>
      <c r="M361" s="176">
        <v>0.2</v>
      </c>
      <c r="N361" s="178">
        <f>IFERROR(Tabela225[[#This Row],[VALOR  (R$)]]/Tabela225[[#This Row],[PRAZO
EXECUÇÃO]],0)</f>
        <v>17252.307692307691</v>
      </c>
      <c r="O361" s="194" t="s">
        <v>504</v>
      </c>
      <c r="P361" s="145"/>
      <c r="Q361" s="146"/>
      <c r="R361" s="146"/>
      <c r="S361" s="145"/>
      <c r="T361" s="146"/>
      <c r="U361" s="132"/>
    </row>
    <row r="362" spans="1:21">
      <c r="A362" s="144">
        <v>348</v>
      </c>
      <c r="B362" s="145">
        <v>46206</v>
      </c>
      <c r="C362" s="197" t="s">
        <v>1567</v>
      </c>
      <c r="D362" s="146" t="s">
        <v>369</v>
      </c>
      <c r="E362" s="146" t="s">
        <v>495</v>
      </c>
      <c r="F362" s="146" t="s">
        <v>922</v>
      </c>
      <c r="G362" s="146" t="s">
        <v>1568</v>
      </c>
      <c r="H362" s="146" t="s">
        <v>520</v>
      </c>
      <c r="I362" s="145">
        <v>46206</v>
      </c>
      <c r="J362" s="145">
        <v>46206</v>
      </c>
      <c r="K362" s="144">
        <v>10</v>
      </c>
      <c r="L362" s="178">
        <v>8900</v>
      </c>
      <c r="M362" s="176">
        <v>0.2</v>
      </c>
      <c r="N362" s="178">
        <f>IFERROR(Tabela225[[#This Row],[VALOR  (R$)]]/Tabela225[[#This Row],[PRAZO
EXECUÇÃO]],0)</f>
        <v>890</v>
      </c>
      <c r="O362" s="194" t="s">
        <v>504</v>
      </c>
      <c r="P362" s="145"/>
      <c r="Q362" s="146"/>
      <c r="R362" s="146"/>
      <c r="S362" s="145"/>
      <c r="T362" s="146"/>
      <c r="U362" s="132"/>
    </row>
    <row r="363" spans="1:21">
      <c r="A363" s="144">
        <v>349</v>
      </c>
      <c r="B363" s="145">
        <v>46206</v>
      </c>
      <c r="C363" s="197" t="s">
        <v>1569</v>
      </c>
      <c r="D363" s="146" t="s">
        <v>369</v>
      </c>
      <c r="E363" s="146" t="s">
        <v>495</v>
      </c>
      <c r="F363" s="146" t="s">
        <v>1570</v>
      </c>
      <c r="G363" s="146" t="s">
        <v>1571</v>
      </c>
      <c r="H363" s="146" t="s">
        <v>520</v>
      </c>
      <c r="I363" s="145">
        <v>46206</v>
      </c>
      <c r="J363" s="145">
        <v>46206</v>
      </c>
      <c r="K363" s="144">
        <v>1</v>
      </c>
      <c r="L363" s="178">
        <v>890</v>
      </c>
      <c r="M363" s="176">
        <v>0.2</v>
      </c>
      <c r="N363" s="178">
        <f>IFERROR(Tabela225[[#This Row],[VALOR  (R$)]]/Tabela225[[#This Row],[PRAZO
EXECUÇÃO]],0)</f>
        <v>890</v>
      </c>
      <c r="O363" s="194" t="s">
        <v>504</v>
      </c>
      <c r="P363" s="145"/>
      <c r="Q363" s="146"/>
      <c r="R363" s="146"/>
      <c r="S363" s="145"/>
      <c r="T363" s="146"/>
      <c r="U363" s="132"/>
    </row>
    <row r="364" spans="1:21">
      <c r="A364" s="144">
        <v>350</v>
      </c>
      <c r="B364" s="145">
        <v>46209</v>
      </c>
      <c r="C364" s="197" t="s">
        <v>1583</v>
      </c>
      <c r="D364" s="146" t="s">
        <v>1572</v>
      </c>
      <c r="E364" s="146" t="s">
        <v>495</v>
      </c>
      <c r="F364" s="146" t="s">
        <v>1022</v>
      </c>
      <c r="G364" s="146" t="s">
        <v>1573</v>
      </c>
      <c r="H364" s="146" t="s">
        <v>520</v>
      </c>
      <c r="I364" s="145">
        <v>46209</v>
      </c>
      <c r="J364" s="145">
        <v>46209</v>
      </c>
      <c r="K364" s="144">
        <v>1</v>
      </c>
      <c r="L364" s="178">
        <v>39526.51</v>
      </c>
      <c r="M364" s="176">
        <v>0.2</v>
      </c>
      <c r="N364" s="178">
        <f>IFERROR(Tabela225[[#This Row],[VALOR  (R$)]]/Tabela225[[#This Row],[PRAZO
EXECUÇÃO]],0)</f>
        <v>39526.51</v>
      </c>
      <c r="O364" s="194" t="s">
        <v>599</v>
      </c>
      <c r="P364" s="145">
        <v>46209</v>
      </c>
      <c r="Q364" s="146">
        <v>21976</v>
      </c>
      <c r="R364" s="146"/>
      <c r="S364" s="145"/>
      <c r="T364" s="146" t="s">
        <v>1042</v>
      </c>
      <c r="U364" s="132"/>
    </row>
    <row r="365" spans="1:21">
      <c r="A365" s="144">
        <v>351</v>
      </c>
      <c r="B365" s="145">
        <v>46209</v>
      </c>
      <c r="C365" s="197" t="s">
        <v>1574</v>
      </c>
      <c r="D365" s="146" t="s">
        <v>486</v>
      </c>
      <c r="E365" s="146" t="s">
        <v>584</v>
      </c>
      <c r="F365" s="146" t="s">
        <v>759</v>
      </c>
      <c r="G365" s="146" t="s">
        <v>1575</v>
      </c>
      <c r="H365" s="146" t="s">
        <v>520</v>
      </c>
      <c r="I365" s="145">
        <v>46211</v>
      </c>
      <c r="J365" s="145">
        <v>46211</v>
      </c>
      <c r="K365" s="144">
        <v>12</v>
      </c>
      <c r="L365" s="178">
        <v>179900</v>
      </c>
      <c r="M365" s="176">
        <v>0.3</v>
      </c>
      <c r="N365" s="178">
        <f>IFERROR(Tabela225[[#This Row],[VALOR  (R$)]]/Tabela225[[#This Row],[PRAZO
EXECUÇÃO]],0)</f>
        <v>14991.666666666666</v>
      </c>
      <c r="O365" s="194" t="s">
        <v>504</v>
      </c>
      <c r="P365" s="145"/>
      <c r="Q365" s="146"/>
      <c r="R365" s="146"/>
      <c r="S365" s="145"/>
      <c r="T365" s="146"/>
      <c r="U365" s="132"/>
    </row>
    <row r="366" spans="1:21">
      <c r="A366" s="144">
        <v>352</v>
      </c>
      <c r="B366" s="145">
        <v>46209</v>
      </c>
      <c r="C366" s="197" t="s">
        <v>1576</v>
      </c>
      <c r="D366" s="146" t="s">
        <v>931</v>
      </c>
      <c r="E366" s="146" t="s">
        <v>495</v>
      </c>
      <c r="F366" s="146" t="s">
        <v>1547</v>
      </c>
      <c r="G366" s="146" t="s">
        <v>1577</v>
      </c>
      <c r="H366" s="146" t="s">
        <v>520</v>
      </c>
      <c r="I366" s="145">
        <v>46218</v>
      </c>
      <c r="J366" s="145">
        <v>46217</v>
      </c>
      <c r="K366" s="144">
        <v>20</v>
      </c>
      <c r="L366" s="178"/>
      <c r="M366" s="176"/>
      <c r="N366" s="178">
        <f>IFERROR(Tabela225[[#This Row],[VALOR  (R$)]]/Tabela225[[#This Row],[PRAZO
EXECUÇÃO]],0)</f>
        <v>0</v>
      </c>
      <c r="O366" s="194" t="s">
        <v>504</v>
      </c>
      <c r="P366" s="145"/>
      <c r="Q366" s="146"/>
      <c r="R366" s="146"/>
      <c r="S366" s="145"/>
      <c r="T366" s="146"/>
      <c r="U366" s="132"/>
    </row>
    <row r="367" spans="1:21">
      <c r="A367" s="144">
        <v>353</v>
      </c>
      <c r="B367" s="145">
        <v>46209</v>
      </c>
      <c r="C367" s="197" t="s">
        <v>1578</v>
      </c>
      <c r="D367" s="146" t="s">
        <v>570</v>
      </c>
      <c r="E367" s="146" t="s">
        <v>584</v>
      </c>
      <c r="F367" s="146" t="s">
        <v>1003</v>
      </c>
      <c r="G367" s="146" t="s">
        <v>1579</v>
      </c>
      <c r="H367" s="146" t="s">
        <v>520</v>
      </c>
      <c r="I367" s="145">
        <v>46212</v>
      </c>
      <c r="J367" s="145">
        <v>46211</v>
      </c>
      <c r="K367" s="144">
        <v>12</v>
      </c>
      <c r="L367" s="178">
        <v>674252</v>
      </c>
      <c r="M367" s="176">
        <v>0.3</v>
      </c>
      <c r="N367" s="178">
        <f>IFERROR(Tabela225[[#This Row],[VALOR  (R$)]]/Tabela225[[#This Row],[PRAZO
EXECUÇÃO]],0)</f>
        <v>56187.666666666664</v>
      </c>
      <c r="O367" s="194" t="s">
        <v>504</v>
      </c>
      <c r="P367" s="145"/>
      <c r="Q367" s="146"/>
      <c r="R367" s="146"/>
      <c r="S367" s="145"/>
      <c r="T367" s="146"/>
      <c r="U367" s="132"/>
    </row>
    <row r="368" spans="1:21">
      <c r="A368" s="144">
        <v>354</v>
      </c>
      <c r="B368" s="145">
        <v>46209</v>
      </c>
      <c r="C368" s="197" t="s">
        <v>1580</v>
      </c>
      <c r="D368" s="146" t="s">
        <v>570</v>
      </c>
      <c r="E368" s="146" t="s">
        <v>584</v>
      </c>
      <c r="F368" s="146" t="s">
        <v>1581</v>
      </c>
      <c r="G368" s="146" t="s">
        <v>1582</v>
      </c>
      <c r="H368" s="146" t="s">
        <v>520</v>
      </c>
      <c r="I368" s="145">
        <v>46212</v>
      </c>
      <c r="J368" s="145">
        <v>46211</v>
      </c>
      <c r="K368" s="144">
        <v>12</v>
      </c>
      <c r="L368" s="178">
        <v>396000</v>
      </c>
      <c r="M368" s="176">
        <v>0.3</v>
      </c>
      <c r="N368" s="178">
        <f>IFERROR(Tabela225[[#This Row],[VALOR  (R$)]]/Tabela225[[#This Row],[PRAZO
EXECUÇÃO]],0)</f>
        <v>33000</v>
      </c>
      <c r="O368" s="194" t="s">
        <v>504</v>
      </c>
      <c r="P368" s="145"/>
      <c r="Q368" s="146"/>
      <c r="R368" s="146"/>
      <c r="S368" s="145"/>
      <c r="T368" s="146"/>
      <c r="U368" s="132"/>
    </row>
    <row r="369" spans="1:21">
      <c r="A369" s="144">
        <v>355</v>
      </c>
      <c r="B369" s="145">
        <v>46210</v>
      </c>
      <c r="C369" s="197" t="s">
        <v>1584</v>
      </c>
      <c r="D369" s="146" t="s">
        <v>486</v>
      </c>
      <c r="E369" s="146" t="s">
        <v>584</v>
      </c>
      <c r="F369" s="146" t="s">
        <v>617</v>
      </c>
      <c r="G369" s="146" t="s">
        <v>618</v>
      </c>
      <c r="H369" s="146" t="s">
        <v>520</v>
      </c>
      <c r="I369" s="145">
        <v>46212</v>
      </c>
      <c r="J369" s="145">
        <v>46211</v>
      </c>
      <c r="K369" s="144">
        <f>17*3</f>
        <v>51</v>
      </c>
      <c r="L369" s="178">
        <v>768900</v>
      </c>
      <c r="M369" s="176">
        <v>0.24990000000000001</v>
      </c>
      <c r="N369" s="178">
        <f>IFERROR(Tabela225[[#This Row],[VALOR  (R$)]]/Tabela225[[#This Row],[PRAZO
EXECUÇÃO]],0)</f>
        <v>15076.470588235294</v>
      </c>
      <c r="O369" s="194" t="s">
        <v>599</v>
      </c>
      <c r="P369" s="145">
        <v>46227</v>
      </c>
      <c r="Q369" s="146">
        <v>22318</v>
      </c>
      <c r="R369" s="145">
        <v>46251</v>
      </c>
      <c r="S369" s="145"/>
      <c r="T369" s="146" t="s">
        <v>1040</v>
      </c>
      <c r="U369" s="132"/>
    </row>
    <row r="370" spans="1:21">
      <c r="A370" s="144">
        <v>356</v>
      </c>
      <c r="B370" s="145">
        <v>46210</v>
      </c>
      <c r="C370" s="197" t="s">
        <v>1585</v>
      </c>
      <c r="D370" s="146" t="s">
        <v>486</v>
      </c>
      <c r="E370" s="146" t="s">
        <v>584</v>
      </c>
      <c r="F370" s="146" t="s">
        <v>1003</v>
      </c>
      <c r="G370" s="146" t="s">
        <v>1395</v>
      </c>
      <c r="H370" s="146" t="s">
        <v>520</v>
      </c>
      <c r="I370" s="145">
        <v>46212</v>
      </c>
      <c r="J370" s="145">
        <v>46211</v>
      </c>
      <c r="K370" s="144">
        <v>15</v>
      </c>
      <c r="L370" s="178">
        <v>243200</v>
      </c>
      <c r="M370" s="176">
        <v>0.25</v>
      </c>
      <c r="N370" s="178">
        <f>IFERROR(Tabela225[[#This Row],[VALOR  (R$)]]/Tabela225[[#This Row],[PRAZO
EXECUÇÃO]],0)</f>
        <v>16213.333333333334</v>
      </c>
      <c r="O370" s="194" t="s">
        <v>504</v>
      </c>
      <c r="P370" s="145"/>
      <c r="Q370" s="146"/>
      <c r="R370" s="146"/>
      <c r="S370" s="145"/>
      <c r="T370" s="146"/>
      <c r="U370" s="132"/>
    </row>
    <row r="371" spans="1:21">
      <c r="A371" s="144">
        <v>357</v>
      </c>
      <c r="B371" s="145">
        <v>46210</v>
      </c>
      <c r="C371" s="197" t="s">
        <v>1586</v>
      </c>
      <c r="D371" s="146" t="s">
        <v>801</v>
      </c>
      <c r="E371" s="146" t="s">
        <v>495</v>
      </c>
      <c r="F371" s="146" t="s">
        <v>799</v>
      </c>
      <c r="G371" s="146" t="s">
        <v>1587</v>
      </c>
      <c r="H371" s="146" t="s">
        <v>520</v>
      </c>
      <c r="I371" s="145">
        <v>46213</v>
      </c>
      <c r="J371" s="145">
        <v>46217</v>
      </c>
      <c r="K371" s="144">
        <v>7</v>
      </c>
      <c r="L371" s="178">
        <v>1580812</v>
      </c>
      <c r="M371" s="176">
        <v>0.23</v>
      </c>
      <c r="N371" s="178">
        <f>IFERROR(Tabela225[[#This Row],[VALOR  (R$)]]/Tabela225[[#This Row],[PRAZO
EXECUÇÃO]],0)</f>
        <v>225830.28571428571</v>
      </c>
      <c r="O371" s="194" t="s">
        <v>504</v>
      </c>
      <c r="P371" s="145"/>
      <c r="Q371" s="146"/>
      <c r="R371" s="146"/>
      <c r="S371" s="145"/>
      <c r="T371" s="146"/>
      <c r="U371" s="132"/>
    </row>
    <row r="372" spans="1:21">
      <c r="A372" s="144">
        <v>358</v>
      </c>
      <c r="B372" s="145">
        <v>46211</v>
      </c>
      <c r="C372" s="197" t="s">
        <v>1588</v>
      </c>
      <c r="D372" s="146" t="s">
        <v>1702</v>
      </c>
      <c r="E372" s="146" t="s">
        <v>495</v>
      </c>
      <c r="F372" s="146" t="s">
        <v>1589</v>
      </c>
      <c r="G372" s="146" t="s">
        <v>1590</v>
      </c>
      <c r="H372" s="146" t="s">
        <v>520</v>
      </c>
      <c r="I372" s="145">
        <v>46211</v>
      </c>
      <c r="J372" s="145">
        <v>46211</v>
      </c>
      <c r="K372" s="144">
        <v>1</v>
      </c>
      <c r="L372" s="178">
        <v>14784</v>
      </c>
      <c r="M372" s="176">
        <v>0.25</v>
      </c>
      <c r="N372" s="178">
        <f>IFERROR(Tabela225[[#This Row],[VALOR  (R$)]]/Tabela225[[#This Row],[PRAZO
EXECUÇÃO]],0)</f>
        <v>14784</v>
      </c>
      <c r="O372" s="194" t="s">
        <v>504</v>
      </c>
      <c r="P372" s="145"/>
      <c r="Q372" s="146"/>
      <c r="R372" s="146"/>
      <c r="S372" s="145"/>
      <c r="T372" s="146"/>
      <c r="U372" s="132"/>
    </row>
    <row r="373" spans="1:21">
      <c r="A373" s="144">
        <v>359</v>
      </c>
      <c r="B373" s="145">
        <v>46216</v>
      </c>
      <c r="C373" s="197" t="s">
        <v>1591</v>
      </c>
      <c r="D373" s="146" t="s">
        <v>486</v>
      </c>
      <c r="E373" s="146" t="s">
        <v>584</v>
      </c>
      <c r="F373" s="146" t="s">
        <v>1592</v>
      </c>
      <c r="G373" s="146" t="s">
        <v>1593</v>
      </c>
      <c r="H373" s="146" t="s">
        <v>520</v>
      </c>
      <c r="I373" s="145">
        <v>46216</v>
      </c>
      <c r="J373" s="145">
        <v>46216</v>
      </c>
      <c r="K373" s="144">
        <v>1</v>
      </c>
      <c r="L373" s="178">
        <v>2485</v>
      </c>
      <c r="M373" s="176">
        <v>0.3</v>
      </c>
      <c r="N373" s="178">
        <f>IFERROR(Tabela225[[#This Row],[VALOR  (R$)]]/Tabela225[[#This Row],[PRAZO
EXECUÇÃO]],0)</f>
        <v>2485</v>
      </c>
      <c r="O373" s="194" t="s">
        <v>599</v>
      </c>
      <c r="P373" s="145">
        <v>46232</v>
      </c>
      <c r="Q373" s="146">
        <v>22380</v>
      </c>
      <c r="R373" s="146"/>
      <c r="S373" s="145"/>
      <c r="T373" s="146" t="s">
        <v>1040</v>
      </c>
      <c r="U373" s="132"/>
    </row>
    <row r="374" spans="1:21">
      <c r="A374" s="144">
        <v>360</v>
      </c>
      <c r="B374" s="145">
        <v>46216</v>
      </c>
      <c r="C374" s="197" t="s">
        <v>1594</v>
      </c>
      <c r="D374" s="146" t="s">
        <v>486</v>
      </c>
      <c r="E374" s="146" t="s">
        <v>584</v>
      </c>
      <c r="F374" s="146" t="s">
        <v>627</v>
      </c>
      <c r="G374" s="146" t="s">
        <v>1595</v>
      </c>
      <c r="H374" s="146" t="s">
        <v>520</v>
      </c>
      <c r="I374" s="145">
        <v>46216</v>
      </c>
      <c r="J374" s="145">
        <v>46216</v>
      </c>
      <c r="K374" s="144">
        <v>1</v>
      </c>
      <c r="L374" s="178">
        <v>288052.86</v>
      </c>
      <c r="M374" s="176">
        <v>0.3</v>
      </c>
      <c r="N374" s="178">
        <f>IFERROR(Tabela225[[#This Row],[VALOR  (R$)]]/Tabela225[[#This Row],[PRAZO
EXECUÇÃO]],0)</f>
        <v>288052.86</v>
      </c>
      <c r="O374" s="194" t="s">
        <v>599</v>
      </c>
      <c r="P374" s="145">
        <v>46237</v>
      </c>
      <c r="Q374" s="146">
        <v>15915</v>
      </c>
      <c r="R374" s="146"/>
      <c r="S374" s="145"/>
      <c r="T374" s="146" t="s">
        <v>1042</v>
      </c>
      <c r="U374" s="132"/>
    </row>
    <row r="375" spans="1:21">
      <c r="A375" s="144">
        <v>361</v>
      </c>
      <c r="B375" s="145">
        <v>46217</v>
      </c>
      <c r="C375" s="197" t="s">
        <v>1596</v>
      </c>
      <c r="D375" s="146" t="s">
        <v>486</v>
      </c>
      <c r="E375" s="146" t="s">
        <v>584</v>
      </c>
      <c r="F375" s="146" t="s">
        <v>785</v>
      </c>
      <c r="G375" s="146" t="s">
        <v>1597</v>
      </c>
      <c r="H375" s="146" t="s">
        <v>520</v>
      </c>
      <c r="I375" s="145">
        <v>46217</v>
      </c>
      <c r="J375" s="145">
        <v>46217</v>
      </c>
      <c r="K375" s="144">
        <v>1</v>
      </c>
      <c r="L375" s="178">
        <v>26900</v>
      </c>
      <c r="M375" s="176">
        <v>0.25</v>
      </c>
      <c r="N375" s="178">
        <f>IFERROR(Tabela225[[#This Row],[VALOR  (R$)]]/Tabela225[[#This Row],[PRAZO
EXECUÇÃO]],0)</f>
        <v>26900</v>
      </c>
      <c r="O375" s="194" t="s">
        <v>504</v>
      </c>
      <c r="P375" s="145"/>
      <c r="Q375" s="146"/>
      <c r="R375" s="146"/>
      <c r="S375" s="145"/>
      <c r="T375" s="146"/>
      <c r="U375" s="132"/>
    </row>
    <row r="376" spans="1:21">
      <c r="A376" s="144">
        <v>362</v>
      </c>
      <c r="B376" s="145">
        <v>46217</v>
      </c>
      <c r="C376" s="197" t="s">
        <v>1598</v>
      </c>
      <c r="D376" s="146" t="s">
        <v>1599</v>
      </c>
      <c r="E376" s="146" t="s">
        <v>495</v>
      </c>
      <c r="F376" s="146" t="s">
        <v>977</v>
      </c>
      <c r="G376" s="146" t="s">
        <v>1600</v>
      </c>
      <c r="H376" s="146" t="s">
        <v>520</v>
      </c>
      <c r="I376" s="145">
        <v>46217</v>
      </c>
      <c r="J376" s="145">
        <v>46217</v>
      </c>
      <c r="K376" s="144">
        <v>6</v>
      </c>
      <c r="L376" s="178">
        <v>59400</v>
      </c>
      <c r="M376" s="176">
        <v>0.25</v>
      </c>
      <c r="N376" s="178">
        <f>IFERROR(Tabela225[[#This Row],[VALOR  (R$)]]/Tabela225[[#This Row],[PRAZO
EXECUÇÃO]],0)</f>
        <v>9900</v>
      </c>
      <c r="O376" s="194" t="s">
        <v>504</v>
      </c>
      <c r="P376" s="145"/>
      <c r="Q376" s="146"/>
      <c r="R376" s="146"/>
      <c r="S376" s="145"/>
      <c r="T376" s="146"/>
      <c r="U376" s="132"/>
    </row>
    <row r="377" spans="1:21">
      <c r="A377" s="144">
        <v>363</v>
      </c>
      <c r="B377" s="145">
        <v>46217</v>
      </c>
      <c r="C377" s="197" t="s">
        <v>1601</v>
      </c>
      <c r="D377" s="146" t="s">
        <v>535</v>
      </c>
      <c r="E377" s="146" t="s">
        <v>495</v>
      </c>
      <c r="F377" s="146" t="s">
        <v>1602</v>
      </c>
      <c r="G377" s="146" t="s">
        <v>1603</v>
      </c>
      <c r="H377" s="146" t="s">
        <v>520</v>
      </c>
      <c r="I377" s="145">
        <v>46219</v>
      </c>
      <c r="J377" s="145">
        <v>46225</v>
      </c>
      <c r="K377" s="144">
        <v>2</v>
      </c>
      <c r="L377" s="178">
        <v>31620</v>
      </c>
      <c r="M377" s="176">
        <v>0.22</v>
      </c>
      <c r="N377" s="178">
        <f>IFERROR(Tabela225[[#This Row],[VALOR  (R$)]]/Tabela225[[#This Row],[PRAZO
EXECUÇÃO]],0)</f>
        <v>15810</v>
      </c>
      <c r="O377" s="194" t="s">
        <v>559</v>
      </c>
      <c r="P377" s="145"/>
      <c r="Q377" s="146"/>
      <c r="R377" s="146"/>
      <c r="S377" s="145"/>
      <c r="T377" s="146"/>
      <c r="U377" s="132"/>
    </row>
    <row r="378" spans="1:21">
      <c r="A378" s="144">
        <v>364</v>
      </c>
      <c r="B378" s="145">
        <v>46218</v>
      </c>
      <c r="C378" s="197" t="s">
        <v>1604</v>
      </c>
      <c r="D378" s="146" t="s">
        <v>486</v>
      </c>
      <c r="E378" s="146" t="s">
        <v>584</v>
      </c>
      <c r="F378" s="146" t="s">
        <v>1605</v>
      </c>
      <c r="G378" s="146" t="s">
        <v>1606</v>
      </c>
      <c r="H378" s="146" t="s">
        <v>520</v>
      </c>
      <c r="I378" s="145">
        <v>46218</v>
      </c>
      <c r="J378" s="145">
        <v>46219</v>
      </c>
      <c r="K378" s="144">
        <f>18*3</f>
        <v>54</v>
      </c>
      <c r="L378" s="178">
        <f>198200*3</f>
        <v>594600</v>
      </c>
      <c r="M378" s="176">
        <v>0.22</v>
      </c>
      <c r="N378" s="178">
        <f>IFERROR(Tabela225[[#This Row],[VALOR  (R$)]]/Tabela225[[#This Row],[PRAZO
EXECUÇÃO]],0)</f>
        <v>11011.111111111111</v>
      </c>
      <c r="O378" s="194" t="s">
        <v>504</v>
      </c>
      <c r="P378" s="145"/>
      <c r="Q378" s="146"/>
      <c r="R378" s="145">
        <v>46258</v>
      </c>
      <c r="S378" s="145"/>
      <c r="T378" s="146"/>
      <c r="U378" s="132"/>
    </row>
    <row r="379" spans="1:21">
      <c r="A379" s="144">
        <v>365</v>
      </c>
      <c r="B379" s="145">
        <v>46218</v>
      </c>
      <c r="C379" s="197" t="s">
        <v>1607</v>
      </c>
      <c r="D379" s="146" t="s">
        <v>469</v>
      </c>
      <c r="E379" s="146" t="s">
        <v>584</v>
      </c>
      <c r="F379" s="146" t="s">
        <v>1608</v>
      </c>
      <c r="G379" s="146" t="s">
        <v>693</v>
      </c>
      <c r="H379" s="146" t="s">
        <v>520</v>
      </c>
      <c r="I379" s="145">
        <v>46216</v>
      </c>
      <c r="J379" s="145"/>
      <c r="K379" s="144"/>
      <c r="L379" s="178"/>
      <c r="M379" s="176"/>
      <c r="N379" s="178">
        <f>IFERROR(Tabela225[[#This Row],[VALOR  (R$)]]/Tabela225[[#This Row],[PRAZO
EXECUÇÃO]],0)</f>
        <v>0</v>
      </c>
      <c r="O379" s="194" t="s">
        <v>525</v>
      </c>
      <c r="P379" s="145"/>
      <c r="Q379" s="146"/>
      <c r="R379" s="146"/>
      <c r="S379" s="145"/>
      <c r="T379" s="146"/>
      <c r="U379" s="132"/>
    </row>
    <row r="380" spans="1:21">
      <c r="A380" s="144">
        <v>366</v>
      </c>
      <c r="B380" s="145">
        <v>46218</v>
      </c>
      <c r="C380" s="197" t="s">
        <v>1609</v>
      </c>
      <c r="D380" s="146" t="s">
        <v>563</v>
      </c>
      <c r="E380" s="146" t="s">
        <v>495</v>
      </c>
      <c r="F380" s="146" t="s">
        <v>1610</v>
      </c>
      <c r="G380" s="146" t="s">
        <v>1611</v>
      </c>
      <c r="H380" s="146" t="s">
        <v>520</v>
      </c>
      <c r="I380" s="145">
        <v>46220</v>
      </c>
      <c r="J380" s="145"/>
      <c r="K380" s="144"/>
      <c r="L380" s="178"/>
      <c r="M380" s="176"/>
      <c r="N380" s="178">
        <f>IFERROR(Tabela225[[#This Row],[VALOR  (R$)]]/Tabela225[[#This Row],[PRAZO
EXECUÇÃO]],0)</f>
        <v>0</v>
      </c>
      <c r="O380" s="194" t="s">
        <v>504</v>
      </c>
      <c r="P380" s="145"/>
      <c r="Q380" s="146"/>
      <c r="R380" s="146"/>
      <c r="S380" s="145"/>
      <c r="T380" s="146"/>
      <c r="U380" s="132"/>
    </row>
    <row r="381" spans="1:21">
      <c r="A381" s="144">
        <v>367</v>
      </c>
      <c r="B381" s="145">
        <v>46219</v>
      </c>
      <c r="C381" s="197" t="s">
        <v>1612</v>
      </c>
      <c r="D381" s="146" t="s">
        <v>486</v>
      </c>
      <c r="E381" s="146" t="s">
        <v>584</v>
      </c>
      <c r="F381" s="146" t="s">
        <v>837</v>
      </c>
      <c r="G381" s="146" t="s">
        <v>1614</v>
      </c>
      <c r="H381" s="146" t="s">
        <v>520</v>
      </c>
      <c r="I381" s="145">
        <v>46219</v>
      </c>
      <c r="J381" s="145">
        <v>46220</v>
      </c>
      <c r="K381" s="144">
        <v>12</v>
      </c>
      <c r="L381" s="178">
        <v>192240</v>
      </c>
      <c r="M381" s="176">
        <v>0.25</v>
      </c>
      <c r="N381" s="178">
        <f>IFERROR(Tabela225[[#This Row],[VALOR  (R$)]]/Tabela225[[#This Row],[PRAZO
EXECUÇÃO]],0)</f>
        <v>16020</v>
      </c>
      <c r="O381" s="194" t="s">
        <v>504</v>
      </c>
      <c r="P381" s="145"/>
      <c r="Q381" s="146"/>
      <c r="R381" s="146"/>
      <c r="S381" s="145"/>
      <c r="T381" s="146"/>
      <c r="U381" s="132"/>
    </row>
    <row r="382" spans="1:21">
      <c r="A382" s="144">
        <v>368</v>
      </c>
      <c r="B382" s="145">
        <v>46219</v>
      </c>
      <c r="C382" s="197" t="s">
        <v>1613</v>
      </c>
      <c r="D382" s="146" t="s">
        <v>486</v>
      </c>
      <c r="E382" s="146" t="s">
        <v>584</v>
      </c>
      <c r="F382" s="146" t="s">
        <v>980</v>
      </c>
      <c r="G382" s="146" t="s">
        <v>693</v>
      </c>
      <c r="H382" s="146" t="s">
        <v>520</v>
      </c>
      <c r="I382" s="145">
        <v>46219</v>
      </c>
      <c r="J382" s="145">
        <v>46220</v>
      </c>
      <c r="K382" s="144">
        <v>10</v>
      </c>
      <c r="L382" s="178">
        <v>169700</v>
      </c>
      <c r="M382" s="176">
        <v>0.27</v>
      </c>
      <c r="N382" s="178">
        <f>IFERROR(Tabela225[[#This Row],[VALOR  (R$)]]/Tabela225[[#This Row],[PRAZO
EXECUÇÃO]],0)</f>
        <v>16970</v>
      </c>
      <c r="O382" s="194" t="s">
        <v>504</v>
      </c>
      <c r="P382" s="145"/>
      <c r="Q382" s="146"/>
      <c r="R382" s="146"/>
      <c r="S382" s="145"/>
      <c r="T382" s="146"/>
      <c r="U382" s="132"/>
    </row>
    <row r="383" spans="1:21">
      <c r="A383" s="144">
        <v>369</v>
      </c>
      <c r="B383" s="145">
        <v>46219</v>
      </c>
      <c r="C383" s="197" t="s">
        <v>1615</v>
      </c>
      <c r="D383" s="146" t="s">
        <v>1616</v>
      </c>
      <c r="E383" s="146" t="s">
        <v>495</v>
      </c>
      <c r="F383" s="146" t="s">
        <v>876</v>
      </c>
      <c r="G383" s="146" t="s">
        <v>1617</v>
      </c>
      <c r="H383" s="146" t="s">
        <v>520</v>
      </c>
      <c r="I383" s="145">
        <v>46219</v>
      </c>
      <c r="J383" s="145">
        <v>46219</v>
      </c>
      <c r="K383" s="144">
        <v>2</v>
      </c>
      <c r="L383" s="178">
        <v>43695</v>
      </c>
      <c r="M383" s="176">
        <v>0.3</v>
      </c>
      <c r="N383" s="178">
        <f>IFERROR(Tabela225[[#This Row],[VALOR  (R$)]]/Tabela225[[#This Row],[PRAZO
EXECUÇÃO]],0)</f>
        <v>21847.5</v>
      </c>
      <c r="O383" s="194" t="s">
        <v>504</v>
      </c>
      <c r="P383" s="145"/>
      <c r="Q383" s="146"/>
      <c r="R383" s="146"/>
      <c r="S383" s="145"/>
      <c r="T383" s="146"/>
      <c r="U383" s="132"/>
    </row>
    <row r="384" spans="1:21">
      <c r="A384" s="144">
        <v>370</v>
      </c>
      <c r="B384" s="145">
        <v>46219</v>
      </c>
      <c r="C384" s="197" t="s">
        <v>1618</v>
      </c>
      <c r="D384" s="146" t="s">
        <v>1619</v>
      </c>
      <c r="E384" s="146" t="s">
        <v>495</v>
      </c>
      <c r="F384" s="146" t="s">
        <v>1620</v>
      </c>
      <c r="G384" s="146" t="s">
        <v>1621</v>
      </c>
      <c r="H384" s="146" t="s">
        <v>520</v>
      </c>
      <c r="I384" s="145">
        <v>46219</v>
      </c>
      <c r="J384" s="145">
        <v>46219</v>
      </c>
      <c r="K384" s="144">
        <v>10</v>
      </c>
      <c r="L384" s="178">
        <f>146120+648155</f>
        <v>794275</v>
      </c>
      <c r="M384" s="176">
        <v>0.3</v>
      </c>
      <c r="N384" s="178">
        <f>IFERROR(Tabela225[[#This Row],[VALOR  (R$)]]/Tabela225[[#This Row],[PRAZO
EXECUÇÃO]],0)</f>
        <v>79427.5</v>
      </c>
      <c r="O384" s="194" t="s">
        <v>504</v>
      </c>
      <c r="P384" s="145"/>
      <c r="Q384" s="146"/>
      <c r="R384" s="146"/>
      <c r="S384" s="145"/>
      <c r="T384" s="146"/>
      <c r="U384" s="132"/>
    </row>
    <row r="385" spans="1:21">
      <c r="A385" s="144">
        <v>371</v>
      </c>
      <c r="B385" s="145">
        <v>46219</v>
      </c>
      <c r="C385" s="197" t="s">
        <v>1622</v>
      </c>
      <c r="D385" s="146" t="s">
        <v>1623</v>
      </c>
      <c r="E385" s="146" t="s">
        <v>495</v>
      </c>
      <c r="F385" s="146" t="s">
        <v>1624</v>
      </c>
      <c r="G385" s="146" t="s">
        <v>1625</v>
      </c>
      <c r="H385" s="146" t="s">
        <v>520</v>
      </c>
      <c r="I385" s="145">
        <v>46219</v>
      </c>
      <c r="J385" s="145">
        <v>46219</v>
      </c>
      <c r="K385" s="144">
        <v>1</v>
      </c>
      <c r="L385" s="178">
        <v>8900</v>
      </c>
      <c r="M385" s="176">
        <v>0.2</v>
      </c>
      <c r="N385" s="178">
        <f>IFERROR(Tabela225[[#This Row],[VALOR  (R$)]]/Tabela225[[#This Row],[PRAZO
EXECUÇÃO]],0)</f>
        <v>8900</v>
      </c>
      <c r="O385" s="194" t="s">
        <v>559</v>
      </c>
      <c r="P385" s="145"/>
      <c r="Q385" s="146"/>
      <c r="R385" s="146"/>
      <c r="S385" s="145"/>
      <c r="T385" s="146"/>
      <c r="U385" s="132"/>
    </row>
    <row r="386" spans="1:21">
      <c r="A386" s="144">
        <v>372</v>
      </c>
      <c r="B386" s="145">
        <v>46220</v>
      </c>
      <c r="C386" s="197" t="s">
        <v>1626</v>
      </c>
      <c r="D386" s="146" t="s">
        <v>1627</v>
      </c>
      <c r="E386" s="146" t="s">
        <v>495</v>
      </c>
      <c r="F386" s="146" t="s">
        <v>1628</v>
      </c>
      <c r="G386" s="146" t="s">
        <v>1629</v>
      </c>
      <c r="H386" s="146" t="s">
        <v>520</v>
      </c>
      <c r="I386" s="145">
        <v>46225</v>
      </c>
      <c r="J386" s="145">
        <v>46225</v>
      </c>
      <c r="K386" s="144">
        <f>8*4</f>
        <v>32</v>
      </c>
      <c r="L386" s="178">
        <f>124360*4</f>
        <v>497440</v>
      </c>
      <c r="M386" s="176">
        <v>0.25</v>
      </c>
      <c r="N386" s="178">
        <f>IFERROR(Tabela225[[#This Row],[VALOR  (R$)]]/Tabela225[[#This Row],[PRAZO
EXECUÇÃO]],0)</f>
        <v>15545</v>
      </c>
      <c r="O386" s="194" t="s">
        <v>504</v>
      </c>
      <c r="P386" s="145"/>
      <c r="Q386" s="146"/>
      <c r="R386" s="146"/>
      <c r="S386" s="145"/>
      <c r="T386" s="146"/>
      <c r="U386" s="132"/>
    </row>
    <row r="387" spans="1:21">
      <c r="A387" s="144">
        <v>373</v>
      </c>
      <c r="B387" s="145">
        <v>46223</v>
      </c>
      <c r="C387" s="197" t="s">
        <v>1630</v>
      </c>
      <c r="D387" s="146" t="s">
        <v>486</v>
      </c>
      <c r="E387" s="146" t="s">
        <v>584</v>
      </c>
      <c r="F387" s="146" t="s">
        <v>1631</v>
      </c>
      <c r="G387" s="146" t="s">
        <v>838</v>
      </c>
      <c r="H387" s="146" t="s">
        <v>520</v>
      </c>
      <c r="I387" s="145">
        <v>46223</v>
      </c>
      <c r="J387" s="145">
        <v>46224</v>
      </c>
      <c r="K387" s="144">
        <v>15</v>
      </c>
      <c r="L387" s="178">
        <v>234280</v>
      </c>
      <c r="M387" s="176">
        <v>0.25</v>
      </c>
      <c r="N387" s="178">
        <f>IFERROR(Tabela225[[#This Row],[VALOR  (R$)]]/Tabela225[[#This Row],[PRAZO
EXECUÇÃO]],0)</f>
        <v>15618.666666666666</v>
      </c>
      <c r="O387" s="194" t="s">
        <v>504</v>
      </c>
      <c r="P387" s="145"/>
      <c r="Q387" s="146"/>
      <c r="R387" s="146"/>
      <c r="S387" s="145"/>
      <c r="T387" s="146"/>
      <c r="U387" s="132"/>
    </row>
    <row r="388" spans="1:21">
      <c r="A388" s="144">
        <v>374</v>
      </c>
      <c r="B388" s="145">
        <v>46223</v>
      </c>
      <c r="C388" s="197" t="s">
        <v>1632</v>
      </c>
      <c r="D388" s="146" t="s">
        <v>486</v>
      </c>
      <c r="E388" s="146" t="s">
        <v>584</v>
      </c>
      <c r="F388" s="146" t="s">
        <v>967</v>
      </c>
      <c r="G388" s="146" t="s">
        <v>838</v>
      </c>
      <c r="H388" s="146" t="s">
        <v>520</v>
      </c>
      <c r="I388" s="145">
        <v>46223</v>
      </c>
      <c r="J388" s="145">
        <v>46224</v>
      </c>
      <c r="K388" s="144">
        <v>18</v>
      </c>
      <c r="L388" s="178">
        <v>274310</v>
      </c>
      <c r="M388" s="176">
        <v>0.25</v>
      </c>
      <c r="N388" s="178">
        <f>IFERROR(Tabela225[[#This Row],[VALOR  (R$)]]/Tabela225[[#This Row],[PRAZO
EXECUÇÃO]],0)</f>
        <v>15239.444444444445</v>
      </c>
      <c r="O388" s="194" t="s">
        <v>504</v>
      </c>
      <c r="P388" s="145"/>
      <c r="Q388" s="146"/>
      <c r="R388" s="146"/>
      <c r="S388" s="145"/>
      <c r="T388" s="146"/>
      <c r="U388" s="132"/>
    </row>
    <row r="389" spans="1:21">
      <c r="A389" s="144">
        <v>375</v>
      </c>
      <c r="B389" s="145">
        <v>46223</v>
      </c>
      <c r="C389" s="197" t="s">
        <v>1633</v>
      </c>
      <c r="D389" s="146" t="s">
        <v>486</v>
      </c>
      <c r="E389" s="146" t="s">
        <v>584</v>
      </c>
      <c r="F389" s="146" t="s">
        <v>1634</v>
      </c>
      <c r="G389" s="146" t="s">
        <v>1635</v>
      </c>
      <c r="H389" s="146" t="s">
        <v>520</v>
      </c>
      <c r="I389" s="145">
        <v>46224</v>
      </c>
      <c r="J389" s="145">
        <v>46224</v>
      </c>
      <c r="K389" s="144">
        <v>10</v>
      </c>
      <c r="L389" s="178">
        <v>179900</v>
      </c>
      <c r="M389" s="176">
        <v>0.28000000000000003</v>
      </c>
      <c r="N389" s="178">
        <f>IFERROR(Tabela225[[#This Row],[VALOR  (R$)]]/Tabela225[[#This Row],[PRAZO
EXECUÇÃO]],0)</f>
        <v>17990</v>
      </c>
      <c r="O389" s="194" t="s">
        <v>504</v>
      </c>
      <c r="P389" s="145"/>
      <c r="Q389" s="146"/>
      <c r="R389" s="146"/>
      <c r="S389" s="145"/>
      <c r="T389" s="146"/>
      <c r="U389" s="132"/>
    </row>
    <row r="390" spans="1:21">
      <c r="A390" s="144">
        <v>376</v>
      </c>
      <c r="B390" s="145">
        <v>46223</v>
      </c>
      <c r="C390" s="197" t="s">
        <v>1636</v>
      </c>
      <c r="D390" s="146" t="s">
        <v>486</v>
      </c>
      <c r="E390" s="146" t="s">
        <v>584</v>
      </c>
      <c r="F390" s="146" t="s">
        <v>1637</v>
      </c>
      <c r="G390" s="146" t="s">
        <v>1635</v>
      </c>
      <c r="H390" s="146" t="s">
        <v>520</v>
      </c>
      <c r="I390" s="145">
        <v>46224</v>
      </c>
      <c r="J390" s="145">
        <v>46224</v>
      </c>
      <c r="K390" s="144">
        <v>10</v>
      </c>
      <c r="L390" s="178">
        <v>179900</v>
      </c>
      <c r="M390" s="176">
        <v>0.28000000000000003</v>
      </c>
      <c r="N390" s="178">
        <f>IFERROR(Tabela225[[#This Row],[VALOR  (R$)]]/Tabela225[[#This Row],[PRAZO
EXECUÇÃO]],0)</f>
        <v>17990</v>
      </c>
      <c r="O390" s="194" t="s">
        <v>504</v>
      </c>
      <c r="P390" s="145"/>
      <c r="Q390" s="146"/>
      <c r="R390" s="146"/>
      <c r="S390" s="145"/>
      <c r="T390" s="146"/>
      <c r="U390" s="132"/>
    </row>
    <row r="391" spans="1:21">
      <c r="A391" s="144">
        <v>377</v>
      </c>
      <c r="B391" s="145">
        <v>46223</v>
      </c>
      <c r="C391" s="197" t="s">
        <v>1638</v>
      </c>
      <c r="D391" s="146" t="s">
        <v>486</v>
      </c>
      <c r="E391" s="146" t="s">
        <v>584</v>
      </c>
      <c r="F391" s="146" t="s">
        <v>1639</v>
      </c>
      <c r="G391" s="146" t="s">
        <v>1640</v>
      </c>
      <c r="H391" s="146" t="s">
        <v>520</v>
      </c>
      <c r="I391" s="145">
        <v>46224</v>
      </c>
      <c r="J391" s="145">
        <v>46224</v>
      </c>
      <c r="K391" s="144">
        <v>14</v>
      </c>
      <c r="L391" s="178">
        <v>269900</v>
      </c>
      <c r="M391" s="176">
        <v>0.25</v>
      </c>
      <c r="N391" s="178">
        <f>IFERROR(Tabela225[[#This Row],[VALOR  (R$)]]/Tabela225[[#This Row],[PRAZO
EXECUÇÃO]],0)</f>
        <v>19278.571428571428</v>
      </c>
      <c r="O391" s="194" t="s">
        <v>504</v>
      </c>
      <c r="P391" s="145"/>
      <c r="Q391" s="146"/>
      <c r="R391" s="146"/>
      <c r="S391" s="145"/>
      <c r="T391" s="146"/>
      <c r="U391" s="132"/>
    </row>
    <row r="392" spans="1:21">
      <c r="A392" s="144">
        <v>378</v>
      </c>
      <c r="B392" s="145">
        <v>46223</v>
      </c>
      <c r="C392" s="197" t="s">
        <v>1641</v>
      </c>
      <c r="D392" s="146" t="s">
        <v>1213</v>
      </c>
      <c r="E392" s="146" t="s">
        <v>495</v>
      </c>
      <c r="F392" s="146" t="s">
        <v>907</v>
      </c>
      <c r="G392" s="146" t="s">
        <v>1642</v>
      </c>
      <c r="H392" s="146" t="s">
        <v>520</v>
      </c>
      <c r="I392" s="145">
        <v>46223</v>
      </c>
      <c r="J392" s="145">
        <v>46223</v>
      </c>
      <c r="K392" s="144">
        <v>30</v>
      </c>
      <c r="L392" s="178">
        <v>319252</v>
      </c>
      <c r="M392" s="176">
        <v>0.23</v>
      </c>
      <c r="N392" s="178">
        <f>IFERROR(Tabela225[[#This Row],[VALOR  (R$)]]/Tabela225[[#This Row],[PRAZO
EXECUÇÃO]],0)</f>
        <v>10641.733333333334</v>
      </c>
      <c r="O392" s="194" t="s">
        <v>559</v>
      </c>
      <c r="P392" s="145"/>
      <c r="Q392" s="146"/>
      <c r="R392" s="146"/>
      <c r="S392" s="145"/>
      <c r="T392" s="146"/>
      <c r="U392" s="132"/>
    </row>
    <row r="393" spans="1:21">
      <c r="A393" s="144">
        <v>379</v>
      </c>
      <c r="B393" s="145">
        <v>46223</v>
      </c>
      <c r="C393" s="197" t="s">
        <v>1643</v>
      </c>
      <c r="D393" s="146" t="s">
        <v>469</v>
      </c>
      <c r="E393" s="146" t="s">
        <v>584</v>
      </c>
      <c r="F393" s="146" t="s">
        <v>1542</v>
      </c>
      <c r="G393" s="146" t="s">
        <v>1644</v>
      </c>
      <c r="H393" s="146" t="s">
        <v>520</v>
      </c>
      <c r="I393" s="145">
        <v>46227</v>
      </c>
      <c r="J393" s="145">
        <v>46227</v>
      </c>
      <c r="K393" s="144">
        <v>11</v>
      </c>
      <c r="L393" s="178">
        <v>181267</v>
      </c>
      <c r="M393" s="176">
        <v>0.25</v>
      </c>
      <c r="N393" s="178">
        <f>IFERROR(Tabela225[[#This Row],[VALOR  (R$)]]/Tabela225[[#This Row],[PRAZO
EXECUÇÃO]],0)</f>
        <v>16478.81818181818</v>
      </c>
      <c r="O393" s="194" t="s">
        <v>656</v>
      </c>
      <c r="P393" s="145"/>
      <c r="Q393" s="146"/>
      <c r="R393" s="146"/>
      <c r="S393" s="145"/>
      <c r="T393" s="146"/>
      <c r="U393" s="132"/>
    </row>
    <row r="394" spans="1:21">
      <c r="A394" s="144">
        <v>380</v>
      </c>
      <c r="B394" s="145">
        <v>46223</v>
      </c>
      <c r="C394" s="197" t="s">
        <v>1645</v>
      </c>
      <c r="D394" s="146" t="s">
        <v>1646</v>
      </c>
      <c r="E394" s="146" t="s">
        <v>495</v>
      </c>
      <c r="F394" s="146" t="s">
        <v>1647</v>
      </c>
      <c r="G394" s="146" t="s">
        <v>1655</v>
      </c>
      <c r="H394" s="146" t="s">
        <v>520</v>
      </c>
      <c r="I394" s="145">
        <v>46223</v>
      </c>
      <c r="J394" s="145">
        <v>46223</v>
      </c>
      <c r="K394" s="144">
        <v>24</v>
      </c>
      <c r="L394" s="178">
        <v>563250</v>
      </c>
      <c r="M394" s="176">
        <v>0.25</v>
      </c>
      <c r="N394" s="178">
        <f>IFERROR(Tabela225[[#This Row],[VALOR  (R$)]]/Tabela225[[#This Row],[PRAZO
EXECUÇÃO]],0)</f>
        <v>23468.75</v>
      </c>
      <c r="O394" s="194" t="s">
        <v>504</v>
      </c>
      <c r="P394" s="145"/>
      <c r="Q394" s="146"/>
      <c r="R394" s="146"/>
      <c r="S394" s="145"/>
      <c r="T394" s="146"/>
      <c r="U394" s="132"/>
    </row>
    <row r="395" spans="1:21">
      <c r="A395" s="144">
        <v>381</v>
      </c>
      <c r="B395" s="145">
        <v>46223</v>
      </c>
      <c r="C395" s="197" t="s">
        <v>1648</v>
      </c>
      <c r="D395" s="146" t="s">
        <v>469</v>
      </c>
      <c r="E395" s="146" t="s">
        <v>584</v>
      </c>
      <c r="F395" s="146" t="s">
        <v>706</v>
      </c>
      <c r="G395" s="146" t="s">
        <v>1649</v>
      </c>
      <c r="H395" s="146" t="s">
        <v>520</v>
      </c>
      <c r="I395" s="145">
        <v>46227</v>
      </c>
      <c r="J395" s="145">
        <v>46227</v>
      </c>
      <c r="K395" s="144">
        <v>50</v>
      </c>
      <c r="L395" s="178">
        <v>675700</v>
      </c>
      <c r="M395" s="176">
        <v>0.25</v>
      </c>
      <c r="N395" s="178">
        <f>IFERROR(Tabela225[[#This Row],[VALOR  (R$)]]/Tabela225[[#This Row],[PRAZO
EXECUÇÃO]],0)</f>
        <v>13514</v>
      </c>
      <c r="O395" s="194" t="s">
        <v>656</v>
      </c>
      <c r="P395" s="145"/>
      <c r="Q395" s="146"/>
      <c r="R395" s="146"/>
      <c r="S395" s="145"/>
      <c r="T395" s="146"/>
      <c r="U395" s="132"/>
    </row>
    <row r="396" spans="1:21">
      <c r="A396" s="144">
        <v>382</v>
      </c>
      <c r="B396" s="145">
        <v>46223</v>
      </c>
      <c r="C396" s="197" t="s">
        <v>1650</v>
      </c>
      <c r="D396" s="146" t="s">
        <v>469</v>
      </c>
      <c r="E396" s="146" t="s">
        <v>584</v>
      </c>
      <c r="F396" s="146" t="s">
        <v>1651</v>
      </c>
      <c r="G396" s="146" t="s">
        <v>1652</v>
      </c>
      <c r="H396" s="146" t="s">
        <v>520</v>
      </c>
      <c r="I396" s="145">
        <v>46227</v>
      </c>
      <c r="J396" s="145">
        <v>46227</v>
      </c>
      <c r="K396" s="144">
        <v>32</v>
      </c>
      <c r="L396" s="178">
        <v>469190</v>
      </c>
      <c r="M396" s="176">
        <v>0.25</v>
      </c>
      <c r="N396" s="178">
        <f>IFERROR(Tabela225[[#This Row],[VALOR  (R$)]]/Tabela225[[#This Row],[PRAZO
EXECUÇÃO]],0)</f>
        <v>14662.1875</v>
      </c>
      <c r="O396" s="194" t="s">
        <v>656</v>
      </c>
      <c r="P396" s="145"/>
      <c r="Q396" s="146"/>
      <c r="R396" s="146"/>
      <c r="S396" s="145"/>
      <c r="T396" s="146"/>
      <c r="U396" s="132"/>
    </row>
    <row r="397" spans="1:21">
      <c r="A397" s="144">
        <v>383</v>
      </c>
      <c r="B397" s="145">
        <v>46223</v>
      </c>
      <c r="C397" s="197" t="s">
        <v>1653</v>
      </c>
      <c r="D397" s="146" t="s">
        <v>1646</v>
      </c>
      <c r="E397" s="146" t="s">
        <v>495</v>
      </c>
      <c r="F397" s="146" t="s">
        <v>1647</v>
      </c>
      <c r="G397" s="146" t="s">
        <v>1654</v>
      </c>
      <c r="H397" s="146" t="s">
        <v>520</v>
      </c>
      <c r="I397" s="145">
        <v>46223</v>
      </c>
      <c r="J397" s="145">
        <v>46224</v>
      </c>
      <c r="K397" s="144">
        <v>24</v>
      </c>
      <c r="L397" s="178">
        <v>563250</v>
      </c>
      <c r="M397" s="176">
        <v>0.25</v>
      </c>
      <c r="N397" s="178">
        <f>IFERROR(Tabela225[[#This Row],[VALOR  (R$)]]/Tabela225[[#This Row],[PRAZO
EXECUÇÃO]],0)</f>
        <v>23468.75</v>
      </c>
      <c r="O397" s="194" t="s">
        <v>504</v>
      </c>
      <c r="P397" s="145"/>
      <c r="Q397" s="146"/>
      <c r="R397" s="146"/>
      <c r="S397" s="145"/>
      <c r="T397" s="146"/>
      <c r="U397" s="132"/>
    </row>
    <row r="398" spans="1:21">
      <c r="A398" s="144">
        <v>384</v>
      </c>
      <c r="B398" s="145">
        <v>46225</v>
      </c>
      <c r="C398" s="197" t="s">
        <v>1656</v>
      </c>
      <c r="D398" s="146" t="s">
        <v>1702</v>
      </c>
      <c r="E398" s="146" t="s">
        <v>495</v>
      </c>
      <c r="F398" s="146" t="s">
        <v>814</v>
      </c>
      <c r="G398" s="146" t="s">
        <v>1657</v>
      </c>
      <c r="H398" s="146" t="s">
        <v>520</v>
      </c>
      <c r="I398" s="145">
        <v>46225</v>
      </c>
      <c r="J398" s="145">
        <v>46225</v>
      </c>
      <c r="K398" s="144">
        <v>1</v>
      </c>
      <c r="L398" s="178">
        <v>25240</v>
      </c>
      <c r="M398" s="176">
        <v>0.3</v>
      </c>
      <c r="N398" s="178">
        <f>IFERROR(Tabela225[[#This Row],[VALOR  (R$)]]/Tabela225[[#This Row],[PRAZO
EXECUÇÃO]],0)</f>
        <v>25240</v>
      </c>
      <c r="O398" s="194" t="s">
        <v>504</v>
      </c>
      <c r="P398" s="145"/>
      <c r="Q398" s="146"/>
      <c r="R398" s="146"/>
      <c r="S398" s="145"/>
      <c r="T398" s="146"/>
      <c r="U398" s="132"/>
    </row>
    <row r="399" spans="1:21">
      <c r="A399" s="144">
        <v>385</v>
      </c>
      <c r="B399" s="145">
        <v>46225</v>
      </c>
      <c r="C399" s="145" t="s">
        <v>1662</v>
      </c>
      <c r="D399" s="146" t="s">
        <v>1661</v>
      </c>
      <c r="E399" s="146" t="s">
        <v>495</v>
      </c>
      <c r="F399" s="146" t="s">
        <v>1663</v>
      </c>
      <c r="G399" s="146" t="s">
        <v>1664</v>
      </c>
      <c r="H399" s="146" t="s">
        <v>520</v>
      </c>
      <c r="I399" s="145">
        <v>46227</v>
      </c>
      <c r="J399" s="145">
        <v>46233</v>
      </c>
      <c r="K399" s="144">
        <v>16</v>
      </c>
      <c r="L399" s="178">
        <v>2133990</v>
      </c>
      <c r="M399" s="176">
        <v>0.27</v>
      </c>
      <c r="N399" s="178">
        <f>IFERROR(Tabela225[[#This Row],[VALOR  (R$)]]/Tabela225[[#This Row],[PRAZO
EXECUÇÃO]],0)</f>
        <v>133374.375</v>
      </c>
      <c r="O399" s="194" t="s">
        <v>504</v>
      </c>
      <c r="P399" s="145"/>
      <c r="Q399" s="146"/>
      <c r="R399" s="146"/>
      <c r="S399" s="145"/>
      <c r="T399" s="146"/>
      <c r="U399" s="132"/>
    </row>
    <row r="400" spans="1:21">
      <c r="A400" s="144">
        <v>386</v>
      </c>
      <c r="B400" s="145">
        <v>46226</v>
      </c>
      <c r="C400" s="197" t="s">
        <v>1658</v>
      </c>
      <c r="D400" s="146" t="s">
        <v>1322</v>
      </c>
      <c r="E400" s="146" t="s">
        <v>495</v>
      </c>
      <c r="F400" s="146" t="s">
        <v>1323</v>
      </c>
      <c r="G400" s="201" t="s">
        <v>1659</v>
      </c>
      <c r="H400" s="146" t="s">
        <v>520</v>
      </c>
      <c r="I400" s="145">
        <v>46231</v>
      </c>
      <c r="J400" s="145">
        <v>46241</v>
      </c>
      <c r="K400" s="144">
        <v>6</v>
      </c>
      <c r="L400" s="178">
        <v>122120</v>
      </c>
      <c r="M400" s="176">
        <v>0.3</v>
      </c>
      <c r="N400" s="178">
        <f>IFERROR(Tabela225[[#This Row],[VALOR  (R$)]]/Tabela225[[#This Row],[PRAZO
EXECUÇÃO]],0)</f>
        <v>20353.333333333332</v>
      </c>
      <c r="O400" s="194" t="s">
        <v>504</v>
      </c>
      <c r="P400" s="145"/>
      <c r="Q400" s="146"/>
      <c r="R400" s="146"/>
      <c r="S400" s="145"/>
      <c r="T400" s="146"/>
      <c r="U400" s="132"/>
    </row>
    <row r="401" spans="1:21">
      <c r="A401" s="144">
        <v>387</v>
      </c>
      <c r="B401" s="145">
        <v>46226</v>
      </c>
      <c r="C401" s="197" t="s">
        <v>1660</v>
      </c>
      <c r="D401" s="146" t="s">
        <v>1661</v>
      </c>
      <c r="E401" s="146" t="s">
        <v>495</v>
      </c>
      <c r="F401" s="146" t="s">
        <v>1605</v>
      </c>
      <c r="G401" s="146" t="s">
        <v>1665</v>
      </c>
      <c r="H401" s="146" t="s">
        <v>520</v>
      </c>
      <c r="I401" s="145">
        <v>46231</v>
      </c>
      <c r="J401" s="145">
        <v>46237</v>
      </c>
      <c r="K401" s="144">
        <f>(6*18)+(7*3)</f>
        <v>129</v>
      </c>
      <c r="L401" s="178">
        <v>2098260</v>
      </c>
      <c r="M401" s="176">
        <v>0.27</v>
      </c>
      <c r="N401" s="178">
        <f>IFERROR(Tabela225[[#This Row],[VALOR  (R$)]]/Tabela225[[#This Row],[PRAZO
EXECUÇÃO]],0)</f>
        <v>16265.581395348838</v>
      </c>
      <c r="O401" s="194" t="s">
        <v>504</v>
      </c>
      <c r="P401" s="145"/>
      <c r="Q401" s="146"/>
      <c r="R401" s="146"/>
      <c r="S401" s="145"/>
      <c r="T401" s="146"/>
      <c r="U401" s="132"/>
    </row>
    <row r="402" spans="1:21">
      <c r="A402" s="144">
        <v>388</v>
      </c>
      <c r="B402" s="145">
        <v>46227</v>
      </c>
      <c r="C402" s="197" t="s">
        <v>1666</v>
      </c>
      <c r="D402" s="146" t="s">
        <v>486</v>
      </c>
      <c r="E402" s="146" t="s">
        <v>584</v>
      </c>
      <c r="F402" s="146" t="s">
        <v>1624</v>
      </c>
      <c r="G402" s="146" t="s">
        <v>1667</v>
      </c>
      <c r="H402" s="146" t="s">
        <v>520</v>
      </c>
      <c r="I402" s="145">
        <v>46230</v>
      </c>
      <c r="J402" s="145">
        <v>46230</v>
      </c>
      <c r="K402" s="144">
        <v>34</v>
      </c>
      <c r="L402" s="178">
        <v>348540</v>
      </c>
      <c r="M402" s="176">
        <v>0.27</v>
      </c>
      <c r="N402" s="178">
        <f>IFERROR(Tabela225[[#This Row],[VALOR  (R$)]]/Tabela225[[#This Row],[PRAZO
EXECUÇÃO]],0)</f>
        <v>10251.176470588236</v>
      </c>
      <c r="O402" s="194" t="s">
        <v>504</v>
      </c>
      <c r="P402" s="145"/>
      <c r="Q402" s="146"/>
      <c r="R402" s="146"/>
      <c r="S402" s="145"/>
      <c r="T402" s="146"/>
      <c r="U402" s="132"/>
    </row>
    <row r="403" spans="1:21">
      <c r="A403" s="144">
        <v>389</v>
      </c>
      <c r="B403" s="145">
        <v>46227</v>
      </c>
      <c r="C403" s="197" t="s">
        <v>1668</v>
      </c>
      <c r="D403" s="146" t="s">
        <v>1669</v>
      </c>
      <c r="E403" s="146" t="s">
        <v>495</v>
      </c>
      <c r="F403" s="146" t="s">
        <v>1089</v>
      </c>
      <c r="G403" s="146" t="s">
        <v>1670</v>
      </c>
      <c r="H403" s="146" t="s">
        <v>520</v>
      </c>
      <c r="I403" s="145">
        <v>46227</v>
      </c>
      <c r="J403" s="145">
        <v>46227</v>
      </c>
      <c r="K403" s="144">
        <v>2</v>
      </c>
      <c r="L403" s="178">
        <v>48500</v>
      </c>
      <c r="M403" s="176">
        <v>0.25</v>
      </c>
      <c r="N403" s="178">
        <f>IFERROR(Tabela225[[#This Row],[VALOR  (R$)]]/Tabela225[[#This Row],[PRAZO
EXECUÇÃO]],0)</f>
        <v>24250</v>
      </c>
      <c r="O403" s="194" t="s">
        <v>599</v>
      </c>
      <c r="P403" s="145">
        <v>46274</v>
      </c>
      <c r="Q403" s="146"/>
      <c r="R403" s="146"/>
      <c r="S403" s="145"/>
      <c r="T403" s="146"/>
      <c r="U403" s="132"/>
    </row>
    <row r="404" spans="1:21">
      <c r="A404" s="144">
        <v>390</v>
      </c>
      <c r="B404" s="145">
        <v>46227</v>
      </c>
      <c r="C404" s="197" t="s">
        <v>1671</v>
      </c>
      <c r="D404" s="146" t="s">
        <v>486</v>
      </c>
      <c r="E404" s="146" t="s">
        <v>584</v>
      </c>
      <c r="F404" s="146" t="s">
        <v>983</v>
      </c>
      <c r="G404" s="146" t="s">
        <v>1672</v>
      </c>
      <c r="H404" s="146" t="s">
        <v>520</v>
      </c>
      <c r="I404" s="145">
        <v>46227</v>
      </c>
      <c r="J404" s="145">
        <v>46227</v>
      </c>
      <c r="K404" s="144">
        <v>20</v>
      </c>
      <c r="L404" s="178">
        <v>280000</v>
      </c>
      <c r="M404" s="176">
        <v>0.27</v>
      </c>
      <c r="N404" s="178">
        <f>IFERROR(Tabela225[[#This Row],[VALOR  (R$)]]/Tabela225[[#This Row],[PRAZO
EXECUÇÃO]],0)</f>
        <v>14000</v>
      </c>
      <c r="O404" s="194" t="s">
        <v>599</v>
      </c>
      <c r="P404" s="145">
        <v>46230</v>
      </c>
      <c r="Q404" s="146"/>
      <c r="R404" s="146"/>
      <c r="S404" s="145"/>
      <c r="T404" s="146" t="s">
        <v>1042</v>
      </c>
      <c r="U404" s="132"/>
    </row>
    <row r="405" spans="1:21">
      <c r="A405" s="144">
        <v>391</v>
      </c>
      <c r="B405" s="145">
        <v>46230</v>
      </c>
      <c r="C405" s="197" t="s">
        <v>1674</v>
      </c>
      <c r="D405" s="146" t="s">
        <v>1144</v>
      </c>
      <c r="E405" s="146" t="s">
        <v>495</v>
      </c>
      <c r="F405" s="146" t="s">
        <v>1145</v>
      </c>
      <c r="G405" s="146" t="s">
        <v>1673</v>
      </c>
      <c r="H405" s="146" t="s">
        <v>520</v>
      </c>
      <c r="I405" s="145">
        <v>46230</v>
      </c>
      <c r="J405" s="145">
        <v>46230</v>
      </c>
      <c r="K405" s="144">
        <v>2</v>
      </c>
      <c r="L405" s="178">
        <v>1770.02</v>
      </c>
      <c r="M405" s="176">
        <v>0.2</v>
      </c>
      <c r="N405" s="178">
        <f>IFERROR(Tabela225[[#This Row],[VALOR  (R$)]]/Tabela225[[#This Row],[PRAZO
EXECUÇÃO]],0)</f>
        <v>885.01</v>
      </c>
      <c r="O405" s="194" t="s">
        <v>599</v>
      </c>
      <c r="P405" s="145">
        <v>46233</v>
      </c>
      <c r="Q405" s="146"/>
      <c r="R405" s="146"/>
      <c r="S405" s="145"/>
      <c r="T405" s="146" t="s">
        <v>1042</v>
      </c>
      <c r="U405" s="132"/>
    </row>
    <row r="406" spans="1:21">
      <c r="A406" s="144">
        <v>392</v>
      </c>
      <c r="B406" s="145">
        <v>46230</v>
      </c>
      <c r="C406" s="197" t="s">
        <v>1675</v>
      </c>
      <c r="D406" s="146" t="s">
        <v>486</v>
      </c>
      <c r="E406" s="146" t="s">
        <v>584</v>
      </c>
      <c r="F406" s="146" t="s">
        <v>1676</v>
      </c>
      <c r="G406" s="146" t="s">
        <v>1677</v>
      </c>
      <c r="H406" s="146" t="s">
        <v>520</v>
      </c>
      <c r="I406" s="145">
        <v>46230</v>
      </c>
      <c r="J406" s="145">
        <v>46230</v>
      </c>
      <c r="K406" s="144">
        <v>17</v>
      </c>
      <c r="L406" s="178">
        <v>261140</v>
      </c>
      <c r="M406" s="176">
        <v>0.27</v>
      </c>
      <c r="N406" s="178">
        <f>IFERROR(Tabela225[[#This Row],[VALOR  (R$)]]/Tabela225[[#This Row],[PRAZO
EXECUÇÃO]],0)</f>
        <v>15361.176470588236</v>
      </c>
      <c r="O406" s="194" t="s">
        <v>504</v>
      </c>
      <c r="P406" s="145"/>
      <c r="Q406" s="146"/>
      <c r="R406" s="146"/>
      <c r="S406" s="145"/>
      <c r="T406" s="146"/>
      <c r="U406" s="132"/>
    </row>
    <row r="407" spans="1:21">
      <c r="A407" s="144">
        <v>393</v>
      </c>
      <c r="B407" s="145">
        <v>46230</v>
      </c>
      <c r="C407" s="145" t="s">
        <v>1683</v>
      </c>
      <c r="D407" s="146" t="s">
        <v>1702</v>
      </c>
      <c r="E407" s="146" t="s">
        <v>495</v>
      </c>
      <c r="F407" s="146" t="s">
        <v>1244</v>
      </c>
      <c r="G407" s="146" t="s">
        <v>1684</v>
      </c>
      <c r="H407" s="146" t="s">
        <v>520</v>
      </c>
      <c r="I407" s="145">
        <v>46230</v>
      </c>
      <c r="J407" s="145">
        <v>46230</v>
      </c>
      <c r="K407" s="144">
        <v>1</v>
      </c>
      <c r="L407" s="178">
        <v>39900</v>
      </c>
      <c r="M407" s="176">
        <v>0.25</v>
      </c>
      <c r="N407" s="178">
        <f>IFERROR(Tabela225[[#This Row],[VALOR  (R$)]]/Tabela225[[#This Row],[PRAZO
EXECUÇÃO]],0)</f>
        <v>39900</v>
      </c>
      <c r="O407" s="194" t="s">
        <v>599</v>
      </c>
      <c r="P407" s="145">
        <v>46237</v>
      </c>
      <c r="Q407" s="146"/>
      <c r="R407" s="146"/>
      <c r="S407" s="145"/>
      <c r="T407" s="146" t="s">
        <v>1042</v>
      </c>
      <c r="U407" s="132"/>
    </row>
    <row r="408" spans="1:21">
      <c r="A408" s="144">
        <v>394</v>
      </c>
      <c r="B408" s="145">
        <v>46230</v>
      </c>
      <c r="C408" s="197" t="s">
        <v>1678</v>
      </c>
      <c r="D408" s="146" t="s">
        <v>1095</v>
      </c>
      <c r="E408" s="146" t="s">
        <v>495</v>
      </c>
      <c r="F408" s="146" t="s">
        <v>1679</v>
      </c>
      <c r="G408" s="146" t="s">
        <v>1680</v>
      </c>
      <c r="H408" s="146" t="s">
        <v>520</v>
      </c>
      <c r="I408" s="145">
        <v>46230</v>
      </c>
      <c r="J408" s="145">
        <v>46230</v>
      </c>
      <c r="K408" s="144">
        <v>1</v>
      </c>
      <c r="L408" s="178">
        <v>81520</v>
      </c>
      <c r="M408" s="176">
        <v>0.25</v>
      </c>
      <c r="N408" s="178">
        <f>IFERROR(Tabela225[[#This Row],[VALOR  (R$)]]/Tabela225[[#This Row],[PRAZO
EXECUÇÃO]],0)</f>
        <v>81520</v>
      </c>
      <c r="O408" s="194" t="s">
        <v>504</v>
      </c>
      <c r="P408" s="145"/>
      <c r="Q408" s="146"/>
      <c r="R408" s="146"/>
      <c r="S408" s="145"/>
      <c r="T408" s="146"/>
      <c r="U408" s="132"/>
    </row>
    <row r="409" spans="1:21">
      <c r="A409" s="144">
        <v>395</v>
      </c>
      <c r="B409" s="145">
        <v>46230</v>
      </c>
      <c r="C409" s="197" t="s">
        <v>1681</v>
      </c>
      <c r="D409" s="146" t="s">
        <v>369</v>
      </c>
      <c r="E409" s="146" t="s">
        <v>495</v>
      </c>
      <c r="F409" s="146" t="s">
        <v>611</v>
      </c>
      <c r="G409" s="146" t="s">
        <v>1682</v>
      </c>
      <c r="H409" s="146" t="s">
        <v>520</v>
      </c>
      <c r="I409" s="145">
        <v>46230</v>
      </c>
      <c r="J409" s="145">
        <v>46230</v>
      </c>
      <c r="K409" s="144">
        <v>3</v>
      </c>
      <c r="L409" s="178">
        <f>890+890+590</f>
        <v>2370</v>
      </c>
      <c r="M409" s="176">
        <v>1</v>
      </c>
      <c r="N409" s="178">
        <f>IFERROR(Tabela225[[#This Row],[VALOR  (R$)]]/Tabela225[[#This Row],[PRAZO
EXECUÇÃO]],0)</f>
        <v>790</v>
      </c>
      <c r="O409" s="194" t="s">
        <v>504</v>
      </c>
      <c r="P409" s="145"/>
      <c r="Q409" s="146"/>
      <c r="R409" s="146"/>
      <c r="S409" s="145"/>
      <c r="T409" s="146"/>
      <c r="U409" s="132"/>
    </row>
    <row r="410" spans="1:21">
      <c r="A410" s="144">
        <v>396</v>
      </c>
      <c r="B410" s="145">
        <v>46230</v>
      </c>
      <c r="C410" s="197" t="s">
        <v>1685</v>
      </c>
      <c r="D410" s="146" t="s">
        <v>486</v>
      </c>
      <c r="E410" s="146" t="s">
        <v>584</v>
      </c>
      <c r="F410" s="146" t="s">
        <v>1037</v>
      </c>
      <c r="G410" s="146" t="s">
        <v>1686</v>
      </c>
      <c r="H410" s="146" t="s">
        <v>520</v>
      </c>
      <c r="I410" s="145">
        <v>46232</v>
      </c>
      <c r="J410" s="145"/>
      <c r="K410" s="144"/>
      <c r="L410" s="178"/>
      <c r="M410" s="176"/>
      <c r="N410" s="178">
        <f>IFERROR(Tabela225[[#This Row],[VALOR  (R$)]]/Tabela225[[#This Row],[PRAZO
EXECUÇÃO]],0)</f>
        <v>0</v>
      </c>
      <c r="O410" s="194" t="s">
        <v>525</v>
      </c>
      <c r="P410" s="145"/>
      <c r="Q410" s="146"/>
      <c r="R410" s="146"/>
      <c r="S410" s="145"/>
      <c r="T410" s="146"/>
      <c r="U410" s="132"/>
    </row>
    <row r="411" spans="1:21">
      <c r="A411" s="144">
        <v>397</v>
      </c>
      <c r="B411" s="145">
        <v>46231</v>
      </c>
      <c r="C411" s="197" t="s">
        <v>1687</v>
      </c>
      <c r="D411" s="146" t="s">
        <v>1688</v>
      </c>
      <c r="E411" s="146" t="s">
        <v>495</v>
      </c>
      <c r="F411" s="146" t="s">
        <v>1011</v>
      </c>
      <c r="G411" s="146" t="s">
        <v>1689</v>
      </c>
      <c r="H411" s="146" t="s">
        <v>520</v>
      </c>
      <c r="I411" s="145">
        <v>46232</v>
      </c>
      <c r="J411" s="145">
        <v>46237</v>
      </c>
      <c r="K411" s="144">
        <v>4</v>
      </c>
      <c r="L411" s="178">
        <v>119800</v>
      </c>
      <c r="M411" s="176">
        <v>0.25</v>
      </c>
      <c r="N411" s="178">
        <f>IFERROR(Tabela225[[#This Row],[VALOR  (R$)]]/Tabela225[[#This Row],[PRAZO
EXECUÇÃO]],0)</f>
        <v>29950</v>
      </c>
      <c r="O411" s="194" t="s">
        <v>504</v>
      </c>
      <c r="P411" s="145"/>
      <c r="Q411" s="146"/>
      <c r="R411" s="146"/>
      <c r="S411" s="145"/>
      <c r="T411" s="146"/>
      <c r="U411" s="132"/>
    </row>
    <row r="412" spans="1:21">
      <c r="A412" s="144">
        <v>398</v>
      </c>
      <c r="B412" s="145">
        <v>46233</v>
      </c>
      <c r="C412" s="197" t="s">
        <v>1690</v>
      </c>
      <c r="D412" s="146" t="s">
        <v>486</v>
      </c>
      <c r="E412" s="146" t="s">
        <v>495</v>
      </c>
      <c r="F412" s="146" t="s">
        <v>822</v>
      </c>
      <c r="G412" s="146" t="s">
        <v>693</v>
      </c>
      <c r="H412" s="146" t="s">
        <v>520</v>
      </c>
      <c r="I412" s="145">
        <v>46232</v>
      </c>
      <c r="J412" s="145">
        <v>46232</v>
      </c>
      <c r="K412" s="144">
        <v>10</v>
      </c>
      <c r="L412" s="178">
        <v>165500</v>
      </c>
      <c r="M412" s="176">
        <v>0.27</v>
      </c>
      <c r="N412" s="178">
        <f>IFERROR(Tabela225[[#This Row],[VALOR  (R$)]]/Tabela225[[#This Row],[PRAZO
EXECUÇÃO]],0)</f>
        <v>16550</v>
      </c>
      <c r="O412" s="194" t="s">
        <v>504</v>
      </c>
      <c r="P412" s="145"/>
      <c r="Q412" s="146"/>
      <c r="R412" s="146"/>
      <c r="S412" s="145"/>
      <c r="T412" s="146"/>
      <c r="U412" s="132"/>
    </row>
    <row r="413" spans="1:21">
      <c r="A413" s="144">
        <v>399</v>
      </c>
      <c r="B413" s="145">
        <v>46233</v>
      </c>
      <c r="C413" s="197" t="s">
        <v>1691</v>
      </c>
      <c r="D413" s="146" t="s">
        <v>1692</v>
      </c>
      <c r="E413" s="146" t="s">
        <v>495</v>
      </c>
      <c r="F413" s="146" t="s">
        <v>1693</v>
      </c>
      <c r="G413" s="146" t="s">
        <v>1694</v>
      </c>
      <c r="H413" s="146" t="s">
        <v>520</v>
      </c>
      <c r="I413" s="145">
        <v>46241</v>
      </c>
      <c r="J413" s="145">
        <v>46241</v>
      </c>
      <c r="K413" s="144">
        <v>6</v>
      </c>
      <c r="L413" s="178">
        <v>164725.5</v>
      </c>
      <c r="M413" s="176">
        <v>0.28999999999999998</v>
      </c>
      <c r="N413" s="178">
        <f>IFERROR(Tabela225[[#This Row],[VALOR  (R$)]]/Tabela225[[#This Row],[PRAZO
EXECUÇÃO]],0)</f>
        <v>27454.25</v>
      </c>
      <c r="O413" s="194" t="s">
        <v>504</v>
      </c>
      <c r="P413" s="145"/>
      <c r="Q413" s="146"/>
      <c r="R413" s="146"/>
      <c r="S413" s="145"/>
      <c r="T413" s="146"/>
      <c r="U413" s="132"/>
    </row>
    <row r="414" spans="1:21">
      <c r="A414" s="144">
        <v>400</v>
      </c>
      <c r="B414" s="145">
        <v>46233</v>
      </c>
      <c r="C414" s="197" t="s">
        <v>1695</v>
      </c>
      <c r="D414" s="146" t="s">
        <v>570</v>
      </c>
      <c r="E414" s="146" t="s">
        <v>584</v>
      </c>
      <c r="F414" s="146" t="s">
        <v>1696</v>
      </c>
      <c r="G414" s="146" t="s">
        <v>1697</v>
      </c>
      <c r="H414" s="146" t="s">
        <v>520</v>
      </c>
      <c r="I414" s="145">
        <v>46233</v>
      </c>
      <c r="J414" s="145">
        <v>46233</v>
      </c>
      <c r="K414" s="144">
        <v>15</v>
      </c>
      <c r="L414" s="178">
        <v>272836</v>
      </c>
      <c r="M414" s="176">
        <v>0.26</v>
      </c>
      <c r="N414" s="178">
        <f>IFERROR(Tabela225[[#This Row],[VALOR  (R$)]]/Tabela225[[#This Row],[PRAZO
EXECUÇÃO]],0)</f>
        <v>18189.066666666666</v>
      </c>
      <c r="O414" s="194" t="s">
        <v>504</v>
      </c>
      <c r="P414" s="145"/>
      <c r="Q414" s="146"/>
      <c r="R414" s="146"/>
      <c r="S414" s="145"/>
      <c r="T414" s="146"/>
      <c r="U414" s="132"/>
    </row>
    <row r="415" spans="1:21">
      <c r="A415" s="144">
        <v>401</v>
      </c>
      <c r="B415" s="145">
        <v>46234</v>
      </c>
      <c r="C415" s="197" t="s">
        <v>1698</v>
      </c>
      <c r="D415" s="146" t="s">
        <v>486</v>
      </c>
      <c r="E415" s="146" t="s">
        <v>584</v>
      </c>
      <c r="F415" s="146" t="s">
        <v>695</v>
      </c>
      <c r="G415" s="146" t="s">
        <v>1699</v>
      </c>
      <c r="H415" s="146" t="s">
        <v>520</v>
      </c>
      <c r="I415" s="145">
        <v>46234</v>
      </c>
      <c r="J415" s="145">
        <v>46237</v>
      </c>
      <c r="K415" s="144">
        <v>17</v>
      </c>
      <c r="L415" s="178">
        <v>356930</v>
      </c>
      <c r="M415" s="176">
        <v>0.25</v>
      </c>
      <c r="N415" s="178">
        <f>IFERROR(Tabela225[[#This Row],[VALOR  (R$)]]/Tabela225[[#This Row],[PRAZO
EXECUÇÃO]],0)</f>
        <v>20995.882352941175</v>
      </c>
      <c r="O415" s="194" t="s">
        <v>504</v>
      </c>
      <c r="P415" s="145"/>
      <c r="Q415" s="146"/>
      <c r="R415" s="146"/>
      <c r="S415" s="145"/>
      <c r="T415" s="146"/>
      <c r="U415" s="132"/>
    </row>
    <row r="416" spans="1:21">
      <c r="A416" s="144">
        <v>402</v>
      </c>
      <c r="B416" s="145">
        <v>46234</v>
      </c>
      <c r="C416" s="197" t="s">
        <v>1700</v>
      </c>
      <c r="D416" s="146" t="s">
        <v>1076</v>
      </c>
      <c r="E416" s="146" t="s">
        <v>495</v>
      </c>
      <c r="F416" s="146" t="s">
        <v>1022</v>
      </c>
      <c r="G416" s="146" t="s">
        <v>1701</v>
      </c>
      <c r="H416" s="146" t="s">
        <v>520</v>
      </c>
      <c r="I416" s="145">
        <v>46234</v>
      </c>
      <c r="J416" s="145">
        <v>46239</v>
      </c>
      <c r="K416" s="144">
        <v>27</v>
      </c>
      <c r="L416" s="178">
        <v>192980</v>
      </c>
      <c r="M416" s="176">
        <v>0.27</v>
      </c>
      <c r="N416" s="178">
        <f>IFERROR(Tabela225[[#This Row],[VALOR  (R$)]]/Tabela225[[#This Row],[PRAZO
EXECUÇÃO]],0)</f>
        <v>7147.4074074074078</v>
      </c>
      <c r="O416" s="194" t="s">
        <v>656</v>
      </c>
      <c r="P416" s="145"/>
      <c r="Q416" s="146"/>
      <c r="R416" s="146"/>
      <c r="S416" s="145"/>
      <c r="T416" s="146"/>
      <c r="U416" s="132"/>
    </row>
    <row r="417" spans="1:21">
      <c r="A417" s="144">
        <v>403</v>
      </c>
      <c r="B417" s="145">
        <v>46237</v>
      </c>
      <c r="C417" s="197" t="s">
        <v>1704</v>
      </c>
      <c r="D417" s="146" t="s">
        <v>486</v>
      </c>
      <c r="E417" s="146" t="s">
        <v>584</v>
      </c>
      <c r="F417" s="146" t="s">
        <v>962</v>
      </c>
      <c r="G417" s="146" t="s">
        <v>1705</v>
      </c>
      <c r="H417" s="146" t="s">
        <v>520</v>
      </c>
      <c r="I417" s="145">
        <v>46237</v>
      </c>
      <c r="J417" s="145">
        <v>46237</v>
      </c>
      <c r="K417" s="144">
        <v>2</v>
      </c>
      <c r="L417" s="178">
        <v>12900</v>
      </c>
      <c r="M417" s="176">
        <v>0.2</v>
      </c>
      <c r="N417" s="178">
        <f>IFERROR(Tabela225[[#This Row],[VALOR  (R$)]]/Tabela225[[#This Row],[PRAZO
EXECUÇÃO]],0)</f>
        <v>6450</v>
      </c>
      <c r="O417" s="194" t="s">
        <v>599</v>
      </c>
      <c r="P417" s="145">
        <v>46238</v>
      </c>
      <c r="Q417" s="146"/>
      <c r="R417" s="146"/>
      <c r="S417" s="145"/>
      <c r="T417" s="146" t="s">
        <v>1040</v>
      </c>
      <c r="U417" s="132"/>
    </row>
    <row r="418" spans="1:21">
      <c r="A418" s="144">
        <v>404</v>
      </c>
      <c r="B418" s="145">
        <v>46238</v>
      </c>
      <c r="C418" s="197" t="s">
        <v>1706</v>
      </c>
      <c r="D418" s="146" t="s">
        <v>1707</v>
      </c>
      <c r="E418" s="146" t="s">
        <v>495</v>
      </c>
      <c r="F418" s="146" t="s">
        <v>1011</v>
      </c>
      <c r="G418" s="146" t="s">
        <v>1708</v>
      </c>
      <c r="H418" s="146" t="s">
        <v>520</v>
      </c>
      <c r="I418" s="145">
        <v>46238</v>
      </c>
      <c r="J418" s="145">
        <v>46238</v>
      </c>
      <c r="K418" s="144">
        <v>3</v>
      </c>
      <c r="L418" s="178">
        <v>42920</v>
      </c>
      <c r="M418" s="176">
        <v>0.3</v>
      </c>
      <c r="N418" s="178">
        <f>IFERROR(Tabela225[[#This Row],[VALOR  (R$)]]/Tabela225[[#This Row],[PRAZO
EXECUÇÃO]],0)</f>
        <v>14306.666666666666</v>
      </c>
      <c r="O418" s="194" t="s">
        <v>504</v>
      </c>
      <c r="P418" s="145"/>
      <c r="Q418" s="146"/>
      <c r="R418" s="146"/>
      <c r="S418" s="145"/>
      <c r="T418" s="146"/>
      <c r="U418" s="132"/>
    </row>
    <row r="419" spans="1:21">
      <c r="A419" s="144">
        <v>405</v>
      </c>
      <c r="B419" s="145">
        <v>46238</v>
      </c>
      <c r="C419" s="197" t="s">
        <v>1709</v>
      </c>
      <c r="D419" s="146" t="s">
        <v>570</v>
      </c>
      <c r="E419" s="146" t="s">
        <v>584</v>
      </c>
      <c r="F419" s="146" t="s">
        <v>1710</v>
      </c>
      <c r="G419" s="146" t="s">
        <v>1711</v>
      </c>
      <c r="H419" s="146" t="s">
        <v>520</v>
      </c>
      <c r="I419" s="145">
        <v>46239</v>
      </c>
      <c r="J419" s="145">
        <v>46239</v>
      </c>
      <c r="K419" s="144">
        <v>36</v>
      </c>
      <c r="L419" s="178">
        <v>530500</v>
      </c>
      <c r="M419" s="176">
        <v>0.26</v>
      </c>
      <c r="N419" s="178">
        <f>IFERROR(Tabela225[[#This Row],[VALOR  (R$)]]/Tabela225[[#This Row],[PRAZO
EXECUÇÃO]],0)</f>
        <v>14736.111111111111</v>
      </c>
      <c r="O419" s="194" t="s">
        <v>504</v>
      </c>
      <c r="P419" s="145"/>
      <c r="Q419" s="146"/>
      <c r="R419" s="146"/>
      <c r="S419" s="145"/>
      <c r="T419" s="146"/>
      <c r="U419" s="132"/>
    </row>
    <row r="420" spans="1:21">
      <c r="A420" s="144">
        <v>406</v>
      </c>
      <c r="B420" s="145">
        <v>46238</v>
      </c>
      <c r="C420" s="197" t="s">
        <v>1712</v>
      </c>
      <c r="D420" s="146" t="s">
        <v>486</v>
      </c>
      <c r="E420" s="146" t="s">
        <v>584</v>
      </c>
      <c r="F420" s="146" t="s">
        <v>993</v>
      </c>
      <c r="G420" s="146" t="s">
        <v>1713</v>
      </c>
      <c r="H420" s="146" t="s">
        <v>520</v>
      </c>
      <c r="I420" s="145">
        <v>46240</v>
      </c>
      <c r="J420" s="145">
        <v>46240</v>
      </c>
      <c r="K420" s="144">
        <f>12*3</f>
        <v>36</v>
      </c>
      <c r="L420" s="178">
        <v>283359</v>
      </c>
      <c r="M420" s="176">
        <v>0.25</v>
      </c>
      <c r="N420" s="178">
        <f>IFERROR(Tabela225[[#This Row],[VALOR  (R$)]]/Tabela225[[#This Row],[PRAZO
EXECUÇÃO]],0)</f>
        <v>7871.083333333333</v>
      </c>
      <c r="O420" s="194" t="s">
        <v>599</v>
      </c>
      <c r="P420" s="145">
        <v>46273</v>
      </c>
      <c r="Q420" s="146"/>
      <c r="R420" s="146"/>
      <c r="S420" s="145"/>
      <c r="T420" s="146"/>
      <c r="U420" s="132"/>
    </row>
    <row r="421" spans="1:21">
      <c r="A421" s="144">
        <v>407</v>
      </c>
      <c r="B421" s="145">
        <v>46238</v>
      </c>
      <c r="C421" s="197" t="s">
        <v>1714</v>
      </c>
      <c r="D421" s="146" t="s">
        <v>486</v>
      </c>
      <c r="E421" s="146" t="s">
        <v>584</v>
      </c>
      <c r="F421" s="146" t="s">
        <v>1715</v>
      </c>
      <c r="G421" s="146" t="s">
        <v>1716</v>
      </c>
      <c r="H421" s="146" t="s">
        <v>520</v>
      </c>
      <c r="I421" s="145">
        <v>46241</v>
      </c>
      <c r="J421" s="145"/>
      <c r="K421" s="144"/>
      <c r="L421" s="178"/>
      <c r="M421" s="176"/>
      <c r="N421" s="178">
        <f>IFERROR(Tabela225[[#This Row],[VALOR  (R$)]]/Tabela225[[#This Row],[PRAZO
EXECUÇÃO]],0)</f>
        <v>0</v>
      </c>
      <c r="O421" s="194" t="s">
        <v>525</v>
      </c>
      <c r="P421" s="145"/>
      <c r="Q421" s="146"/>
      <c r="R421" s="146"/>
      <c r="S421" s="145"/>
      <c r="T421" s="146"/>
      <c r="U421" s="132"/>
    </row>
    <row r="422" spans="1:21">
      <c r="A422" s="144">
        <v>408</v>
      </c>
      <c r="B422" s="145">
        <v>46238</v>
      </c>
      <c r="C422" s="197" t="s">
        <v>1719</v>
      </c>
      <c r="D422" s="146" t="s">
        <v>486</v>
      </c>
      <c r="E422" s="146" t="s">
        <v>584</v>
      </c>
      <c r="F422" s="146" t="s">
        <v>1717</v>
      </c>
      <c r="G422" s="146" t="s">
        <v>1718</v>
      </c>
      <c r="H422" s="146" t="s">
        <v>520</v>
      </c>
      <c r="I422" s="145">
        <v>46241</v>
      </c>
      <c r="J422" s="145">
        <v>46244</v>
      </c>
      <c r="K422" s="144">
        <v>14</v>
      </c>
      <c r="L422" s="178">
        <v>232030</v>
      </c>
      <c r="M422" s="176">
        <v>0.3</v>
      </c>
      <c r="N422" s="178">
        <f>IFERROR(Tabela225[[#This Row],[VALOR  (R$)]]/Tabela225[[#This Row],[PRAZO
EXECUÇÃO]],0)</f>
        <v>16573.571428571428</v>
      </c>
      <c r="O422" s="194" t="s">
        <v>504</v>
      </c>
      <c r="P422" s="145"/>
      <c r="Q422" s="146"/>
      <c r="R422" s="146"/>
      <c r="S422" s="145"/>
      <c r="T422" s="146"/>
      <c r="U422" s="132"/>
    </row>
    <row r="423" spans="1:21">
      <c r="A423" s="144">
        <v>409</v>
      </c>
      <c r="B423" s="145">
        <v>46239</v>
      </c>
      <c r="C423" s="197" t="s">
        <v>1720</v>
      </c>
      <c r="D423" s="146" t="s">
        <v>486</v>
      </c>
      <c r="E423" s="146" t="s">
        <v>584</v>
      </c>
      <c r="F423" s="146" t="s">
        <v>1721</v>
      </c>
      <c r="G423" s="146" t="s">
        <v>1722</v>
      </c>
      <c r="H423" s="146" t="s">
        <v>520</v>
      </c>
      <c r="I423" s="145">
        <v>46241</v>
      </c>
      <c r="J423" s="145">
        <v>46244</v>
      </c>
      <c r="K423" s="144">
        <v>12</v>
      </c>
      <c r="L423" s="178">
        <v>199800</v>
      </c>
      <c r="M423" s="176">
        <v>0.28999999999999998</v>
      </c>
      <c r="N423" s="178">
        <f>IFERROR(Tabela225[[#This Row],[VALOR  (R$)]]/Tabela225[[#This Row],[PRAZO
EXECUÇÃO]],0)</f>
        <v>16650</v>
      </c>
      <c r="O423" s="194" t="s">
        <v>504</v>
      </c>
      <c r="P423" s="145"/>
      <c r="Q423" s="146"/>
      <c r="R423" s="146"/>
      <c r="S423" s="145"/>
      <c r="T423" s="146"/>
      <c r="U423" s="132"/>
    </row>
    <row r="424" spans="1:21">
      <c r="A424" s="144">
        <v>410</v>
      </c>
      <c r="B424" s="145">
        <v>46244</v>
      </c>
      <c r="C424" s="197" t="s">
        <v>1723</v>
      </c>
      <c r="D424" s="146" t="s">
        <v>486</v>
      </c>
      <c r="E424" s="146" t="s">
        <v>584</v>
      </c>
      <c r="F424" s="146" t="s">
        <v>1724</v>
      </c>
      <c r="G424" s="146" t="s">
        <v>1725</v>
      </c>
      <c r="H424" s="146" t="s">
        <v>520</v>
      </c>
      <c r="I424" s="145">
        <v>46244</v>
      </c>
      <c r="J424" s="145">
        <v>46244</v>
      </c>
      <c r="K424" s="144">
        <f>14*4</f>
        <v>56</v>
      </c>
      <c r="L424" s="178">
        <v>686800</v>
      </c>
      <c r="M424" s="176">
        <v>0.25</v>
      </c>
      <c r="N424" s="178">
        <f>IFERROR(Tabela225[[#This Row],[VALOR  (R$)]]/Tabela225[[#This Row],[PRAZO
EXECUÇÃO]],0)</f>
        <v>12264.285714285714</v>
      </c>
      <c r="O424" s="194" t="s">
        <v>504</v>
      </c>
      <c r="P424" s="145"/>
      <c r="Q424" s="146"/>
      <c r="R424" s="146"/>
      <c r="S424" s="145"/>
      <c r="T424" s="146"/>
      <c r="U424" s="132"/>
    </row>
    <row r="425" spans="1:21">
      <c r="A425" s="144">
        <v>411</v>
      </c>
      <c r="B425" s="145">
        <v>46244</v>
      </c>
      <c r="C425" s="197" t="s">
        <v>1726</v>
      </c>
      <c r="D425" s="146" t="s">
        <v>486</v>
      </c>
      <c r="E425" s="146" t="s">
        <v>584</v>
      </c>
      <c r="F425" s="146" t="s">
        <v>1727</v>
      </c>
      <c r="G425" s="146" t="s">
        <v>1728</v>
      </c>
      <c r="H425" s="146" t="s">
        <v>520</v>
      </c>
      <c r="I425" s="145">
        <v>46244</v>
      </c>
      <c r="J425" s="145">
        <v>46244</v>
      </c>
      <c r="K425" s="144">
        <f>16*3</f>
        <v>48</v>
      </c>
      <c r="L425" s="178">
        <v>594825</v>
      </c>
      <c r="M425" s="176">
        <v>0.26</v>
      </c>
      <c r="N425" s="178">
        <f>IFERROR(Tabela225[[#This Row],[VALOR  (R$)]]/Tabela225[[#This Row],[PRAZO
EXECUÇÃO]],0)</f>
        <v>12392.1875</v>
      </c>
      <c r="O425" s="194" t="s">
        <v>504</v>
      </c>
      <c r="P425" s="145"/>
      <c r="Q425" s="146"/>
      <c r="R425" s="146"/>
      <c r="S425" s="145"/>
      <c r="T425" s="146"/>
      <c r="U425" s="132"/>
    </row>
    <row r="426" spans="1:21">
      <c r="A426" s="144">
        <v>412</v>
      </c>
      <c r="B426" s="145">
        <v>46244</v>
      </c>
      <c r="C426" s="197" t="s">
        <v>1729</v>
      </c>
      <c r="D426" s="146" t="s">
        <v>486</v>
      </c>
      <c r="E426" s="146" t="s">
        <v>584</v>
      </c>
      <c r="F426" s="146" t="s">
        <v>1730</v>
      </c>
      <c r="G426" s="146" t="s">
        <v>1731</v>
      </c>
      <c r="H426" s="146" t="s">
        <v>520</v>
      </c>
      <c r="I426" s="145">
        <v>46244</v>
      </c>
      <c r="J426" s="145">
        <v>46244</v>
      </c>
      <c r="K426" s="144">
        <f>12*2</f>
        <v>24</v>
      </c>
      <c r="L426" s="178">
        <v>324790</v>
      </c>
      <c r="M426" s="176">
        <v>0.3</v>
      </c>
      <c r="N426" s="178">
        <f>IFERROR(Tabela225[[#This Row],[VALOR  (R$)]]/Tabela225[[#This Row],[PRAZO
EXECUÇÃO]],0)</f>
        <v>13532.916666666666</v>
      </c>
      <c r="O426" s="194" t="s">
        <v>504</v>
      </c>
      <c r="P426" s="145"/>
      <c r="Q426" s="146"/>
      <c r="R426" s="146"/>
      <c r="S426" s="145"/>
      <c r="T426" s="146"/>
      <c r="U426" s="132"/>
    </row>
    <row r="427" spans="1:21">
      <c r="A427" s="144">
        <v>413</v>
      </c>
      <c r="B427" s="145">
        <v>46244</v>
      </c>
      <c r="C427" s="197" t="s">
        <v>1732</v>
      </c>
      <c r="D427" s="146" t="s">
        <v>1733</v>
      </c>
      <c r="E427" s="146" t="s">
        <v>495</v>
      </c>
      <c r="F427" s="146" t="s">
        <v>590</v>
      </c>
      <c r="G427" s="146" t="s">
        <v>1734</v>
      </c>
      <c r="H427" s="146" t="s">
        <v>520</v>
      </c>
      <c r="I427" s="145">
        <v>46244</v>
      </c>
      <c r="J427" s="145">
        <v>46244</v>
      </c>
      <c r="K427" s="144">
        <v>1</v>
      </c>
      <c r="L427" s="178">
        <f>19900+14250</f>
        <v>34150</v>
      </c>
      <c r="M427" s="176">
        <v>0.24</v>
      </c>
      <c r="N427" s="178">
        <f>IFERROR(Tabela225[[#This Row],[VALOR  (R$)]]/Tabela225[[#This Row],[PRAZO
EXECUÇÃO]],0)</f>
        <v>34150</v>
      </c>
      <c r="O427" s="194" t="s">
        <v>656</v>
      </c>
      <c r="P427" s="145"/>
      <c r="Q427" s="146"/>
      <c r="R427" s="146"/>
      <c r="S427" s="145"/>
      <c r="T427" s="146"/>
      <c r="U427" s="132"/>
    </row>
    <row r="428" spans="1:21">
      <c r="A428" s="144">
        <v>414</v>
      </c>
      <c r="B428" s="145">
        <v>46244</v>
      </c>
      <c r="C428" s="145" t="s">
        <v>1735</v>
      </c>
      <c r="D428" s="146" t="s">
        <v>486</v>
      </c>
      <c r="E428" s="146" t="s">
        <v>584</v>
      </c>
      <c r="F428" s="146" t="s">
        <v>907</v>
      </c>
      <c r="G428" s="146" t="s">
        <v>1736</v>
      </c>
      <c r="H428" s="146" t="s">
        <v>501</v>
      </c>
      <c r="I428" s="145">
        <v>46245</v>
      </c>
      <c r="J428" s="145">
        <v>46245</v>
      </c>
      <c r="K428" s="144">
        <v>1</v>
      </c>
      <c r="L428" s="178">
        <v>2185</v>
      </c>
      <c r="M428" s="176">
        <v>1.4E-2</v>
      </c>
      <c r="N428" s="178">
        <f>IFERROR(Tabela225[[#This Row],[VALOR  (R$)]]/Tabela225[[#This Row],[PRAZO
EXECUÇÃO]],0)</f>
        <v>2185</v>
      </c>
      <c r="O428" s="194" t="s">
        <v>504</v>
      </c>
      <c r="P428" s="145"/>
      <c r="Q428" s="146"/>
      <c r="R428" s="146"/>
      <c r="S428" s="145"/>
      <c r="T428" s="146"/>
      <c r="U428" s="132"/>
    </row>
    <row r="429" spans="1:21">
      <c r="A429" s="144">
        <v>415</v>
      </c>
      <c r="B429" s="145">
        <v>46245</v>
      </c>
      <c r="C429" s="145" t="s">
        <v>1737</v>
      </c>
      <c r="D429" s="146" t="s">
        <v>1076</v>
      </c>
      <c r="E429" s="146" t="s">
        <v>495</v>
      </c>
      <c r="F429" s="146" t="s">
        <v>1022</v>
      </c>
      <c r="G429" s="146" t="s">
        <v>1738</v>
      </c>
      <c r="H429" s="146" t="s">
        <v>520</v>
      </c>
      <c r="I429" s="145">
        <v>46245</v>
      </c>
      <c r="J429" s="145">
        <v>46245</v>
      </c>
      <c r="K429" s="144">
        <v>3</v>
      </c>
      <c r="L429" s="178">
        <v>41360</v>
      </c>
      <c r="M429" s="176">
        <v>0.3</v>
      </c>
      <c r="N429" s="178">
        <f>IFERROR(Tabela225[[#This Row],[VALOR  (R$)]]/Tabela225[[#This Row],[PRAZO
EXECUÇÃO]],0)</f>
        <v>13786.666666666666</v>
      </c>
      <c r="O429" s="194" t="s">
        <v>656</v>
      </c>
      <c r="P429" s="145"/>
      <c r="Q429" s="146"/>
      <c r="R429" s="146"/>
      <c r="S429" s="145"/>
      <c r="T429" s="146"/>
      <c r="U429" s="132"/>
    </row>
    <row r="430" spans="1:21">
      <c r="A430" s="144">
        <v>416</v>
      </c>
      <c r="B430" s="145">
        <v>46245</v>
      </c>
      <c r="C430" s="145" t="s">
        <v>1739</v>
      </c>
      <c r="D430" s="146" t="s">
        <v>1669</v>
      </c>
      <c r="E430" s="146" t="s">
        <v>495</v>
      </c>
      <c r="F430" s="146" t="s">
        <v>1089</v>
      </c>
      <c r="G430" s="146" t="s">
        <v>1740</v>
      </c>
      <c r="H430" s="146" t="s">
        <v>520</v>
      </c>
      <c r="I430" s="145">
        <v>46245</v>
      </c>
      <c r="J430" s="145">
        <v>46245</v>
      </c>
      <c r="K430" s="144">
        <v>1</v>
      </c>
      <c r="L430" s="178">
        <v>7900</v>
      </c>
      <c r="M430" s="176">
        <v>0.02</v>
      </c>
      <c r="N430" s="178">
        <f>IFERROR(Tabela225[[#This Row],[VALOR  (R$)]]/Tabela225[[#This Row],[PRAZO
EXECUÇÃO]],0)</f>
        <v>7900</v>
      </c>
      <c r="O430" s="194" t="s">
        <v>599</v>
      </c>
      <c r="P430" s="145">
        <v>46261</v>
      </c>
      <c r="Q430" s="146"/>
      <c r="R430" s="146"/>
      <c r="S430" s="145"/>
      <c r="T430" s="146"/>
      <c r="U430" s="132"/>
    </row>
    <row r="431" spans="1:21">
      <c r="A431" s="144">
        <v>417</v>
      </c>
      <c r="B431" s="145">
        <v>46245</v>
      </c>
      <c r="C431" s="145" t="s">
        <v>1741</v>
      </c>
      <c r="D431" s="146" t="s">
        <v>801</v>
      </c>
      <c r="E431" s="146" t="s">
        <v>495</v>
      </c>
      <c r="F431" s="146" t="s">
        <v>1742</v>
      </c>
      <c r="G431" s="146" t="s">
        <v>1587</v>
      </c>
      <c r="H431" s="146" t="s">
        <v>520</v>
      </c>
      <c r="I431" s="145">
        <v>46248</v>
      </c>
      <c r="J431" s="145">
        <v>46248</v>
      </c>
      <c r="K431" s="144">
        <v>3</v>
      </c>
      <c r="L431" s="178">
        <v>2000000</v>
      </c>
      <c r="M431" s="176">
        <v>0.25</v>
      </c>
      <c r="N431" s="178">
        <f>IFERROR(Tabela225[[#This Row],[VALOR  (R$)]]/Tabela225[[#This Row],[PRAZO
EXECUÇÃO]],0)</f>
        <v>666666.66666666663</v>
      </c>
      <c r="O431" s="194" t="s">
        <v>504</v>
      </c>
      <c r="P431" s="145"/>
      <c r="Q431" s="146"/>
      <c r="R431" s="146"/>
      <c r="S431" s="145"/>
      <c r="T431" s="146"/>
      <c r="U431" s="132"/>
    </row>
    <row r="432" spans="1:21">
      <c r="A432" s="144">
        <v>418</v>
      </c>
      <c r="B432" s="145">
        <v>46247</v>
      </c>
      <c r="C432" s="145" t="s">
        <v>1743</v>
      </c>
      <c r="D432" s="146" t="s">
        <v>675</v>
      </c>
      <c r="E432" s="146" t="s">
        <v>495</v>
      </c>
      <c r="F432" s="146" t="s">
        <v>1744</v>
      </c>
      <c r="G432" s="146" t="s">
        <v>1745</v>
      </c>
      <c r="H432" s="146" t="s">
        <v>520</v>
      </c>
      <c r="I432" s="145">
        <v>46248</v>
      </c>
      <c r="J432" s="145">
        <v>46248</v>
      </c>
      <c r="K432" s="144">
        <v>3</v>
      </c>
      <c r="L432" s="178">
        <v>66630</v>
      </c>
      <c r="M432" s="176">
        <v>0.3</v>
      </c>
      <c r="N432" s="178">
        <f>IFERROR(Tabela225[[#This Row],[VALOR  (R$)]]/Tabela225[[#This Row],[PRAZO
EXECUÇÃO]],0)</f>
        <v>22210</v>
      </c>
      <c r="O432" s="194" t="s">
        <v>504</v>
      </c>
      <c r="P432" s="145"/>
      <c r="Q432" s="146"/>
      <c r="R432" s="146"/>
      <c r="S432" s="145"/>
      <c r="T432" s="146"/>
      <c r="U432" s="132"/>
    </row>
    <row r="433" spans="1:21">
      <c r="A433" s="144">
        <v>419</v>
      </c>
      <c r="B433" s="145">
        <v>46247</v>
      </c>
      <c r="C433" s="145" t="s">
        <v>1746</v>
      </c>
      <c r="D433" s="146" t="s">
        <v>486</v>
      </c>
      <c r="E433" s="146" t="s">
        <v>584</v>
      </c>
      <c r="F433" s="146" t="s">
        <v>962</v>
      </c>
      <c r="G433" s="146" t="s">
        <v>1747</v>
      </c>
      <c r="H433" s="146" t="s">
        <v>501</v>
      </c>
      <c r="I433" s="145">
        <v>46248</v>
      </c>
      <c r="J433" s="145">
        <v>46248</v>
      </c>
      <c r="K433" s="144">
        <v>1</v>
      </c>
      <c r="L433" s="178">
        <v>10646</v>
      </c>
      <c r="M433" s="176">
        <v>0.3</v>
      </c>
      <c r="N433" s="178">
        <f>IFERROR(Tabela225[[#This Row],[VALOR  (R$)]]/Tabela225[[#This Row],[PRAZO
EXECUÇÃO]],0)</f>
        <v>10646</v>
      </c>
      <c r="O433" s="194" t="s">
        <v>599</v>
      </c>
      <c r="P433" s="145">
        <v>46248</v>
      </c>
      <c r="Q433" s="146"/>
      <c r="R433" s="146"/>
      <c r="S433" s="145"/>
      <c r="T433" s="146" t="s">
        <v>1040</v>
      </c>
      <c r="U433" s="132"/>
    </row>
    <row r="434" spans="1:21">
      <c r="A434" s="144">
        <v>420</v>
      </c>
      <c r="B434" s="145">
        <v>46247</v>
      </c>
      <c r="C434" s="145" t="s">
        <v>1748</v>
      </c>
      <c r="D434" s="146" t="s">
        <v>486</v>
      </c>
      <c r="E434" s="146" t="s">
        <v>584</v>
      </c>
      <c r="F434" s="146" t="s">
        <v>678</v>
      </c>
      <c r="G434" s="146" t="s">
        <v>1749</v>
      </c>
      <c r="H434" s="146" t="s">
        <v>520</v>
      </c>
      <c r="I434" s="145">
        <v>46247</v>
      </c>
      <c r="J434" s="145">
        <v>46247</v>
      </c>
      <c r="K434" s="144">
        <f>12*3</f>
        <v>36</v>
      </c>
      <c r="L434" s="178">
        <v>539700</v>
      </c>
      <c r="M434" s="176">
        <v>0.26</v>
      </c>
      <c r="N434" s="178">
        <f>IFERROR(Tabela225[[#This Row],[VALOR  (R$)]]/Tabela225[[#This Row],[PRAZO
EXECUÇÃO]],0)</f>
        <v>14991.666666666666</v>
      </c>
      <c r="O434" s="194" t="s">
        <v>504</v>
      </c>
      <c r="P434" s="145"/>
      <c r="Q434" s="146"/>
      <c r="R434" s="146"/>
      <c r="S434" s="145"/>
      <c r="T434" s="146"/>
      <c r="U434" s="132"/>
    </row>
    <row r="435" spans="1:21">
      <c r="A435" s="144">
        <v>421</v>
      </c>
      <c r="B435" s="145">
        <v>46247</v>
      </c>
      <c r="C435" s="145" t="s">
        <v>1750</v>
      </c>
      <c r="D435" s="146" t="s">
        <v>486</v>
      </c>
      <c r="E435" s="146" t="s">
        <v>584</v>
      </c>
      <c r="F435" s="146" t="s">
        <v>1490</v>
      </c>
      <c r="G435" s="146" t="s">
        <v>1751</v>
      </c>
      <c r="H435" s="146" t="s">
        <v>520</v>
      </c>
      <c r="I435" s="145">
        <v>46248</v>
      </c>
      <c r="J435" s="145">
        <v>46248</v>
      </c>
      <c r="K435" s="144">
        <v>18</v>
      </c>
      <c r="L435" s="178">
        <v>249900</v>
      </c>
      <c r="M435" s="176">
        <v>0.24959999999999999</v>
      </c>
      <c r="N435" s="178">
        <f>IFERROR(Tabela225[[#This Row],[VALOR  (R$)]]/Tabela225[[#This Row],[PRAZO
EXECUÇÃO]],0)</f>
        <v>13883.333333333334</v>
      </c>
      <c r="O435" s="194" t="s">
        <v>504</v>
      </c>
      <c r="P435" s="145"/>
      <c r="Q435" s="146"/>
      <c r="R435" s="146"/>
      <c r="S435" s="145"/>
      <c r="T435" s="146"/>
      <c r="U435" s="132"/>
    </row>
    <row r="436" spans="1:21">
      <c r="A436" s="144">
        <v>422</v>
      </c>
      <c r="B436" s="145">
        <v>46248</v>
      </c>
      <c r="C436" s="145" t="s">
        <v>1752</v>
      </c>
      <c r="D436" s="146" t="s">
        <v>486</v>
      </c>
      <c r="E436" s="146" t="s">
        <v>584</v>
      </c>
      <c r="F436" s="146" t="s">
        <v>1624</v>
      </c>
      <c r="G436" s="146" t="s">
        <v>1753</v>
      </c>
      <c r="H436" s="146" t="s">
        <v>520</v>
      </c>
      <c r="I436" s="145">
        <v>46248</v>
      </c>
      <c r="J436" s="145">
        <v>46217</v>
      </c>
      <c r="K436" s="144">
        <v>1</v>
      </c>
      <c r="L436" s="178">
        <v>3902</v>
      </c>
      <c r="M436" s="176">
        <v>0.3</v>
      </c>
      <c r="N436" s="178">
        <f>IFERROR(Tabela225[[#This Row],[VALOR  (R$)]]/Tabela225[[#This Row],[PRAZO
EXECUÇÃO]],0)</f>
        <v>3902</v>
      </c>
      <c r="O436" s="194" t="s">
        <v>656</v>
      </c>
      <c r="P436" s="145"/>
      <c r="Q436" s="146"/>
      <c r="R436" s="146"/>
      <c r="S436" s="145"/>
      <c r="T436" s="146"/>
      <c r="U436" s="132"/>
    </row>
    <row r="437" spans="1:21">
      <c r="A437" s="144">
        <v>423</v>
      </c>
      <c r="B437" s="145">
        <v>46248</v>
      </c>
      <c r="C437" s="145" t="s">
        <v>1754</v>
      </c>
      <c r="D437" s="146" t="s">
        <v>570</v>
      </c>
      <c r="E437" s="146" t="s">
        <v>584</v>
      </c>
      <c r="F437" s="146" t="s">
        <v>611</v>
      </c>
      <c r="G437" s="146" t="s">
        <v>1755</v>
      </c>
      <c r="H437" s="146" t="s">
        <v>520</v>
      </c>
      <c r="I437" s="145">
        <v>46248</v>
      </c>
      <c r="J437" s="145" t="s">
        <v>1770</v>
      </c>
      <c r="K437" s="144">
        <f>18*12</f>
        <v>216</v>
      </c>
      <c r="L437" s="178">
        <v>625665</v>
      </c>
      <c r="M437" s="176">
        <v>0.26</v>
      </c>
      <c r="N437" s="178">
        <f>IFERROR(Tabela225[[#This Row],[VALOR  (R$)]]/Tabela225[[#This Row],[PRAZO
EXECUÇÃO]],0)</f>
        <v>2896.5972222222222</v>
      </c>
      <c r="O437" s="194" t="s">
        <v>504</v>
      </c>
      <c r="P437" s="145"/>
      <c r="Q437" s="146"/>
      <c r="R437" s="146"/>
      <c r="S437" s="145"/>
      <c r="T437" s="146"/>
      <c r="U437" s="132"/>
    </row>
    <row r="438" spans="1:21">
      <c r="A438" s="144">
        <v>424</v>
      </c>
      <c r="B438" s="145">
        <v>46251</v>
      </c>
      <c r="C438" s="145" t="s">
        <v>1756</v>
      </c>
      <c r="D438" s="146" t="s">
        <v>486</v>
      </c>
      <c r="E438" s="146" t="s">
        <v>584</v>
      </c>
      <c r="F438" s="146" t="s">
        <v>627</v>
      </c>
      <c r="G438" s="146" t="s">
        <v>1757</v>
      </c>
      <c r="H438" s="146" t="s">
        <v>501</v>
      </c>
      <c r="I438" s="145">
        <v>46252</v>
      </c>
      <c r="J438" s="145">
        <v>46253</v>
      </c>
      <c r="K438" s="144">
        <v>4</v>
      </c>
      <c r="L438" s="178">
        <v>23820</v>
      </c>
      <c r="M438" s="176">
        <v>0.25</v>
      </c>
      <c r="N438" s="178">
        <f>IFERROR(Tabela225[[#This Row],[VALOR  (R$)]]/Tabela225[[#This Row],[PRAZO
EXECUÇÃO]],0)</f>
        <v>5955</v>
      </c>
      <c r="O438" s="194" t="s">
        <v>656</v>
      </c>
      <c r="P438" s="145"/>
      <c r="Q438" s="146"/>
      <c r="R438" s="146"/>
      <c r="S438" s="145"/>
      <c r="T438" s="146"/>
      <c r="U438" s="132"/>
    </row>
    <row r="439" spans="1:21">
      <c r="A439" s="144">
        <v>425</v>
      </c>
      <c r="B439" s="145">
        <v>46251</v>
      </c>
      <c r="C439" s="145" t="s">
        <v>1758</v>
      </c>
      <c r="D439" s="146" t="s">
        <v>469</v>
      </c>
      <c r="E439" s="146" t="s">
        <v>584</v>
      </c>
      <c r="F439" s="146" t="s">
        <v>814</v>
      </c>
      <c r="G439" s="146" t="s">
        <v>1759</v>
      </c>
      <c r="H439" s="146" t="s">
        <v>520</v>
      </c>
      <c r="I439" s="145">
        <v>46251</v>
      </c>
      <c r="J439" s="145">
        <v>46251</v>
      </c>
      <c r="K439" s="144">
        <v>1</v>
      </c>
      <c r="L439" s="178">
        <v>23320</v>
      </c>
      <c r="M439" s="176">
        <v>0.2</v>
      </c>
      <c r="N439" s="178">
        <f>IFERROR(Tabela225[[#This Row],[VALOR  (R$)]]/Tabela225[[#This Row],[PRAZO
EXECUÇÃO]],0)</f>
        <v>23320</v>
      </c>
      <c r="O439" s="194" t="s">
        <v>504</v>
      </c>
      <c r="P439" s="145"/>
      <c r="Q439" s="146"/>
      <c r="R439" s="146"/>
      <c r="S439" s="145"/>
      <c r="T439" s="146"/>
      <c r="U439" s="132"/>
    </row>
    <row r="440" spans="1:21">
      <c r="A440" s="144">
        <v>426</v>
      </c>
      <c r="B440" s="145">
        <v>46251</v>
      </c>
      <c r="C440" s="145" t="s">
        <v>1760</v>
      </c>
      <c r="D440" s="146" t="s">
        <v>486</v>
      </c>
      <c r="E440" s="146" t="s">
        <v>584</v>
      </c>
      <c r="F440" s="146" t="s">
        <v>1761</v>
      </c>
      <c r="G440" s="146" t="s">
        <v>900</v>
      </c>
      <c r="H440" s="146" t="s">
        <v>520</v>
      </c>
      <c r="I440" s="145">
        <v>46252</v>
      </c>
      <c r="J440" s="145">
        <v>46253</v>
      </c>
      <c r="K440" s="144">
        <v>17</v>
      </c>
      <c r="L440" s="178">
        <v>324740</v>
      </c>
      <c r="M440" s="176">
        <v>0.23</v>
      </c>
      <c r="N440" s="178">
        <f>IFERROR(Tabela225[[#This Row],[VALOR  (R$)]]/Tabela225[[#This Row],[PRAZO
EXECUÇÃO]],0)</f>
        <v>19102.352941176472</v>
      </c>
      <c r="O440" s="194" t="s">
        <v>504</v>
      </c>
      <c r="P440" s="145"/>
      <c r="Q440" s="146"/>
      <c r="R440" s="146"/>
      <c r="S440" s="145"/>
      <c r="T440" s="146"/>
      <c r="U440" s="132"/>
    </row>
    <row r="441" spans="1:21">
      <c r="A441" s="144">
        <v>427</v>
      </c>
      <c r="B441" s="145">
        <v>46252</v>
      </c>
      <c r="C441" s="145" t="s">
        <v>1762</v>
      </c>
      <c r="D441" s="146" t="s">
        <v>1763</v>
      </c>
      <c r="E441" s="146" t="s">
        <v>584</v>
      </c>
      <c r="F441" s="146" t="s">
        <v>590</v>
      </c>
      <c r="G441" s="146" t="s">
        <v>1764</v>
      </c>
      <c r="H441" s="146" t="s">
        <v>520</v>
      </c>
      <c r="I441" s="145">
        <v>46254</v>
      </c>
      <c r="J441" s="145">
        <v>46254</v>
      </c>
      <c r="K441" s="144">
        <v>2</v>
      </c>
      <c r="L441" s="178">
        <v>116800</v>
      </c>
      <c r="M441" s="176">
        <v>0.25</v>
      </c>
      <c r="N441" s="178">
        <f>IFERROR(Tabela225[[#This Row],[VALOR  (R$)]]/Tabela225[[#This Row],[PRAZO
EXECUÇÃO]],0)</f>
        <v>58400</v>
      </c>
      <c r="O441" s="194" t="s">
        <v>656</v>
      </c>
      <c r="P441" s="145"/>
      <c r="Q441" s="146"/>
      <c r="R441" s="146"/>
      <c r="S441" s="145"/>
      <c r="T441" s="146"/>
      <c r="U441" s="132"/>
    </row>
    <row r="442" spans="1:21">
      <c r="A442" s="144">
        <v>428</v>
      </c>
      <c r="B442" s="145">
        <v>46252</v>
      </c>
      <c r="C442" s="145" t="s">
        <v>1765</v>
      </c>
      <c r="D442" s="146" t="s">
        <v>987</v>
      </c>
      <c r="E442" s="146" t="s">
        <v>584</v>
      </c>
      <c r="F442" s="146" t="s">
        <v>1766</v>
      </c>
      <c r="G442" s="146" t="s">
        <v>1767</v>
      </c>
      <c r="H442" s="146" t="s">
        <v>520</v>
      </c>
      <c r="I442" s="145">
        <v>46253</v>
      </c>
      <c r="J442" s="145">
        <v>46253</v>
      </c>
      <c r="K442" s="144">
        <v>1</v>
      </c>
      <c r="L442" s="178">
        <v>17900</v>
      </c>
      <c r="M442" s="176">
        <v>0.22</v>
      </c>
      <c r="N442" s="178">
        <f>IFERROR(Tabela225[[#This Row],[VALOR  (R$)]]/Tabela225[[#This Row],[PRAZO
EXECUÇÃO]],0)</f>
        <v>17900</v>
      </c>
      <c r="O442" s="194" t="s">
        <v>504</v>
      </c>
      <c r="P442" s="145"/>
      <c r="Q442" s="146"/>
      <c r="R442" s="146"/>
      <c r="S442" s="145"/>
      <c r="T442" s="146"/>
      <c r="U442" s="132"/>
    </row>
    <row r="443" spans="1:21">
      <c r="A443" s="144">
        <v>429</v>
      </c>
      <c r="B443" s="145">
        <v>46253</v>
      </c>
      <c r="C443" s="145" t="s">
        <v>1768</v>
      </c>
      <c r="D443" s="146" t="s">
        <v>486</v>
      </c>
      <c r="E443" s="146" t="s">
        <v>584</v>
      </c>
      <c r="F443" s="146" t="s">
        <v>627</v>
      </c>
      <c r="G443" s="146" t="s">
        <v>1769</v>
      </c>
      <c r="H443" s="146" t="s">
        <v>520</v>
      </c>
      <c r="I443" s="145">
        <v>46253</v>
      </c>
      <c r="J443" s="145">
        <v>46253</v>
      </c>
      <c r="K443" s="144">
        <v>10</v>
      </c>
      <c r="L443" s="178">
        <v>279990</v>
      </c>
      <c r="M443" s="176">
        <v>0.25</v>
      </c>
      <c r="N443" s="178">
        <f>IFERROR(Tabela225[[#This Row],[VALOR  (R$)]]/Tabela225[[#This Row],[PRAZO
EXECUÇÃO]],0)</f>
        <v>27999</v>
      </c>
      <c r="O443" s="194" t="s">
        <v>599</v>
      </c>
      <c r="P443" s="145">
        <v>46268</v>
      </c>
      <c r="Q443" s="146"/>
      <c r="R443" s="146"/>
      <c r="S443" s="145"/>
      <c r="T443" s="146"/>
      <c r="U443" s="132"/>
    </row>
    <row r="444" spans="1:21">
      <c r="A444" s="144">
        <v>430</v>
      </c>
      <c r="B444" s="145">
        <v>46255</v>
      </c>
      <c r="C444" s="145" t="s">
        <v>1771</v>
      </c>
      <c r="D444" s="146" t="s">
        <v>1772</v>
      </c>
      <c r="E444" s="146" t="s">
        <v>495</v>
      </c>
      <c r="F444" s="146" t="s">
        <v>1773</v>
      </c>
      <c r="G444" s="146" t="s">
        <v>1774</v>
      </c>
      <c r="H444" s="146" t="s">
        <v>520</v>
      </c>
      <c r="I444" s="145">
        <v>46258</v>
      </c>
      <c r="J444" s="145">
        <v>46258</v>
      </c>
      <c r="K444" s="144">
        <v>3</v>
      </c>
      <c r="L444" s="178">
        <v>115630</v>
      </c>
      <c r="M444" s="176">
        <v>0.25</v>
      </c>
      <c r="N444" s="178">
        <f>IFERROR(Tabela225[[#This Row],[VALOR  (R$)]]/Tabela225[[#This Row],[PRAZO
EXECUÇÃO]],0)</f>
        <v>38543.333333333336</v>
      </c>
      <c r="O444" s="194" t="s">
        <v>504</v>
      </c>
      <c r="P444" s="145"/>
      <c r="Q444" s="146"/>
      <c r="R444" s="146"/>
      <c r="S444" s="145"/>
      <c r="T444" s="146"/>
      <c r="U444" s="132"/>
    </row>
    <row r="445" spans="1:21">
      <c r="A445" s="144">
        <v>431</v>
      </c>
      <c r="B445" s="145">
        <v>46258</v>
      </c>
      <c r="C445" s="145" t="s">
        <v>1775</v>
      </c>
      <c r="D445" s="146" t="s">
        <v>486</v>
      </c>
      <c r="E445" s="146" t="s">
        <v>584</v>
      </c>
      <c r="F445" s="146" t="s">
        <v>1776</v>
      </c>
      <c r="G445" s="146" t="s">
        <v>1777</v>
      </c>
      <c r="H445" s="146" t="s">
        <v>520</v>
      </c>
      <c r="I445" s="145">
        <v>46258</v>
      </c>
      <c r="J445" s="145">
        <v>46258</v>
      </c>
      <c r="K445" s="144">
        <f>9*3</f>
        <v>27</v>
      </c>
      <c r="L445" s="178">
        <f>89900*3</f>
        <v>269700</v>
      </c>
      <c r="M445" s="176">
        <v>0.27</v>
      </c>
      <c r="N445" s="178">
        <f>IFERROR(Tabela225[[#This Row],[VALOR  (R$)]]/Tabela225[[#This Row],[PRAZO
EXECUÇÃO]],0)</f>
        <v>9988.8888888888887</v>
      </c>
      <c r="O445" s="194" t="s">
        <v>504</v>
      </c>
      <c r="P445" s="145"/>
      <c r="Q445" s="146"/>
      <c r="R445" s="146"/>
      <c r="S445" s="145"/>
      <c r="T445" s="146"/>
      <c r="U445" s="132"/>
    </row>
    <row r="446" spans="1:21">
      <c r="A446" s="144">
        <v>432</v>
      </c>
      <c r="B446" s="145">
        <v>119306</v>
      </c>
      <c r="C446" s="145" t="s">
        <v>1778</v>
      </c>
      <c r="D446" s="146" t="s">
        <v>1322</v>
      </c>
      <c r="E446" s="146" t="s">
        <v>495</v>
      </c>
      <c r="F446" s="146" t="s">
        <v>1323</v>
      </c>
      <c r="G446" s="146" t="s">
        <v>1779</v>
      </c>
      <c r="H446" s="146" t="s">
        <v>520</v>
      </c>
      <c r="I446" s="145">
        <v>46260</v>
      </c>
      <c r="J446" s="145"/>
      <c r="K446" s="144"/>
      <c r="L446" s="178"/>
      <c r="M446" s="176"/>
      <c r="N446" s="178">
        <f>IFERROR(Tabela225[[#This Row],[VALOR  (R$)]]/Tabela225[[#This Row],[PRAZO
EXECUÇÃO]],0)</f>
        <v>0</v>
      </c>
      <c r="O446" s="194" t="s">
        <v>504</v>
      </c>
      <c r="P446" s="145"/>
      <c r="Q446" s="146"/>
      <c r="R446" s="146"/>
      <c r="S446" s="145"/>
      <c r="T446" s="146"/>
      <c r="U446" s="132"/>
    </row>
    <row r="447" spans="1:21">
      <c r="A447" s="144">
        <v>433</v>
      </c>
      <c r="B447" s="145">
        <v>46258</v>
      </c>
      <c r="C447" s="145" t="s">
        <v>1780</v>
      </c>
      <c r="D447" s="146" t="s">
        <v>1322</v>
      </c>
      <c r="E447" s="146" t="s">
        <v>495</v>
      </c>
      <c r="F447" s="146" t="s">
        <v>1323</v>
      </c>
      <c r="G447" s="146" t="s">
        <v>1781</v>
      </c>
      <c r="H447" s="146" t="s">
        <v>520</v>
      </c>
      <c r="I447" s="145">
        <v>46260</v>
      </c>
      <c r="J447" s="145"/>
      <c r="K447" s="144"/>
      <c r="L447" s="178"/>
      <c r="M447" s="176"/>
      <c r="N447" s="178">
        <f>IFERROR(Tabela225[[#This Row],[VALOR  (R$)]]/Tabela225[[#This Row],[PRAZO
EXECUÇÃO]],0)</f>
        <v>0</v>
      </c>
      <c r="O447" s="194" t="s">
        <v>504</v>
      </c>
      <c r="P447" s="145"/>
      <c r="Q447" s="146"/>
      <c r="R447" s="146"/>
      <c r="S447" s="145"/>
      <c r="T447" s="146"/>
      <c r="U447" s="132"/>
    </row>
    <row r="448" spans="1:21">
      <c r="A448" s="144">
        <v>434</v>
      </c>
      <c r="B448" s="145">
        <v>46258</v>
      </c>
      <c r="C448" s="145" t="s">
        <v>1782</v>
      </c>
      <c r="D448" s="146" t="s">
        <v>1322</v>
      </c>
      <c r="E448" s="146" t="s">
        <v>495</v>
      </c>
      <c r="F448" s="146" t="s">
        <v>1323</v>
      </c>
      <c r="G448" s="146" t="s">
        <v>1863</v>
      </c>
      <c r="H448" s="146" t="s">
        <v>520</v>
      </c>
      <c r="I448" s="145">
        <v>46260</v>
      </c>
      <c r="J448" s="145">
        <v>46273</v>
      </c>
      <c r="K448" s="144">
        <v>24</v>
      </c>
      <c r="L448" s="178">
        <v>677010</v>
      </c>
      <c r="M448" s="176">
        <v>0.25</v>
      </c>
      <c r="N448" s="178">
        <f>IFERROR(Tabela225[[#This Row],[VALOR  (R$)]]/Tabela225[[#This Row],[PRAZO
EXECUÇÃO]],0)</f>
        <v>28208.75</v>
      </c>
      <c r="O448" s="194" t="s">
        <v>504</v>
      </c>
      <c r="P448" s="145"/>
      <c r="Q448" s="146"/>
      <c r="R448" s="146"/>
      <c r="S448" s="145"/>
      <c r="T448" s="146"/>
      <c r="U448" s="132"/>
    </row>
    <row r="449" spans="1:21">
      <c r="A449" s="144">
        <v>435</v>
      </c>
      <c r="B449" s="145">
        <v>46258</v>
      </c>
      <c r="C449" s="145" t="s">
        <v>1783</v>
      </c>
      <c r="D449" s="146" t="s">
        <v>562</v>
      </c>
      <c r="E449" s="146" t="s">
        <v>495</v>
      </c>
      <c r="F449" s="146" t="s">
        <v>581</v>
      </c>
      <c r="G449" s="146" t="s">
        <v>1784</v>
      </c>
      <c r="H449" s="146" t="s">
        <v>520</v>
      </c>
      <c r="I449" s="145">
        <v>46262</v>
      </c>
      <c r="J449" s="145">
        <v>46262</v>
      </c>
      <c r="K449" s="144">
        <v>2</v>
      </c>
      <c r="L449" s="178">
        <v>64220</v>
      </c>
      <c r="M449" s="176">
        <v>0.25</v>
      </c>
      <c r="N449" s="178">
        <f>IFERROR(Tabela225[[#This Row],[VALOR  (R$)]]/Tabela225[[#This Row],[PRAZO
EXECUÇÃO]],0)</f>
        <v>32110</v>
      </c>
      <c r="O449" s="194" t="s">
        <v>599</v>
      </c>
      <c r="P449" s="145">
        <v>46265</v>
      </c>
      <c r="Q449" s="146">
        <v>22912</v>
      </c>
      <c r="R449" s="146"/>
      <c r="S449" s="145"/>
      <c r="T449" s="146" t="s">
        <v>1042</v>
      </c>
      <c r="U449" s="132"/>
    </row>
    <row r="450" spans="1:21">
      <c r="A450" s="144">
        <v>436</v>
      </c>
      <c r="B450" s="145">
        <v>46258</v>
      </c>
      <c r="C450" s="145" t="s">
        <v>1785</v>
      </c>
      <c r="D450" s="146" t="s">
        <v>562</v>
      </c>
      <c r="E450" s="146" t="s">
        <v>495</v>
      </c>
      <c r="F450" s="146" t="s">
        <v>1766</v>
      </c>
      <c r="G450" s="146" t="s">
        <v>1786</v>
      </c>
      <c r="H450" s="146" t="s">
        <v>520</v>
      </c>
      <c r="I450" s="145">
        <v>46265</v>
      </c>
      <c r="J450" s="145">
        <v>46259</v>
      </c>
      <c r="K450" s="144">
        <v>6</v>
      </c>
      <c r="L450" s="178">
        <v>63970</v>
      </c>
      <c r="M450" s="176">
        <v>0.25</v>
      </c>
      <c r="N450" s="178">
        <f>IFERROR(Tabela225[[#This Row],[VALOR  (R$)]]/Tabela225[[#This Row],[PRAZO
EXECUÇÃO]],0)</f>
        <v>10661.666666666666</v>
      </c>
      <c r="O450" s="194" t="s">
        <v>504</v>
      </c>
      <c r="P450" s="145"/>
      <c r="Q450" s="146"/>
      <c r="R450" s="146"/>
      <c r="S450" s="145"/>
      <c r="T450" s="146"/>
      <c r="U450" s="132"/>
    </row>
    <row r="451" spans="1:21">
      <c r="A451" s="144">
        <v>437</v>
      </c>
      <c r="B451" s="145">
        <v>46258</v>
      </c>
      <c r="C451" s="145" t="s">
        <v>1787</v>
      </c>
      <c r="D451" s="146" t="s">
        <v>562</v>
      </c>
      <c r="E451" s="146" t="s">
        <v>495</v>
      </c>
      <c r="F451" s="146" t="s">
        <v>581</v>
      </c>
      <c r="G451" s="146" t="s">
        <v>1788</v>
      </c>
      <c r="H451" s="146" t="s">
        <v>520</v>
      </c>
      <c r="I451" s="145">
        <v>46269</v>
      </c>
      <c r="J451" s="145">
        <v>46268</v>
      </c>
      <c r="K451" s="144">
        <v>24</v>
      </c>
      <c r="L451" s="178">
        <v>466240</v>
      </c>
      <c r="M451" s="176">
        <v>0.26</v>
      </c>
      <c r="N451" s="178">
        <f>IFERROR(Tabela225[[#This Row],[VALOR  (R$)]]/Tabela225[[#This Row],[PRAZO
EXECUÇÃO]],0)</f>
        <v>19426.666666666668</v>
      </c>
      <c r="O451" s="194" t="s">
        <v>504</v>
      </c>
      <c r="P451" s="145"/>
      <c r="Q451" s="146"/>
      <c r="R451" s="146"/>
      <c r="S451" s="145"/>
      <c r="T451" s="146"/>
      <c r="U451" s="132"/>
    </row>
    <row r="452" spans="1:21">
      <c r="A452" s="144">
        <v>438</v>
      </c>
      <c r="B452" s="145" t="s">
        <v>1818</v>
      </c>
      <c r="C452" s="145" t="s">
        <v>1819</v>
      </c>
      <c r="D452" s="146" t="s">
        <v>1646</v>
      </c>
      <c r="E452" s="146" t="s">
        <v>495</v>
      </c>
      <c r="F452" s="146" t="s">
        <v>1647</v>
      </c>
      <c r="G452" s="146" t="s">
        <v>1820</v>
      </c>
      <c r="H452" s="146" t="s">
        <v>520</v>
      </c>
      <c r="I452" s="145">
        <v>46262</v>
      </c>
      <c r="J452" s="145">
        <v>46262</v>
      </c>
      <c r="K452" s="144">
        <v>7</v>
      </c>
      <c r="L452" s="178">
        <v>189514</v>
      </c>
      <c r="M452" s="176">
        <v>0.3</v>
      </c>
      <c r="N452" s="178">
        <f>IFERROR(Tabela225[[#This Row],[VALOR  (R$)]]/Tabela225[[#This Row],[PRAZO
EXECUÇÃO]],0)</f>
        <v>27073.428571428572</v>
      </c>
      <c r="O452" s="194" t="s">
        <v>504</v>
      </c>
      <c r="P452" s="145"/>
      <c r="Q452" s="146"/>
      <c r="R452" s="146"/>
      <c r="S452" s="145"/>
      <c r="T452" s="146"/>
      <c r="U452" s="132"/>
    </row>
    <row r="453" spans="1:21">
      <c r="A453" s="144">
        <v>439</v>
      </c>
      <c r="B453" s="145">
        <v>46259</v>
      </c>
      <c r="C453" s="145" t="s">
        <v>1821</v>
      </c>
      <c r="D453" s="146" t="s">
        <v>486</v>
      </c>
      <c r="E453" s="146" t="s">
        <v>584</v>
      </c>
      <c r="F453" s="146" t="s">
        <v>1153</v>
      </c>
      <c r="G453" s="146" t="s">
        <v>1822</v>
      </c>
      <c r="H453" s="146" t="s">
        <v>520</v>
      </c>
      <c r="I453" s="145">
        <v>46259</v>
      </c>
      <c r="J453" s="145">
        <v>46259</v>
      </c>
      <c r="K453" s="144">
        <v>17</v>
      </c>
      <c r="L453" s="178">
        <v>278900</v>
      </c>
      <c r="M453" s="176">
        <v>0.25</v>
      </c>
      <c r="N453" s="178">
        <f>IFERROR(Tabela225[[#This Row],[VALOR  (R$)]]/Tabela225[[#This Row],[PRAZO
EXECUÇÃO]],0)</f>
        <v>16405.882352941175</v>
      </c>
      <c r="O453" s="194" t="s">
        <v>504</v>
      </c>
      <c r="P453" s="145"/>
      <c r="Q453" s="146"/>
      <c r="R453" s="146"/>
      <c r="S453" s="145"/>
      <c r="T453" s="146"/>
      <c r="U453" s="132"/>
    </row>
    <row r="454" spans="1:21">
      <c r="A454" s="144">
        <v>440</v>
      </c>
      <c r="B454" s="145">
        <v>46260</v>
      </c>
      <c r="C454" s="145" t="s">
        <v>1823</v>
      </c>
      <c r="D454" s="146" t="s">
        <v>1646</v>
      </c>
      <c r="E454" s="146" t="s">
        <v>495</v>
      </c>
      <c r="F454" s="146" t="s">
        <v>1647</v>
      </c>
      <c r="G454" s="146" t="s">
        <v>1820</v>
      </c>
      <c r="H454" s="146" t="s">
        <v>520</v>
      </c>
      <c r="I454" s="145">
        <v>46262</v>
      </c>
      <c r="J454" s="145">
        <v>46262</v>
      </c>
      <c r="K454" s="144">
        <v>22</v>
      </c>
      <c r="L454" s="178">
        <v>319280</v>
      </c>
      <c r="M454" s="176">
        <v>0.3</v>
      </c>
      <c r="N454" s="178">
        <f>IFERROR(Tabela225[[#This Row],[VALOR  (R$)]]/Tabela225[[#This Row],[PRAZO
EXECUÇÃO]],0)</f>
        <v>14512.727272727272</v>
      </c>
      <c r="O454" s="194" t="s">
        <v>504</v>
      </c>
      <c r="P454" s="145"/>
      <c r="Q454" s="146"/>
      <c r="R454" s="146"/>
      <c r="S454" s="145"/>
      <c r="T454" s="146"/>
      <c r="U454" s="132"/>
    </row>
    <row r="455" spans="1:21">
      <c r="A455" s="144">
        <v>441</v>
      </c>
      <c r="B455" s="145">
        <v>46262</v>
      </c>
      <c r="C455" s="145" t="s">
        <v>1824</v>
      </c>
      <c r="D455" s="146" t="s">
        <v>486</v>
      </c>
      <c r="E455" s="146" t="s">
        <v>495</v>
      </c>
      <c r="F455" s="146" t="s">
        <v>980</v>
      </c>
      <c r="G455" s="146" t="s">
        <v>1825</v>
      </c>
      <c r="H455" s="146" t="s">
        <v>520</v>
      </c>
      <c r="I455" s="145">
        <v>46262</v>
      </c>
      <c r="J455" s="145">
        <v>46262</v>
      </c>
      <c r="K455" s="144">
        <v>12</v>
      </c>
      <c r="L455" s="178">
        <v>173415</v>
      </c>
      <c r="M455" s="176">
        <v>0.25</v>
      </c>
      <c r="N455" s="178">
        <f>IFERROR(Tabela225[[#This Row],[VALOR  (R$)]]/Tabela225[[#This Row],[PRAZO
EXECUÇÃO]],0)</f>
        <v>14451.25</v>
      </c>
      <c r="O455" s="194" t="s">
        <v>504</v>
      </c>
      <c r="P455" s="145"/>
      <c r="Q455" s="146"/>
      <c r="R455" s="146"/>
      <c r="S455" s="145"/>
      <c r="T455" s="146"/>
      <c r="U455" s="132"/>
    </row>
    <row r="456" spans="1:21">
      <c r="A456" s="144">
        <v>442</v>
      </c>
      <c r="B456" s="145">
        <v>46265</v>
      </c>
      <c r="C456" s="145" t="s">
        <v>1826</v>
      </c>
      <c r="D456" s="146" t="s">
        <v>1827</v>
      </c>
      <c r="E456" s="146" t="s">
        <v>495</v>
      </c>
      <c r="F456" s="146" t="s">
        <v>1828</v>
      </c>
      <c r="G456" s="146" t="s">
        <v>1829</v>
      </c>
      <c r="H456" s="146" t="s">
        <v>520</v>
      </c>
      <c r="I456" s="145">
        <v>46275</v>
      </c>
      <c r="J456" s="145"/>
      <c r="K456" s="144"/>
      <c r="L456" s="178"/>
      <c r="M456" s="176"/>
      <c r="N456" s="178">
        <f>IFERROR(Tabela225[[#This Row],[VALOR  (R$)]]/Tabela225[[#This Row],[PRAZO
EXECUÇÃO]],0)</f>
        <v>0</v>
      </c>
      <c r="O456" s="194" t="s">
        <v>504</v>
      </c>
      <c r="P456" s="145"/>
      <c r="Q456" s="146"/>
      <c r="R456" s="146"/>
      <c r="S456" s="145"/>
      <c r="T456" s="146"/>
      <c r="U456" s="132"/>
    </row>
    <row r="457" spans="1:21">
      <c r="A457" s="144">
        <v>443</v>
      </c>
      <c r="B457" s="145">
        <v>46265</v>
      </c>
      <c r="C457" s="145" t="s">
        <v>1830</v>
      </c>
      <c r="D457" s="146" t="s">
        <v>1827</v>
      </c>
      <c r="E457" s="146" t="s">
        <v>495</v>
      </c>
      <c r="F457" s="146" t="s">
        <v>1831</v>
      </c>
      <c r="G457" s="146" t="s">
        <v>1829</v>
      </c>
      <c r="H457" s="146" t="s">
        <v>520</v>
      </c>
      <c r="I457" s="145">
        <v>46275</v>
      </c>
      <c r="J457" s="145"/>
      <c r="K457" s="144"/>
      <c r="L457" s="178"/>
      <c r="M457" s="176"/>
      <c r="N457" s="178">
        <f>IFERROR(Tabela225[[#This Row],[VALOR  (R$)]]/Tabela225[[#This Row],[PRAZO
EXECUÇÃO]],0)</f>
        <v>0</v>
      </c>
      <c r="O457" s="194" t="s">
        <v>504</v>
      </c>
      <c r="P457" s="145"/>
      <c r="Q457" s="146"/>
      <c r="R457" s="146"/>
      <c r="S457" s="145"/>
      <c r="T457" s="146"/>
      <c r="U457" s="132"/>
    </row>
    <row r="458" spans="1:21">
      <c r="A458" s="144">
        <v>444</v>
      </c>
      <c r="B458" s="145">
        <v>46267</v>
      </c>
      <c r="C458" s="145" t="s">
        <v>1832</v>
      </c>
      <c r="D458" s="146" t="s">
        <v>1833</v>
      </c>
      <c r="E458" s="146" t="s">
        <v>584</v>
      </c>
      <c r="F458" s="146" t="s">
        <v>1828</v>
      </c>
      <c r="G458" s="146" t="s">
        <v>1836</v>
      </c>
      <c r="H458" s="146" t="s">
        <v>520</v>
      </c>
      <c r="I458" s="145">
        <v>46269</v>
      </c>
      <c r="J458" s="145"/>
      <c r="K458" s="144"/>
      <c r="L458" s="178"/>
      <c r="M458" s="176"/>
      <c r="N458" s="203"/>
      <c r="O458" s="194" t="s">
        <v>504</v>
      </c>
      <c r="P458" s="145"/>
      <c r="Q458" s="146"/>
      <c r="R458" s="146"/>
      <c r="S458" s="145"/>
      <c r="T458" s="146"/>
      <c r="U458" s="132"/>
    </row>
    <row r="459" spans="1:21">
      <c r="A459" s="144">
        <v>445</v>
      </c>
      <c r="B459" s="145">
        <v>46267</v>
      </c>
      <c r="C459" s="145" t="s">
        <v>1839</v>
      </c>
      <c r="D459" s="146" t="s">
        <v>1833</v>
      </c>
      <c r="E459" s="146" t="s">
        <v>584</v>
      </c>
      <c r="F459" s="146" t="s">
        <v>1834</v>
      </c>
      <c r="G459" s="146" t="s">
        <v>1835</v>
      </c>
      <c r="H459" s="146" t="s">
        <v>520</v>
      </c>
      <c r="I459" s="145">
        <v>46269</v>
      </c>
      <c r="J459" s="145"/>
      <c r="K459" s="144"/>
      <c r="L459" s="178"/>
      <c r="M459" s="176"/>
      <c r="N459" s="178">
        <f>IFERROR(Tabela225[[#This Row],[VALOR  (R$)]]/Tabela225[[#This Row],[PRAZO
EXECUÇÃO]],0)</f>
        <v>0</v>
      </c>
      <c r="O459" s="194" t="s">
        <v>504</v>
      </c>
      <c r="P459" s="145"/>
      <c r="Q459" s="146"/>
      <c r="R459" s="146"/>
      <c r="S459" s="145"/>
      <c r="T459" s="146"/>
      <c r="U459" s="132"/>
    </row>
    <row r="460" spans="1:21">
      <c r="A460" s="144">
        <v>446</v>
      </c>
      <c r="B460" s="145">
        <v>46267</v>
      </c>
      <c r="C460" s="145" t="s">
        <v>1840</v>
      </c>
      <c r="D460" s="146" t="s">
        <v>1833</v>
      </c>
      <c r="E460" s="146" t="s">
        <v>584</v>
      </c>
      <c r="F460" s="146" t="s">
        <v>1837</v>
      </c>
      <c r="G460" s="146" t="s">
        <v>1838</v>
      </c>
      <c r="H460" s="146" t="s">
        <v>520</v>
      </c>
      <c r="I460" s="145">
        <v>46269</v>
      </c>
      <c r="J460" s="145"/>
      <c r="K460" s="144"/>
      <c r="L460" s="178"/>
      <c r="M460" s="176"/>
      <c r="N460" s="178">
        <f>IFERROR(Tabela225[[#This Row],[VALOR  (R$)]]/Tabela225[[#This Row],[PRAZO
EXECUÇÃO]],0)</f>
        <v>0</v>
      </c>
      <c r="O460" s="194" t="s">
        <v>504</v>
      </c>
      <c r="P460" s="145"/>
      <c r="Q460" s="146"/>
      <c r="R460" s="146"/>
      <c r="S460" s="145"/>
      <c r="T460" s="146"/>
      <c r="U460" s="132"/>
    </row>
    <row r="461" spans="1:21">
      <c r="A461" s="144">
        <v>447</v>
      </c>
      <c r="B461" s="145">
        <v>46267</v>
      </c>
      <c r="C461" s="145" t="s">
        <v>1841</v>
      </c>
      <c r="D461" s="146" t="s">
        <v>486</v>
      </c>
      <c r="E461" s="146" t="s">
        <v>584</v>
      </c>
      <c r="F461" s="146" t="s">
        <v>1842</v>
      </c>
      <c r="G461" s="146" t="s">
        <v>1843</v>
      </c>
      <c r="H461" s="146" t="s">
        <v>520</v>
      </c>
      <c r="I461" s="145">
        <v>46269</v>
      </c>
      <c r="J461" s="145">
        <v>46273</v>
      </c>
      <c r="K461" s="144">
        <v>10</v>
      </c>
      <c r="L461" s="178">
        <v>194245</v>
      </c>
      <c r="M461" s="176">
        <v>0.26</v>
      </c>
      <c r="N461" s="178">
        <f>IFERROR(Tabela225[[#This Row],[VALOR  (R$)]]/Tabela225[[#This Row],[PRAZO
EXECUÇÃO]],0)</f>
        <v>19424.5</v>
      </c>
      <c r="O461" s="194" t="s">
        <v>504</v>
      </c>
      <c r="P461" s="145"/>
      <c r="Q461" s="146"/>
      <c r="R461" s="146"/>
      <c r="S461" s="145"/>
      <c r="T461" s="146"/>
      <c r="U461" s="132"/>
    </row>
    <row r="462" spans="1:21">
      <c r="A462" s="144">
        <v>448</v>
      </c>
      <c r="B462" s="145">
        <v>46267</v>
      </c>
      <c r="C462" s="145" t="s">
        <v>1844</v>
      </c>
      <c r="D462" s="146" t="s">
        <v>486</v>
      </c>
      <c r="E462" s="146" t="s">
        <v>584</v>
      </c>
      <c r="F462" s="146" t="s">
        <v>1297</v>
      </c>
      <c r="G462" s="146" t="s">
        <v>1845</v>
      </c>
      <c r="H462" s="146" t="s">
        <v>520</v>
      </c>
      <c r="I462" s="145">
        <v>46269</v>
      </c>
      <c r="J462" s="145">
        <v>46273</v>
      </c>
      <c r="K462" s="144">
        <v>10</v>
      </c>
      <c r="L462" s="178">
        <v>188940</v>
      </c>
      <c r="M462" s="176">
        <v>0.25</v>
      </c>
      <c r="N462" s="178">
        <f>IFERROR(Tabela225[[#This Row],[VALOR  (R$)]]/Tabela225[[#This Row],[PRAZO
EXECUÇÃO]],0)</f>
        <v>18894</v>
      </c>
      <c r="O462" s="194" t="s">
        <v>504</v>
      </c>
      <c r="P462" s="145"/>
      <c r="Q462" s="146"/>
      <c r="R462" s="146"/>
      <c r="S462" s="145"/>
      <c r="T462" s="146"/>
      <c r="U462" s="132"/>
    </row>
    <row r="463" spans="1:21">
      <c r="A463" s="144">
        <v>449</v>
      </c>
      <c r="B463" s="145">
        <v>46267</v>
      </c>
      <c r="C463" s="145" t="s">
        <v>1846</v>
      </c>
      <c r="D463" s="146" t="s">
        <v>1847</v>
      </c>
      <c r="E463" s="146" t="s">
        <v>495</v>
      </c>
      <c r="F463" s="146" t="s">
        <v>1848</v>
      </c>
      <c r="G463" s="146" t="s">
        <v>1849</v>
      </c>
      <c r="H463" s="146" t="s">
        <v>520</v>
      </c>
      <c r="I463" s="145">
        <v>46273</v>
      </c>
      <c r="J463" s="145"/>
      <c r="K463" s="144"/>
      <c r="L463" s="178"/>
      <c r="M463" s="176"/>
      <c r="N463" s="178">
        <f>IFERROR(Tabela225[[#This Row],[VALOR  (R$)]]/Tabela225[[#This Row],[PRAZO
EXECUÇÃO]],0)</f>
        <v>0</v>
      </c>
      <c r="O463" s="194" t="s">
        <v>504</v>
      </c>
      <c r="P463" s="145"/>
      <c r="Q463" s="146"/>
      <c r="R463" s="146"/>
      <c r="S463" s="145"/>
      <c r="T463" s="146"/>
      <c r="U463" s="132"/>
    </row>
    <row r="464" spans="1:21">
      <c r="A464" s="144">
        <v>450</v>
      </c>
      <c r="B464" s="145">
        <v>46267</v>
      </c>
      <c r="C464" s="145" t="s">
        <v>1850</v>
      </c>
      <c r="D464" s="146" t="s">
        <v>1322</v>
      </c>
      <c r="E464" s="146" t="s">
        <v>495</v>
      </c>
      <c r="F464" s="146" t="s">
        <v>1323</v>
      </c>
      <c r="G464" s="146" t="s">
        <v>1851</v>
      </c>
      <c r="H464" s="146" t="s">
        <v>520</v>
      </c>
      <c r="I464" s="145">
        <v>46269</v>
      </c>
      <c r="J464" s="145"/>
      <c r="K464" s="144"/>
      <c r="L464" s="178"/>
      <c r="M464" s="176"/>
      <c r="N464" s="178">
        <f>IFERROR(Tabela225[[#This Row],[VALOR  (R$)]]/Tabela225[[#This Row],[PRAZO
EXECUÇÃO]],0)</f>
        <v>0</v>
      </c>
      <c r="O464" s="194" t="s">
        <v>504</v>
      </c>
      <c r="P464" s="145"/>
      <c r="Q464" s="146"/>
      <c r="R464" s="146"/>
      <c r="S464" s="145"/>
      <c r="T464" s="146"/>
      <c r="U464" s="132"/>
    </row>
    <row r="465" spans="1:21">
      <c r="A465" s="144">
        <v>451</v>
      </c>
      <c r="B465" s="145">
        <v>46268</v>
      </c>
      <c r="C465" s="145" t="s">
        <v>1852</v>
      </c>
      <c r="D465" s="146" t="s">
        <v>1853</v>
      </c>
      <c r="E465" s="146" t="s">
        <v>584</v>
      </c>
      <c r="F465" s="146" t="s">
        <v>1854</v>
      </c>
      <c r="G465" s="146" t="s">
        <v>1855</v>
      </c>
      <c r="H465" s="146" t="s">
        <v>520</v>
      </c>
      <c r="I465" s="145">
        <v>46268</v>
      </c>
      <c r="J465" s="145">
        <v>46268</v>
      </c>
      <c r="K465" s="144">
        <v>2</v>
      </c>
      <c r="L465" s="178">
        <v>1000</v>
      </c>
      <c r="M465" s="176">
        <v>1</v>
      </c>
      <c r="N465" s="178">
        <f>IFERROR(Tabela225[[#This Row],[VALOR  (R$)]]/Tabela225[[#This Row],[PRAZO
EXECUÇÃO]],0)</f>
        <v>500</v>
      </c>
      <c r="O465" s="194" t="s">
        <v>599</v>
      </c>
      <c r="P465" s="145">
        <v>46268</v>
      </c>
      <c r="Q465" s="146"/>
      <c r="R465" s="146"/>
      <c r="S465" s="145"/>
      <c r="T465" s="146"/>
      <c r="U465" s="132"/>
    </row>
    <row r="466" spans="1:21">
      <c r="A466" s="144">
        <v>452</v>
      </c>
      <c r="B466" s="145">
        <v>46273</v>
      </c>
      <c r="C466" s="145" t="s">
        <v>1856</v>
      </c>
      <c r="D466" s="198" t="s">
        <v>486</v>
      </c>
      <c r="E466" s="198" t="s">
        <v>584</v>
      </c>
      <c r="F466" s="198" t="s">
        <v>993</v>
      </c>
      <c r="G466" s="198" t="s">
        <v>1857</v>
      </c>
      <c r="H466" s="146" t="s">
        <v>520</v>
      </c>
      <c r="I466" s="145">
        <v>46273</v>
      </c>
      <c r="J466" s="145">
        <v>46274</v>
      </c>
      <c r="K466" s="144">
        <f>15*3</f>
        <v>45</v>
      </c>
      <c r="L466" s="178">
        <f>176000*3</f>
        <v>528000</v>
      </c>
      <c r="M466" s="176">
        <v>0.21</v>
      </c>
      <c r="N466" s="178">
        <f>IFERROR(Tabela225[[#This Row],[VALOR  (R$)]]/Tabela225[[#This Row],[PRAZO
EXECUÇÃO]],0)</f>
        <v>11733.333333333334</v>
      </c>
      <c r="O466" s="194" t="s">
        <v>599</v>
      </c>
      <c r="P466" s="145">
        <v>46273</v>
      </c>
      <c r="Q466" s="146"/>
      <c r="R466" s="146"/>
      <c r="S466" s="145"/>
      <c r="T466" s="146"/>
      <c r="U466" s="132"/>
    </row>
    <row r="467" spans="1:21">
      <c r="A467" s="144">
        <v>453</v>
      </c>
      <c r="B467" s="145">
        <v>46273</v>
      </c>
      <c r="C467" s="145" t="s">
        <v>1858</v>
      </c>
      <c r="D467" s="146" t="s">
        <v>486</v>
      </c>
      <c r="E467" s="146" t="s">
        <v>584</v>
      </c>
      <c r="F467" s="146" t="s">
        <v>1859</v>
      </c>
      <c r="G467" s="146" t="s">
        <v>1395</v>
      </c>
      <c r="H467" s="146" t="s">
        <v>520</v>
      </c>
      <c r="I467" s="145">
        <v>46273</v>
      </c>
      <c r="J467" s="145">
        <v>46274</v>
      </c>
      <c r="K467" s="144">
        <f>16+6</f>
        <v>22</v>
      </c>
      <c r="L467" s="178">
        <v>323875</v>
      </c>
      <c r="M467" s="176">
        <v>0.25</v>
      </c>
      <c r="N467" s="178">
        <f>IFERROR(Tabela225[[#This Row],[VALOR  (R$)]]/Tabela225[[#This Row],[PRAZO
EXECUÇÃO]],0)</f>
        <v>14721.59090909091</v>
      </c>
      <c r="O467" s="194" t="s">
        <v>504</v>
      </c>
      <c r="P467" s="145"/>
      <c r="Q467" s="146"/>
      <c r="R467" s="146"/>
      <c r="S467" s="145"/>
      <c r="T467" s="146"/>
      <c r="U467" s="132"/>
    </row>
    <row r="468" spans="1:21">
      <c r="A468" s="144">
        <v>454</v>
      </c>
      <c r="B468" s="145">
        <v>46274</v>
      </c>
      <c r="C468" s="145" t="s">
        <v>1860</v>
      </c>
      <c r="D468" s="146" t="s">
        <v>1861</v>
      </c>
      <c r="E468" s="146" t="s">
        <v>584</v>
      </c>
      <c r="F468" s="146" t="s">
        <v>1744</v>
      </c>
      <c r="G468" s="146" t="s">
        <v>1862</v>
      </c>
      <c r="H468" s="146" t="s">
        <v>520</v>
      </c>
      <c r="I468" s="145">
        <v>46274</v>
      </c>
      <c r="J468" s="145">
        <v>46274</v>
      </c>
      <c r="K468" s="144">
        <v>22</v>
      </c>
      <c r="L468" s="178">
        <v>691130</v>
      </c>
      <c r="M468" s="176">
        <v>0.25</v>
      </c>
      <c r="N468" s="178">
        <f>IFERROR(Tabela225[[#This Row],[VALOR  (R$)]]/Tabela225[[#This Row],[PRAZO
EXECUÇÃO]],0)</f>
        <v>31415</v>
      </c>
      <c r="O468" s="194" t="s">
        <v>504</v>
      </c>
      <c r="P468" s="145"/>
      <c r="Q468" s="146"/>
      <c r="R468" s="146"/>
      <c r="S468" s="145"/>
      <c r="T468" s="146"/>
      <c r="U468" s="132"/>
    </row>
    <row r="469" spans="1:21">
      <c r="A469" s="144">
        <v>455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78"/>
      <c r="M469" s="176"/>
      <c r="N469" s="178">
        <f>IFERROR(Tabela225[[#This Row],[VALOR  (R$)]]/Tabela225[[#This Row],[PRAZO
EXECUÇÃO]],0)</f>
        <v>0</v>
      </c>
      <c r="O469" s="194"/>
      <c r="P469" s="145"/>
      <c r="Q469" s="146"/>
      <c r="R469" s="146"/>
      <c r="S469" s="145"/>
      <c r="T469" s="146"/>
      <c r="U469" s="132"/>
    </row>
    <row r="470" spans="1:21">
      <c r="A470" s="144">
        <v>456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78"/>
      <c r="M470" s="176"/>
      <c r="N470" s="178">
        <f>IFERROR(Tabela225[[#This Row],[VALOR  (R$)]]/Tabela225[[#This Row],[PRAZO
EXECUÇÃO]],0)</f>
        <v>0</v>
      </c>
      <c r="O470" s="194"/>
      <c r="P470" s="145"/>
      <c r="Q470" s="146"/>
      <c r="R470" s="146"/>
      <c r="S470" s="145"/>
      <c r="T470" s="146"/>
      <c r="U470" s="132"/>
    </row>
    <row r="471" spans="1:21">
      <c r="A471" s="144">
        <v>457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78"/>
      <c r="M471" s="176"/>
      <c r="N471" s="178">
        <f>IFERROR(Tabela225[[#This Row],[VALOR  (R$)]]/Tabela225[[#This Row],[PRAZO
EXECUÇÃO]],0)</f>
        <v>0</v>
      </c>
      <c r="O471" s="194"/>
      <c r="P471" s="145"/>
      <c r="Q471" s="146"/>
      <c r="R471" s="146"/>
      <c r="S471" s="145"/>
      <c r="T471" s="146"/>
      <c r="U471" s="132"/>
    </row>
    <row r="472" spans="1:21">
      <c r="A472" s="144">
        <v>458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78"/>
      <c r="M472" s="176"/>
      <c r="N472" s="178">
        <f>IFERROR(Tabela225[[#This Row],[VALOR  (R$)]]/Tabela225[[#This Row],[PRAZO
EXECUÇÃO]],0)</f>
        <v>0</v>
      </c>
      <c r="O472" s="194"/>
      <c r="P472" s="145"/>
      <c r="Q472" s="146"/>
      <c r="R472" s="146"/>
      <c r="S472" s="145"/>
      <c r="T472" s="146"/>
      <c r="U472" s="132"/>
    </row>
    <row r="473" spans="1:21">
      <c r="A473" s="144">
        <v>459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78"/>
      <c r="M473" s="176"/>
      <c r="N473" s="178">
        <f>IFERROR(Tabela225[[#This Row],[VALOR  (R$)]]/Tabela225[[#This Row],[PRAZO
EXECUÇÃO]],0)</f>
        <v>0</v>
      </c>
      <c r="O473" s="194"/>
      <c r="P473" s="145"/>
      <c r="Q473" s="146"/>
      <c r="R473" s="146"/>
      <c r="S473" s="145"/>
      <c r="T473" s="146"/>
      <c r="U473" s="132"/>
    </row>
    <row r="474" spans="1:21">
      <c r="A474" s="144">
        <v>460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78"/>
      <c r="M474" s="176"/>
      <c r="N474" s="178">
        <f>IFERROR(Tabela225[[#This Row],[VALOR  (R$)]]/Tabela225[[#This Row],[PRAZO
EXECUÇÃO]],0)</f>
        <v>0</v>
      </c>
      <c r="O474" s="194"/>
      <c r="P474" s="145"/>
      <c r="Q474" s="146"/>
      <c r="R474" s="146"/>
      <c r="S474" s="145"/>
      <c r="T474" s="146"/>
      <c r="U474" s="132"/>
    </row>
    <row r="475" spans="1:21">
      <c r="A475" s="144">
        <v>461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78"/>
      <c r="M475" s="176"/>
      <c r="N475" s="178">
        <f>IFERROR(Tabela225[[#This Row],[VALOR  (R$)]]/Tabela225[[#This Row],[PRAZO
EXECUÇÃO]],0)</f>
        <v>0</v>
      </c>
      <c r="O475" s="194"/>
      <c r="P475" s="145"/>
      <c r="Q475" s="146"/>
      <c r="R475" s="146"/>
      <c r="S475" s="145"/>
      <c r="T475" s="146"/>
      <c r="U475" s="132"/>
    </row>
    <row r="476" spans="1:21">
      <c r="A476" s="144">
        <v>462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78"/>
      <c r="M476" s="176"/>
      <c r="N476" s="178">
        <f>IFERROR(Tabela225[[#This Row],[VALOR  (R$)]]/Tabela225[[#This Row],[PRAZO
EXECUÇÃO]],0)</f>
        <v>0</v>
      </c>
      <c r="O476" s="194"/>
      <c r="P476" s="145"/>
      <c r="Q476" s="146"/>
      <c r="R476" s="146"/>
      <c r="S476" s="145"/>
      <c r="T476" s="146"/>
      <c r="U476" s="132"/>
    </row>
    <row r="477" spans="1:21">
      <c r="A477" s="144">
        <v>463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78"/>
      <c r="M477" s="176"/>
      <c r="N477" s="178">
        <f>IFERROR(Tabela225[[#This Row],[VALOR  (R$)]]/Tabela225[[#This Row],[PRAZO
EXECUÇÃO]],0)</f>
        <v>0</v>
      </c>
      <c r="O477" s="194"/>
      <c r="P477" s="145"/>
      <c r="Q477" s="146"/>
      <c r="R477" s="146"/>
      <c r="S477" s="145"/>
      <c r="T477" s="146"/>
      <c r="U477" s="132"/>
    </row>
    <row r="478" spans="1:21">
      <c r="A478" s="144">
        <v>464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78"/>
      <c r="M478" s="176"/>
      <c r="N478" s="178">
        <f>IFERROR(Tabela225[[#This Row],[VALOR  (R$)]]/Tabela225[[#This Row],[PRAZO
EXECUÇÃO]],0)</f>
        <v>0</v>
      </c>
      <c r="O478" s="194"/>
      <c r="P478" s="145"/>
      <c r="Q478" s="146"/>
      <c r="R478" s="146"/>
      <c r="S478" s="145"/>
      <c r="T478" s="146"/>
      <c r="U478" s="132"/>
    </row>
    <row r="479" spans="1:21">
      <c r="A479" s="144">
        <v>465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78"/>
      <c r="M479" s="176"/>
      <c r="N479" s="178">
        <f>IFERROR(Tabela225[[#This Row],[VALOR  (R$)]]/Tabela225[[#This Row],[PRAZO
EXECUÇÃO]],0)</f>
        <v>0</v>
      </c>
      <c r="O479" s="194"/>
      <c r="P479" s="145"/>
      <c r="Q479" s="146"/>
      <c r="R479" s="146"/>
      <c r="S479" s="145"/>
      <c r="T479" s="146"/>
      <c r="U479" s="132"/>
    </row>
    <row r="480" spans="1:21">
      <c r="A480" s="144">
        <v>466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78"/>
      <c r="M480" s="176"/>
      <c r="N480" s="178">
        <f>IFERROR(Tabela225[[#This Row],[VALOR  (R$)]]/Tabela225[[#This Row],[PRAZO
EXECUÇÃO]],0)</f>
        <v>0</v>
      </c>
      <c r="O480" s="194"/>
      <c r="P480" s="145"/>
      <c r="Q480" s="146"/>
      <c r="R480" s="146"/>
      <c r="S480" s="145"/>
      <c r="T480" s="146"/>
      <c r="U480" s="132"/>
    </row>
    <row r="481" spans="1:21">
      <c r="A481" s="144">
        <v>467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78"/>
      <c r="M481" s="176"/>
      <c r="N481" s="178">
        <f>IFERROR(Tabela225[[#This Row],[VALOR  (R$)]]/Tabela225[[#This Row],[PRAZO
EXECUÇÃO]],0)</f>
        <v>0</v>
      </c>
      <c r="O481" s="194"/>
      <c r="P481" s="145"/>
      <c r="Q481" s="146"/>
      <c r="R481" s="146"/>
      <c r="S481" s="145"/>
      <c r="T481" s="146"/>
      <c r="U481" s="132"/>
    </row>
    <row r="482" spans="1:21">
      <c r="A482" s="144">
        <v>468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78"/>
      <c r="M482" s="176"/>
      <c r="N482" s="178">
        <f>IFERROR(Tabela225[[#This Row],[VALOR  (R$)]]/Tabela225[[#This Row],[PRAZO
EXECUÇÃO]],0)</f>
        <v>0</v>
      </c>
      <c r="O482" s="194"/>
      <c r="P482" s="145"/>
      <c r="Q482" s="146"/>
      <c r="R482" s="146"/>
      <c r="S482" s="145"/>
      <c r="T482" s="146"/>
      <c r="U482" s="132"/>
    </row>
    <row r="483" spans="1:21">
      <c r="A483" s="144">
        <v>469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78"/>
      <c r="M483" s="176"/>
      <c r="N483" s="178">
        <f>IFERROR(Tabela225[[#This Row],[VALOR  (R$)]]/Tabela225[[#This Row],[PRAZO
EXECUÇÃO]],0)</f>
        <v>0</v>
      </c>
      <c r="O483" s="194"/>
      <c r="P483" s="145"/>
      <c r="Q483" s="146"/>
      <c r="R483" s="146"/>
      <c r="S483" s="145"/>
      <c r="T483" s="146"/>
      <c r="U483" s="132"/>
    </row>
    <row r="484" spans="1:21">
      <c r="A484" s="144">
        <v>470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78"/>
      <c r="M484" s="176"/>
      <c r="N484" s="178">
        <f>IFERROR(Tabela225[[#This Row],[VALOR  (R$)]]/Tabela225[[#This Row],[PRAZO
EXECUÇÃO]],0)</f>
        <v>0</v>
      </c>
      <c r="O484" s="194"/>
      <c r="P484" s="145"/>
      <c r="Q484" s="146"/>
      <c r="R484" s="146"/>
      <c r="S484" s="145"/>
      <c r="T484" s="146"/>
      <c r="U484" s="132"/>
    </row>
    <row r="485" spans="1:21">
      <c r="A485" s="144">
        <v>471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78"/>
      <c r="M485" s="176"/>
      <c r="N485" s="178">
        <f>IFERROR(Tabela225[[#This Row],[VALOR  (R$)]]/Tabela225[[#This Row],[PRAZO
EXECUÇÃO]],0)</f>
        <v>0</v>
      </c>
      <c r="O485" s="194"/>
      <c r="P485" s="145"/>
      <c r="Q485" s="146"/>
      <c r="R485" s="146"/>
      <c r="S485" s="145"/>
      <c r="T485" s="146"/>
      <c r="U485" s="132"/>
    </row>
    <row r="486" spans="1:21">
      <c r="A486" s="144">
        <v>472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78"/>
      <c r="M486" s="176"/>
      <c r="N486" s="178">
        <f>IFERROR(Tabela225[[#This Row],[VALOR  (R$)]]/Tabela225[[#This Row],[PRAZO
EXECUÇÃO]],0)</f>
        <v>0</v>
      </c>
      <c r="O486" s="194"/>
      <c r="P486" s="145"/>
      <c r="Q486" s="146"/>
      <c r="R486" s="146"/>
      <c r="S486" s="145"/>
      <c r="T486" s="146"/>
      <c r="U486" s="132"/>
    </row>
    <row r="487" spans="1:21">
      <c r="A487" s="144">
        <v>473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78"/>
      <c r="M487" s="176"/>
      <c r="N487" s="178">
        <f>IFERROR(Tabela225[[#This Row],[VALOR  (R$)]]/Tabela225[[#This Row],[PRAZO
EXECUÇÃO]],0)</f>
        <v>0</v>
      </c>
      <c r="O487" s="194"/>
      <c r="P487" s="145"/>
      <c r="Q487" s="146"/>
      <c r="R487" s="146"/>
      <c r="S487" s="145"/>
      <c r="T487" s="146"/>
      <c r="U487" s="132"/>
    </row>
    <row r="488" spans="1:21">
      <c r="A488" s="144">
        <v>474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78"/>
      <c r="M488" s="176"/>
      <c r="N488" s="178">
        <f>IFERROR(Tabela225[[#This Row],[VALOR  (R$)]]/Tabela225[[#This Row],[PRAZO
EXECUÇÃO]],0)</f>
        <v>0</v>
      </c>
      <c r="O488" s="194"/>
      <c r="P488" s="145"/>
      <c r="Q488" s="146"/>
      <c r="R488" s="146"/>
      <c r="S488" s="145"/>
      <c r="T488" s="146"/>
      <c r="U488" s="132"/>
    </row>
    <row r="489" spans="1:21">
      <c r="A489" s="144">
        <v>475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78"/>
      <c r="M489" s="176"/>
      <c r="N489" s="178">
        <f>IFERROR(Tabela225[[#This Row],[VALOR  (R$)]]/Tabela225[[#This Row],[PRAZO
EXECUÇÃO]],0)</f>
        <v>0</v>
      </c>
      <c r="O489" s="194"/>
      <c r="P489" s="145"/>
      <c r="Q489" s="146"/>
      <c r="R489" s="146"/>
      <c r="S489" s="145"/>
      <c r="T489" s="146"/>
      <c r="U489" s="132"/>
    </row>
    <row r="490" spans="1:21">
      <c r="A490" s="144">
        <v>476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78"/>
      <c r="M490" s="176"/>
      <c r="N490" s="178">
        <f>IFERROR(Tabela225[[#This Row],[VALOR  (R$)]]/Tabela225[[#This Row],[PRAZO
EXECUÇÃO]],0)</f>
        <v>0</v>
      </c>
      <c r="O490" s="194"/>
      <c r="P490" s="145"/>
      <c r="Q490" s="146"/>
      <c r="R490" s="146"/>
      <c r="S490" s="145"/>
      <c r="T490" s="146"/>
      <c r="U490" s="132"/>
    </row>
    <row r="491" spans="1:21">
      <c r="A491" s="144">
        <v>477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78"/>
      <c r="M491" s="176"/>
      <c r="N491" s="178">
        <f>IFERROR(Tabela225[[#This Row],[VALOR  (R$)]]/Tabela225[[#This Row],[PRAZO
EXECUÇÃO]],0)</f>
        <v>0</v>
      </c>
      <c r="O491" s="194"/>
      <c r="P491" s="145"/>
      <c r="Q491" s="146"/>
      <c r="R491" s="146"/>
      <c r="S491" s="145"/>
      <c r="T491" s="146"/>
      <c r="U491" s="132"/>
    </row>
    <row r="492" spans="1:21">
      <c r="A492" s="144">
        <v>478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78"/>
      <c r="M492" s="176"/>
      <c r="N492" s="178">
        <f>IFERROR(Tabela225[[#This Row],[VALOR  (R$)]]/Tabela225[[#This Row],[PRAZO
EXECUÇÃO]],0)</f>
        <v>0</v>
      </c>
      <c r="O492" s="194"/>
      <c r="P492" s="145"/>
      <c r="Q492" s="146"/>
      <c r="R492" s="146"/>
      <c r="S492" s="145"/>
      <c r="T492" s="146"/>
      <c r="U492" s="132"/>
    </row>
    <row r="493" spans="1:21">
      <c r="A493" s="144">
        <v>479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78"/>
      <c r="M493" s="176"/>
      <c r="N493" s="178">
        <f>IFERROR(Tabela225[[#This Row],[VALOR  (R$)]]/Tabela225[[#This Row],[PRAZO
EXECUÇÃO]],0)</f>
        <v>0</v>
      </c>
      <c r="O493" s="194"/>
      <c r="P493" s="145"/>
      <c r="Q493" s="146"/>
      <c r="R493" s="146"/>
      <c r="S493" s="145"/>
      <c r="T493" s="146"/>
      <c r="U493" s="132"/>
    </row>
    <row r="494" spans="1:21">
      <c r="A494" s="144">
        <v>480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78"/>
      <c r="M494" s="176"/>
      <c r="N494" s="178">
        <f>IFERROR(Tabela225[[#This Row],[VALOR  (R$)]]/Tabela225[[#This Row],[PRAZO
EXECUÇÃO]],0)</f>
        <v>0</v>
      </c>
      <c r="O494" s="194"/>
      <c r="P494" s="145"/>
      <c r="Q494" s="146"/>
      <c r="R494" s="146"/>
      <c r="S494" s="145"/>
      <c r="T494" s="146"/>
      <c r="U494" s="132"/>
    </row>
    <row r="495" spans="1:21">
      <c r="A495" s="144">
        <v>481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78"/>
      <c r="M495" s="176"/>
      <c r="N495" s="178">
        <f>IFERROR(Tabela225[[#This Row],[VALOR  (R$)]]/Tabela225[[#This Row],[PRAZO
EXECUÇÃO]],0)</f>
        <v>0</v>
      </c>
      <c r="O495" s="194"/>
      <c r="P495" s="145"/>
      <c r="Q495" s="146"/>
      <c r="R495" s="146"/>
      <c r="S495" s="145"/>
      <c r="T495" s="146"/>
      <c r="U495" s="132"/>
    </row>
    <row r="496" spans="1:21">
      <c r="A496" s="144">
        <v>482</v>
      </c>
      <c r="B496" s="145"/>
      <c r="C496" s="145"/>
      <c r="D496" s="146"/>
      <c r="E496" s="146"/>
      <c r="F496" s="146"/>
      <c r="G496" s="146"/>
      <c r="H496" s="146"/>
      <c r="I496" s="145"/>
      <c r="J496" s="145"/>
      <c r="K496" s="144"/>
      <c r="L496" s="178"/>
      <c r="M496" s="176"/>
      <c r="N496" s="178">
        <f>IFERROR(Tabela225[[#This Row],[VALOR  (R$)]]/Tabela225[[#This Row],[PRAZO
EXECUÇÃO]],0)</f>
        <v>0</v>
      </c>
      <c r="O496" s="194"/>
      <c r="P496" s="145"/>
      <c r="Q496" s="146"/>
      <c r="R496" s="146"/>
      <c r="S496" s="145"/>
      <c r="T496" s="146"/>
      <c r="U496" s="132"/>
    </row>
    <row r="497" spans="1:21">
      <c r="A497" s="144">
        <v>483</v>
      </c>
      <c r="B497" s="145"/>
      <c r="C497" s="145"/>
      <c r="D497" s="146"/>
      <c r="E497" s="146"/>
      <c r="F497" s="146"/>
      <c r="G497" s="146"/>
      <c r="H497" s="146"/>
      <c r="I497" s="145"/>
      <c r="J497" s="145"/>
      <c r="K497" s="144"/>
      <c r="L497" s="178"/>
      <c r="M497" s="176"/>
      <c r="N497" s="178">
        <f>IFERROR(Tabela225[[#This Row],[VALOR  (R$)]]/Tabela225[[#This Row],[PRAZO
EXECUÇÃO]],0)</f>
        <v>0</v>
      </c>
      <c r="O497" s="194"/>
      <c r="P497" s="145"/>
      <c r="Q497" s="146"/>
      <c r="R497" s="146"/>
      <c r="S497" s="145"/>
      <c r="T497" s="146"/>
      <c r="U497" s="132"/>
    </row>
    <row r="498" spans="1:21">
      <c r="A498" s="145"/>
      <c r="B498" s="145"/>
      <c r="C498" s="145"/>
      <c r="D498" s="146"/>
      <c r="E498" s="146"/>
      <c r="F498" s="146"/>
      <c r="G498" s="146"/>
      <c r="H498" s="146"/>
      <c r="I498" s="145"/>
      <c r="J498" s="145"/>
      <c r="K498" s="144"/>
      <c r="L498" s="178"/>
      <c r="M498" s="176"/>
      <c r="N498" s="203"/>
      <c r="O498" s="194"/>
      <c r="P498" s="145"/>
      <c r="Q498" s="146"/>
      <c r="R498" s="146"/>
      <c r="S498" s="145"/>
      <c r="T498" s="146"/>
    </row>
    <row r="499" spans="1:21">
      <c r="Q499" s="132"/>
    </row>
    <row r="515" spans="12:12">
      <c r="L515" s="179"/>
    </row>
  </sheetData>
  <phoneticPr fontId="15" type="noConversion"/>
  <conditionalFormatting sqref="O1:O457 O459:O497">
    <cfRule type="containsText" dxfId="9" priority="3" operator="containsText" text="PERDIDA">
      <formula>NOT(ISERROR(SEARCH("PERDIDA",O1)))</formula>
    </cfRule>
    <cfRule type="containsText" dxfId="8" priority="4" operator="containsText" text="NEGOCIAÇÃO">
      <formula>NOT(ISERROR(SEARCH("NEGOCIAÇÃO",O1)))</formula>
    </cfRule>
    <cfRule type="containsText" dxfId="7" priority="5" operator="containsText" text="APROVADA">
      <formula>NOT(ISERROR(SEARCH("APROVADA",O1)))</formula>
    </cfRule>
  </conditionalFormatting>
  <conditionalFormatting sqref="O2:O457 O459:O497">
    <cfRule type="containsText" dxfId="6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50:S303 S28:S248" xr:uid="{461F33ED-340F-40A0-8012-C401D6A7DA76}">
      <formula1>"CONCLUÍDO, PENDENTE"</formula1>
    </dataValidation>
    <dataValidation type="list" allowBlank="1" showInputMessage="1" showErrorMessage="1" sqref="E250:E454 E493 E29:E248" xr:uid="{47986632-7426-4144-A9D0-F21E9A336CE3}">
      <formula1>"MANUTENÇÃO, FABRICANTE, CLIENTE FINAL"</formula1>
    </dataValidation>
    <dataValidation type="list" allowBlank="1" showInputMessage="1" showErrorMessage="1" sqref="O2:O457 O459:O497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B5780-2594-4403-B506-BE1580B8806D}">
  <dimension ref="A1:L200"/>
  <sheetViews>
    <sheetView zoomScale="80" zoomScaleNormal="80" workbookViewId="0">
      <pane ySplit="19" topLeftCell="A173" activePane="bottomLeft" state="frozen"/>
      <selection pane="bottomLeft" activeCell="A183" sqref="A183"/>
    </sheetView>
  </sheetViews>
  <sheetFormatPr defaultRowHeight="15"/>
  <cols>
    <col min="1" max="1" width="26.7109375" customWidth="1"/>
    <col min="2" max="2" width="15.28515625" customWidth="1"/>
    <col min="3" max="3" width="28.5703125" customWidth="1"/>
    <col min="4" max="4" width="20" customWidth="1"/>
    <col min="5" max="5" width="36.140625" customWidth="1"/>
    <col min="6" max="6" width="21" customWidth="1"/>
    <col min="7" max="7" width="32.42578125" customWidth="1"/>
    <col min="8" max="8" width="64.7109375" customWidth="1"/>
    <col min="9" max="10" width="21" customWidth="1"/>
    <col min="11" max="11" width="22.85546875" customWidth="1"/>
    <col min="12" max="12" width="25.7109375" customWidth="1"/>
  </cols>
  <sheetData>
    <row r="1" spans="1:12" ht="20.25">
      <c r="A1" s="212" t="s">
        <v>1790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</row>
    <row r="2" spans="1:12">
      <c r="A2" s="214" t="s">
        <v>1791</v>
      </c>
      <c r="B2" s="213"/>
      <c r="C2" s="213"/>
      <c r="D2" s="213"/>
      <c r="E2" s="213"/>
      <c r="F2" s="213"/>
      <c r="G2" s="213"/>
      <c r="H2" s="213"/>
      <c r="I2" s="213"/>
      <c r="J2" s="213"/>
      <c r="K2" s="213"/>
      <c r="L2" s="213"/>
    </row>
    <row r="3" spans="1:12">
      <c r="A3" s="213"/>
      <c r="B3" s="213"/>
      <c r="C3" s="213"/>
      <c r="D3" s="213"/>
      <c r="E3" s="213"/>
      <c r="F3" s="213"/>
      <c r="G3" s="213"/>
      <c r="H3" s="213"/>
      <c r="I3" s="213"/>
      <c r="J3" s="213"/>
      <c r="K3" s="213"/>
      <c r="L3" s="213"/>
    </row>
    <row r="4" spans="1:12">
      <c r="C4" s="213"/>
      <c r="D4" s="213"/>
      <c r="E4" s="213"/>
      <c r="F4" s="213"/>
      <c r="G4" s="213"/>
      <c r="H4" s="215" t="s">
        <v>1792</v>
      </c>
      <c r="I4" s="216">
        <f ca="1">TODAY()</f>
        <v>46275</v>
      </c>
      <c r="J4" s="213"/>
      <c r="K4" s="213"/>
      <c r="L4" s="213"/>
    </row>
    <row r="5" spans="1:12">
      <c r="C5" s="213"/>
      <c r="D5" s="213"/>
      <c r="E5" s="213"/>
      <c r="F5" s="213"/>
      <c r="G5" s="213"/>
      <c r="H5" s="238" t="s">
        <v>1793</v>
      </c>
      <c r="I5" s="217" t="s">
        <v>1794</v>
      </c>
      <c r="J5" s="213"/>
      <c r="K5" s="213"/>
      <c r="L5" s="213"/>
    </row>
    <row r="6" spans="1:12">
      <c r="C6" s="213"/>
      <c r="D6" s="213"/>
      <c r="E6" s="213"/>
      <c r="F6" s="213"/>
      <c r="G6" s="213"/>
      <c r="H6" s="221" t="s">
        <v>1795</v>
      </c>
      <c r="I6" s="239">
        <v>60</v>
      </c>
      <c r="J6" s="213"/>
      <c r="K6" s="213"/>
      <c r="L6" s="213"/>
    </row>
    <row r="7" spans="1:12">
      <c r="C7" s="213"/>
      <c r="D7" s="213"/>
      <c r="E7" s="213"/>
      <c r="F7" s="213"/>
      <c r="G7" s="213"/>
      <c r="H7" s="221" t="s">
        <v>1796</v>
      </c>
      <c r="I7" s="239">
        <v>30</v>
      </c>
      <c r="J7" s="213"/>
      <c r="K7" s="213"/>
      <c r="L7" s="213"/>
    </row>
    <row r="8" spans="1:12">
      <c r="C8" s="213"/>
      <c r="D8" s="213"/>
      <c r="E8" s="213"/>
      <c r="F8" s="213"/>
      <c r="G8" s="213"/>
      <c r="H8" s="221" t="s">
        <v>1797</v>
      </c>
      <c r="I8" s="239">
        <v>15</v>
      </c>
      <c r="J8" s="213"/>
      <c r="K8" s="213"/>
      <c r="L8" s="213"/>
    </row>
    <row r="9" spans="1:12">
      <c r="C9" s="213"/>
      <c r="D9" s="213"/>
      <c r="E9" s="213"/>
      <c r="F9" s="213"/>
      <c r="G9" s="213"/>
      <c r="H9" s="221" t="s">
        <v>1798</v>
      </c>
      <c r="I9" s="240">
        <f>I8</f>
        <v>15</v>
      </c>
      <c r="J9" s="213"/>
      <c r="K9" s="213"/>
      <c r="L9" s="213"/>
    </row>
    <row r="10" spans="1:12">
      <c r="A10" s="213"/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</row>
    <row r="11" spans="1:12">
      <c r="A11" s="217" t="s">
        <v>1799</v>
      </c>
      <c r="B11" s="217" t="s">
        <v>1800</v>
      </c>
      <c r="C11" s="217" t="s">
        <v>1801</v>
      </c>
      <c r="D11" s="217" t="s">
        <v>1802</v>
      </c>
      <c r="E11" s="217" t="s">
        <v>1803</v>
      </c>
      <c r="F11" s="217" t="s">
        <v>1804</v>
      </c>
      <c r="G11" s="213"/>
      <c r="H11" s="217" t="s">
        <v>311</v>
      </c>
      <c r="I11" s="217" t="s">
        <v>1802</v>
      </c>
      <c r="J11" s="217" t="s">
        <v>1803</v>
      </c>
      <c r="K11" s="217" t="s">
        <v>1809</v>
      </c>
      <c r="L11" s="217" t="s">
        <v>1810</v>
      </c>
    </row>
    <row r="12" spans="1:12">
      <c r="A12" s="218" t="s">
        <v>1805</v>
      </c>
      <c r="B12" s="219">
        <f>$I$6</f>
        <v>60</v>
      </c>
      <c r="C12" s="219">
        <v>99999</v>
      </c>
      <c r="D12" s="219" t="e" cm="1">
        <f t="array" aca="1" ref="D12" ca="1">SUMPRODUCT(((Tabela225[STATUS
PROPOSTA]="EM ABERTO")+(Tabela225[STATUS
PROPOSTA]="NEGOCIAÇÃO"))*(($I$4-Tabela225[DT. ABERTURA])&gt;=$B12)*(($I$4-Tabela225[DT. ABERTURA])&lt;=$C12))</f>
        <v>#VALUE!</v>
      </c>
      <c r="E12" s="241" t="e" cm="1">
        <f t="array" aca="1" ref="E12" ca="1">SUMPRODUCT(((Tabela225[STATUS
PROPOSTA]="EM ABERTO")+(Tabela225[STATUS
PROPOSTA]="NEGOCIAÇÃO"))*(($I$4-Tabela225[DT. ABERTURA])&gt;=$B12)*(($I$4-Tabela225[DT. ABERTURA])&lt;=$C12)*IFERROR(Tabela225[VALOR  (R$)]*1,0))</f>
        <v>#VALUE!</v>
      </c>
      <c r="F12" s="220">
        <f ca="1">IFERROR(E12/$E$16,0)</f>
        <v>0</v>
      </c>
      <c r="G12" s="213"/>
      <c r="H12" s="221" t="s">
        <v>504</v>
      </c>
      <c r="I12" s="222">
        <f>COUNTIFS(Tabela225[STATUS
PROPOSTA],$H12)</f>
        <v>151</v>
      </c>
      <c r="J12" s="246">
        <f>SUMIFS(Tabela225[VALOR  (R$)],Tabela225[STATUS
PROPOSTA],$H12)</f>
        <v>64141700.599999994</v>
      </c>
      <c r="K12" s="246">
        <f>IFERROR(J12/I12,0)</f>
        <v>424779.47417218541</v>
      </c>
      <c r="L12" s="222">
        <f ca="1">IFERROR($I$4-AVERAGEIFS(Tabela225[DT. ABERTURA],Tabela225[STATUS
PROPOSTA],$H12,Tabela225[DT. ABERTURA],"&lt;="&amp;$I$4),0)</f>
        <v>76.020134228187089</v>
      </c>
    </row>
    <row r="13" spans="1:12">
      <c r="A13" s="223" t="s">
        <v>1806</v>
      </c>
      <c r="B13" s="224">
        <f>$I$7</f>
        <v>30</v>
      </c>
      <c r="C13" s="224">
        <f>$I$6-1</f>
        <v>59</v>
      </c>
      <c r="D13" s="224" t="e" cm="1">
        <f t="array" aca="1" ref="D13" ca="1">SUMPRODUCT(((Tabela225[STATUS
PROPOSTA]="EM ABERTO")+(Tabela225[STATUS
PROPOSTA]="NEGOCIAÇÃO"))*(($I$4-Tabela225[DT. ABERTURA])&gt;=$B13)*(($I$4-Tabela225[DT. ABERTURA])&lt;=$C13))</f>
        <v>#VALUE!</v>
      </c>
      <c r="E13" s="242" t="e" cm="1">
        <f t="array" aca="1" ref="E13" ca="1">SUMPRODUCT(((Tabela225[STATUS
PROPOSTA]="EM ABERTO")+(Tabela225[STATUS
PROPOSTA]="NEGOCIAÇÃO"))*(($I$4-Tabela225[DT. ABERTURA])&gt;=$B13)*(($I$4-Tabela225[DT. ABERTURA])&lt;=$C13)*IFERROR(Tabela225[VALOR  (R$)]*1,0))</f>
        <v>#VALUE!</v>
      </c>
      <c r="F13" s="225">
        <f ca="1">IFERROR(E13/$E$16,0)</f>
        <v>0</v>
      </c>
      <c r="G13" s="213"/>
      <c r="H13" s="221" t="s">
        <v>656</v>
      </c>
      <c r="I13" s="222">
        <f>COUNTIFS(Tabela225[STATUS
PROPOSTA],$H13)</f>
        <v>22</v>
      </c>
      <c r="J13" s="246">
        <f>SUMIFS(Tabela225[VALOR  (R$)],Tabela225[STATUS
PROPOSTA],$H13)</f>
        <v>20562159</v>
      </c>
      <c r="K13" s="246">
        <f>IFERROR(J13/I13,0)</f>
        <v>934643.59090909094</v>
      </c>
      <c r="L13" s="222">
        <f ca="1">IFERROR($I$4-AVERAGEIFS(Tabela225[DT. ABERTURA],Tabela225[STATUS
PROPOSTA],$H13,Tabela225[DT. ABERTURA],"&lt;="&amp;$I$4),0)</f>
        <v>94.863636363639671</v>
      </c>
    </row>
    <row r="14" spans="1:12">
      <c r="A14" s="226" t="s">
        <v>1807</v>
      </c>
      <c r="B14" s="227">
        <f>$I$8</f>
        <v>15</v>
      </c>
      <c r="C14" s="227">
        <f>$I$7-1</f>
        <v>29</v>
      </c>
      <c r="D14" s="227" t="e" cm="1">
        <f t="array" aca="1" ref="D14" ca="1">SUMPRODUCT(((Tabela225[STATUS
PROPOSTA]="EM ABERTO")+(Tabela225[STATUS
PROPOSTA]="NEGOCIAÇÃO"))*(($I$4-Tabela225[DT. ABERTURA])&gt;=$B14)*(($I$4-Tabela225[DT. ABERTURA])&lt;=$C14))</f>
        <v>#VALUE!</v>
      </c>
      <c r="E14" s="243" t="e" cm="1">
        <f t="array" aca="1" ref="E14" ca="1">SUMPRODUCT(((Tabela225[STATUS
PROPOSTA]="EM ABERTO")+(Tabela225[STATUS
PROPOSTA]="NEGOCIAÇÃO"))*(($I$4-Tabela225[DT. ABERTURA])&gt;=$B14)*(($I$4-Tabela225[DT. ABERTURA])&lt;=$C14)*IFERROR(Tabela225[VALOR  (R$)]*1,0))</f>
        <v>#VALUE!</v>
      </c>
      <c r="F14" s="228">
        <f ca="1">IFERROR(E14/$E$16,0)</f>
        <v>0</v>
      </c>
      <c r="G14" s="213"/>
      <c r="H14" s="229" t="s">
        <v>567</v>
      </c>
      <c r="I14" s="230">
        <f>SUM(I12:I13)</f>
        <v>173</v>
      </c>
      <c r="J14" s="245">
        <f>SUM(J12:J13)</f>
        <v>84703859.599999994</v>
      </c>
      <c r="K14" s="245">
        <f>IFERROR(J14/I14,0)</f>
        <v>489617.68554913293</v>
      </c>
      <c r="L14" s="230">
        <f ca="1">IFERROR((L12*I12+L13*I13)/I14,0)</f>
        <v>78.416417736741749</v>
      </c>
    </row>
    <row r="15" spans="1:12">
      <c r="A15" s="231" t="s">
        <v>1808</v>
      </c>
      <c r="B15" s="232">
        <v>0</v>
      </c>
      <c r="C15" s="232">
        <f>$I$8-1</f>
        <v>14</v>
      </c>
      <c r="D15" s="232" t="e" cm="1">
        <f t="array" aca="1" ref="D15" ca="1">SUMPRODUCT(((Tabela225[STATUS
PROPOSTA]="EM ABERTO")+(Tabela225[STATUS
PROPOSTA]="NEGOCIAÇÃO"))*(($I$4-Tabela225[DT. ABERTURA])&gt;=$B15)*(($I$4-Tabela225[DT. ABERTURA])&lt;=$C15))</f>
        <v>#VALUE!</v>
      </c>
      <c r="E15" s="244" t="e" cm="1">
        <f t="array" aca="1" ref="E15" ca="1">SUMPRODUCT(((Tabela225[STATUS
PROPOSTA]="EM ABERTO")+(Tabela225[STATUS
PROPOSTA]="NEGOCIAÇÃO"))*(($I$4-Tabela225[DT. ABERTURA])&gt;=$B15)*(($I$4-Tabela225[DT. ABERTURA])&lt;=$C15)*IFERROR(Tabela225[VALOR  (R$)]*1,0))</f>
        <v>#VALUE!</v>
      </c>
      <c r="F15" s="233">
        <f ca="1">IFERROR(E15/$E$16,0)</f>
        <v>0</v>
      </c>
      <c r="G15" s="213"/>
      <c r="H15" s="213"/>
      <c r="I15" s="213"/>
      <c r="J15" s="213"/>
      <c r="K15" s="213"/>
      <c r="L15" s="213"/>
    </row>
    <row r="16" spans="1:12">
      <c r="A16" s="229" t="s">
        <v>567</v>
      </c>
      <c r="B16" s="234"/>
      <c r="C16" s="234"/>
      <c r="D16" s="230" t="e">
        <f ca="1">SUM(D12:D15)</f>
        <v>#VALUE!</v>
      </c>
      <c r="E16" s="245" t="e">
        <f ca="1">SUM(E12:E15)</f>
        <v>#VALUE!</v>
      </c>
      <c r="F16" s="235">
        <f ca="1">IFERROR(E16/$E$16,0)</f>
        <v>0</v>
      </c>
      <c r="G16" s="213"/>
      <c r="H16" s="213"/>
      <c r="I16" s="213"/>
      <c r="J16" s="213"/>
      <c r="K16" s="213"/>
      <c r="L16" s="213"/>
    </row>
    <row r="17" spans="1:12">
      <c r="A17" s="236" t="s">
        <v>1814</v>
      </c>
      <c r="B17" s="213"/>
      <c r="C17" s="213"/>
      <c r="D17" s="213"/>
      <c r="E17" s="213"/>
      <c r="F17" s="213"/>
      <c r="G17" s="213"/>
      <c r="H17" s="213"/>
      <c r="I17" s="213"/>
      <c r="J17" s="213"/>
      <c r="K17" s="213"/>
      <c r="L17" s="213"/>
    </row>
    <row r="18" spans="1:12" ht="15.75">
      <c r="A18" s="237" t="s">
        <v>1811</v>
      </c>
      <c r="B18" s="213"/>
      <c r="C18" s="213"/>
      <c r="D18" s="213"/>
      <c r="E18" s="213"/>
      <c r="F18" s="213"/>
      <c r="G18" s="213"/>
      <c r="H18" s="213"/>
      <c r="I18" s="213"/>
      <c r="J18" s="213"/>
      <c r="K18" s="213"/>
      <c r="L18" s="213"/>
    </row>
    <row r="19" spans="1:12">
      <c r="A19" s="211" t="s">
        <v>518</v>
      </c>
      <c r="B19" s="211" t="s">
        <v>1812</v>
      </c>
      <c r="C19" s="211" t="s">
        <v>1813</v>
      </c>
      <c r="D19" s="211" t="s">
        <v>505</v>
      </c>
      <c r="E19" s="211" t="s">
        <v>482</v>
      </c>
      <c r="F19" s="211" t="s">
        <v>311</v>
      </c>
      <c r="G19" s="211" t="s">
        <v>483</v>
      </c>
      <c r="H19" s="211" t="s">
        <v>484</v>
      </c>
      <c r="I19" s="211" t="s">
        <v>1803</v>
      </c>
      <c r="J19" s="211" t="s">
        <v>496</v>
      </c>
      <c r="K19" s="211" t="s">
        <v>501</v>
      </c>
      <c r="L19" s="213"/>
    </row>
    <row r="20" spans="1:12">
      <c r="A20" s="206" cm="1">
        <f t="array" aca="1" ref="A20:K192" ca="1">_xlfn.LET(_xlpm.st,Tabela225[STATUS
PROPOSTA],_xlpm.dt,Tabela225[DT. ABERTURA],_xlpm.d,$I$4-_xlpm.dt,_xlpm.cls,IF(_xlpm.d&lt;0,"⚠ DATA INVÁLIDA",IF(_xlpm.d&gt;=$I$6,"🔴 PARADO - CRÍTICO",IF(_xlpm.d&gt;=$I$7,"🟠 ATENÇÃO",IF(_xlpm.d&gt;=$I$8,"🟡 MORNO","🟢 RECENTE")))),_xlpm.base,_xlfn.HSTACK(_xlpm.dt,_xlpm.d,_xlpm.cls,Tabela225[Nº PROPOSTA],Tabela225[CLIENTE],_xlpm.st,Tabela225[LOCAL EXECUÇÃO],Tabela225[DESCRIÇÃO DOS SERVIÇOS],Tabela225[VALOR  (R$)],Tabela225[MARGEM],Tabela225[TÉCNICO]),_xlfn._xlws.SORT(_xlfn._xlws.FILTER(_xlpm.base,(_xlpm.st="EM ABERTO")+(_xlpm.st="NEGOCIAÇÃO")),1,1))</f>
        <v>46027</v>
      </c>
      <c r="B20" s="207">
        <f ca="1"/>
        <v>248</v>
      </c>
      <c r="C20" s="208" t="str">
        <f ca="1"/>
        <v>🔴 PARADO - CRÍTICO</v>
      </c>
      <c r="D20" s="208" t="str">
        <f ca="1"/>
        <v>P-3668</v>
      </c>
      <c r="E20" s="210" t="str">
        <f ca="1"/>
        <v>Suzano Papel e Celulose</v>
      </c>
      <c r="F20" s="208" t="str">
        <f ca="1"/>
        <v>NEGOCIAÇÃO</v>
      </c>
      <c r="G20" s="210" t="str">
        <f ca="1"/>
        <v>Três Lagoas/MS</v>
      </c>
      <c r="H20" s="210" t="str">
        <f ca="1"/>
        <v>Manutenção Preventiva e Corretiva em Transformadores</v>
      </c>
      <c r="I20" s="247">
        <f ca="1"/>
        <v>300000</v>
      </c>
      <c r="J20" s="209">
        <f ca="1"/>
        <v>0.2</v>
      </c>
      <c r="K20" s="208" t="str">
        <f ca="1"/>
        <v>COMERCIAL</v>
      </c>
      <c r="L20" s="213"/>
    </row>
    <row r="21" spans="1:12">
      <c r="A21" s="206">
        <f ca="1"/>
        <v>46037</v>
      </c>
      <c r="B21" s="207">
        <f ca="1"/>
        <v>238</v>
      </c>
      <c r="C21" s="208" t="str">
        <f ca="1"/>
        <v>🔴 PARADO - CRÍTICO</v>
      </c>
      <c r="D21" s="208" t="str">
        <f ca="1"/>
        <v>P-8912.26</v>
      </c>
      <c r="E21" s="210" t="str">
        <f ca="1"/>
        <v>ALUPAR</v>
      </c>
      <c r="F21" s="208" t="str">
        <f ca="1"/>
        <v>EM ABERTO</v>
      </c>
      <c r="G21" s="210" t="str">
        <f ca="1"/>
        <v>Varzea Grande/MT</v>
      </c>
      <c r="H21" s="210" t="str">
        <f ca="1"/>
        <v>Manutenção corretiva em 01 transformador de 230KV - TRANSMISSÃO DE VARZEA</v>
      </c>
      <c r="I21" s="247">
        <f ca="1"/>
        <v>319960.09999999998</v>
      </c>
      <c r="J21" s="209">
        <f ca="1"/>
        <v>0.22</v>
      </c>
      <c r="K21" s="208" t="str">
        <f ca="1"/>
        <v>COMERCIAL</v>
      </c>
      <c r="L21" s="213"/>
    </row>
    <row r="22" spans="1:12">
      <c r="A22" s="206">
        <f ca="1"/>
        <v>46052</v>
      </c>
      <c r="B22" s="207">
        <f ca="1"/>
        <v>223</v>
      </c>
      <c r="C22" s="208" t="str">
        <f ca="1"/>
        <v>🔴 PARADO - CRÍTICO</v>
      </c>
      <c r="D22" s="208" t="str">
        <f ca="1"/>
        <v>P-9020.26</v>
      </c>
      <c r="E22" s="210" t="str">
        <f ca="1"/>
        <v>CHINT</v>
      </c>
      <c r="F22" s="208" t="str">
        <f ca="1"/>
        <v>EM ABERTO</v>
      </c>
      <c r="G22" s="210" t="str">
        <f ca="1"/>
        <v>Ferreiras Gomes/AP</v>
      </c>
      <c r="H22" s="210" t="str">
        <f ca="1"/>
        <v>Montagem Completa de 01 transformador de 230KV - ELETROBRAS</v>
      </c>
      <c r="I22" s="247">
        <f ca="1"/>
        <v>406162</v>
      </c>
      <c r="J22" s="209">
        <f ca="1"/>
        <v>0.23</v>
      </c>
      <c r="K22" s="208" t="str">
        <f ca="1"/>
        <v>COMERCIAL</v>
      </c>
      <c r="L22" s="213"/>
    </row>
    <row r="23" spans="1:12">
      <c r="A23" s="206">
        <f ca="1"/>
        <v>46057</v>
      </c>
      <c r="B23" s="207">
        <f ca="1"/>
        <v>218</v>
      </c>
      <c r="C23" s="208" t="str">
        <f ca="1"/>
        <v>🔴 PARADO - CRÍTICO</v>
      </c>
      <c r="D23" s="208" t="str">
        <f ca="1"/>
        <v>P-9046.26</v>
      </c>
      <c r="E23" s="210" t="str">
        <f ca="1"/>
        <v>CELEO</v>
      </c>
      <c r="F23" s="208" t="str">
        <f ca="1"/>
        <v>EM ABERTO</v>
      </c>
      <c r="G23" s="210" t="str">
        <f ca="1"/>
        <v>Nova Ponte/MG</v>
      </c>
      <c r="H23" s="210" t="str">
        <f ca="1"/>
        <v>Manutenção Corretiva de 03 reatores de 500KV - CELEO</v>
      </c>
      <c r="I23" s="247">
        <f ca="1"/>
        <v>449900</v>
      </c>
      <c r="J23" s="209">
        <f ca="1"/>
        <v>0.26</v>
      </c>
      <c r="K23" s="208" t="str">
        <f ca="1"/>
        <v>COMERCIAL</v>
      </c>
      <c r="L23" s="213"/>
    </row>
    <row r="24" spans="1:12">
      <c r="A24" s="206">
        <f ca="1"/>
        <v>46076</v>
      </c>
      <c r="B24" s="207">
        <f ca="1"/>
        <v>199</v>
      </c>
      <c r="C24" s="208" t="str">
        <f ca="1"/>
        <v>🔴 PARADO - CRÍTICO</v>
      </c>
      <c r="D24" s="208" t="str">
        <f ca="1"/>
        <v>P-9173.26</v>
      </c>
      <c r="E24" s="210" t="str">
        <f ca="1"/>
        <v>BR INFRA</v>
      </c>
      <c r="F24" s="208" t="str">
        <f ca="1"/>
        <v>NEGOCIAÇÃO</v>
      </c>
      <c r="G24" s="210" t="str">
        <f ca="1"/>
        <v>Fronteira/MG</v>
      </c>
      <c r="H24" s="210" t="str">
        <f ca="1"/>
        <v>Desmontagem e rebaixamento de óleo de 04 transformadores de AT - USH DE MARIMBONDO</v>
      </c>
      <c r="I24" s="247">
        <f ca="1"/>
        <v>249600</v>
      </c>
      <c r="J24" s="209">
        <f ca="1"/>
        <v>0.3</v>
      </c>
      <c r="K24" s="208" t="str">
        <f ca="1"/>
        <v>COMERCIAL</v>
      </c>
      <c r="L24" s="213"/>
    </row>
    <row r="25" spans="1:12">
      <c r="A25" s="206">
        <f ca="1"/>
        <v>46084</v>
      </c>
      <c r="B25" s="207">
        <f ca="1"/>
        <v>191</v>
      </c>
      <c r="C25" s="208" t="str">
        <f ca="1"/>
        <v>🔴 PARADO - CRÍTICO</v>
      </c>
      <c r="D25" s="208" t="str">
        <f ca="1"/>
        <v>P-9245.26</v>
      </c>
      <c r="E25" s="210" t="str">
        <f ca="1"/>
        <v>BR INFRA</v>
      </c>
      <c r="F25" s="208" t="str">
        <f ca="1"/>
        <v>NEGOCIAÇÃO</v>
      </c>
      <c r="G25" s="210" t="str">
        <f ca="1"/>
        <v>Rio Verde/GO</v>
      </c>
      <c r="H25" s="210" t="str">
        <f ca="1"/>
        <v xml:space="preserve">Desmontagem e Drenagem de 04 autotransformadores de 230KV </v>
      </c>
      <c r="I25" s="247">
        <f ca="1"/>
        <v>98000</v>
      </c>
      <c r="J25" s="209">
        <f ca="1"/>
        <v>0.2</v>
      </c>
      <c r="K25" s="208" t="str">
        <f ca="1"/>
        <v>COMERCIAL</v>
      </c>
    </row>
    <row r="26" spans="1:12">
      <c r="A26" s="206">
        <f ca="1"/>
        <v>46084</v>
      </c>
      <c r="B26" s="207">
        <f ca="1"/>
        <v>191</v>
      </c>
      <c r="C26" s="208" t="str">
        <f ca="1"/>
        <v>🔴 PARADO - CRÍTICO</v>
      </c>
      <c r="D26" s="208" t="str">
        <f ca="1"/>
        <v>P-9247.26</v>
      </c>
      <c r="E26" s="210" t="str">
        <f ca="1"/>
        <v>BR INFRA</v>
      </c>
      <c r="F26" s="208" t="str">
        <f ca="1"/>
        <v>NEGOCIAÇÃO</v>
      </c>
      <c r="G26" s="210" t="str">
        <f ca="1"/>
        <v>Barro Alto/GO</v>
      </c>
      <c r="H26" s="210" t="str">
        <f ca="1"/>
        <v xml:space="preserve">Desmontagem e Drenagem de 03 autotransformadores de 230KV </v>
      </c>
      <c r="I26" s="247">
        <f ca="1"/>
        <v>79150</v>
      </c>
      <c r="J26" s="209">
        <f ca="1"/>
        <v>0.2</v>
      </c>
      <c r="K26" s="208" t="str">
        <f ca="1"/>
        <v>COMERCIAL</v>
      </c>
    </row>
    <row r="27" spans="1:12">
      <c r="A27" s="206">
        <f ca="1"/>
        <v>46086</v>
      </c>
      <c r="B27" s="207">
        <f ca="1"/>
        <v>189</v>
      </c>
      <c r="C27" s="208" t="str">
        <f ca="1"/>
        <v>🔴 PARADO - CRÍTICO</v>
      </c>
      <c r="D27" s="208" t="str">
        <f ca="1"/>
        <v>P-9266.26</v>
      </c>
      <c r="E27" s="210" t="str">
        <f ca="1"/>
        <v>CHINT</v>
      </c>
      <c r="F27" s="208" t="str">
        <f ca="1"/>
        <v>EM ABERTO</v>
      </c>
      <c r="G27" s="210" t="str">
        <f ca="1"/>
        <v xml:space="preserve">Nordestes/ CE e RN </v>
      </c>
      <c r="H27" s="210" t="str">
        <f ca="1"/>
        <v xml:space="preserve">Montagem Completa de Transformadores de AT - CHINT </v>
      </c>
      <c r="I27" s="247">
        <f ca="1"/>
        <v>5420996</v>
      </c>
      <c r="J27" s="209">
        <f ca="1"/>
        <v>0.26</v>
      </c>
      <c r="K27" s="208" t="str">
        <f ca="1"/>
        <v>COMERCIAL</v>
      </c>
    </row>
    <row r="28" spans="1:12">
      <c r="A28" s="206">
        <f ca="1"/>
        <v>46097</v>
      </c>
      <c r="B28" s="207">
        <f ca="1"/>
        <v>178</v>
      </c>
      <c r="C28" s="208" t="str">
        <f ca="1"/>
        <v>🔴 PARADO - CRÍTICO</v>
      </c>
      <c r="D28" s="208" t="str">
        <f ca="1"/>
        <v>P-9340.26</v>
      </c>
      <c r="E28" s="210" t="str">
        <f ca="1"/>
        <v>CARGILL</v>
      </c>
      <c r="F28" s="208" t="str">
        <f ca="1"/>
        <v>EM ABERTO</v>
      </c>
      <c r="G28" s="210" t="str">
        <f ca="1"/>
        <v>Uberlandia/MG</v>
      </c>
      <c r="H28" s="210" t="str">
        <f ca="1"/>
        <v>Manutenção Corretiva em Transformadores de BT - CARGIL</v>
      </c>
      <c r="I28" s="247">
        <f ca="1"/>
        <v>95460</v>
      </c>
      <c r="J28" s="209">
        <f ca="1"/>
        <v>0.25</v>
      </c>
      <c r="K28" s="208" t="str">
        <f ca="1"/>
        <v>COMERCIAL</v>
      </c>
    </row>
    <row r="29" spans="1:12">
      <c r="A29" s="206">
        <f ca="1"/>
        <v>46099</v>
      </c>
      <c r="B29" s="207">
        <f ca="1"/>
        <v>176</v>
      </c>
      <c r="C29" s="208" t="str">
        <f ca="1"/>
        <v>🔴 PARADO - CRÍTICO</v>
      </c>
      <c r="D29" s="208" t="str">
        <f ca="1"/>
        <v>P-9365.26</v>
      </c>
      <c r="E29" s="210" t="str">
        <f ca="1"/>
        <v xml:space="preserve">Naturgy </v>
      </c>
      <c r="F29" s="208" t="str">
        <f ca="1"/>
        <v>EM ABERTO</v>
      </c>
      <c r="G29" s="210" t="str">
        <f ca="1"/>
        <v>Piauí/PI</v>
      </c>
      <c r="H29" s="210" t="str">
        <f ca="1"/>
        <v>Manutenção Corretiva em transformadores de 0,69/34,5 KV - NATURGY</v>
      </c>
      <c r="I29" s="247">
        <f ca="1"/>
        <v>334900</v>
      </c>
      <c r="J29" s="209">
        <f ca="1"/>
        <v>0.21</v>
      </c>
      <c r="K29" s="208" t="str">
        <f ca="1"/>
        <v>COMERCIAL</v>
      </c>
    </row>
    <row r="30" spans="1:12">
      <c r="A30" s="206">
        <f ca="1"/>
        <v>46120</v>
      </c>
      <c r="B30" s="207">
        <f ca="1"/>
        <v>155</v>
      </c>
      <c r="C30" s="208" t="str">
        <f ca="1"/>
        <v>🔴 PARADO - CRÍTICO</v>
      </c>
      <c r="D30" s="208" t="str">
        <f ca="1"/>
        <v>P-9496.26</v>
      </c>
      <c r="E30" s="210" t="str">
        <f ca="1"/>
        <v>WEG</v>
      </c>
      <c r="F30" s="208" t="str">
        <f ca="1"/>
        <v>NEGOCIAÇÃO</v>
      </c>
      <c r="G30" s="210" t="str">
        <f ca="1"/>
        <v>Luziania/GO</v>
      </c>
      <c r="H30" s="210" t="str">
        <f ca="1"/>
        <v>ADITIVO - Mobilização e Desmobilização adicional da equipe/equipamentos e tanque auxiliar - EQUATORIAL</v>
      </c>
      <c r="I30" s="247">
        <f ca="1"/>
        <v>49900</v>
      </c>
      <c r="J30" s="209">
        <f ca="1"/>
        <v>0.19</v>
      </c>
      <c r="K30" s="208" t="str">
        <f ca="1"/>
        <v>TÉCNICO</v>
      </c>
    </row>
    <row r="31" spans="1:12">
      <c r="A31" s="206">
        <f ca="1"/>
        <v>46126</v>
      </c>
      <c r="B31" s="207">
        <f ca="1"/>
        <v>149</v>
      </c>
      <c r="C31" s="208" t="str">
        <f ca="1"/>
        <v>🔴 PARADO - CRÍTICO</v>
      </c>
      <c r="D31" s="208" t="str">
        <f ca="1"/>
        <v>P-9539.26</v>
      </c>
      <c r="E31" s="210" t="str">
        <f ca="1"/>
        <v>WEG</v>
      </c>
      <c r="F31" s="208" t="str">
        <f ca="1"/>
        <v>EM ABERTO</v>
      </c>
      <c r="G31" s="210" t="str">
        <f ca="1"/>
        <v>Iporá/GO</v>
      </c>
      <c r="H31" s="210" t="str">
        <f ca="1"/>
        <v>Montagem Completa de 02 transformadores de 138KV - EQUATORIAL</v>
      </c>
      <c r="I31" s="247">
        <f ca="1"/>
        <v>310100</v>
      </c>
      <c r="J31" s="209">
        <f ca="1"/>
        <v>0.25</v>
      </c>
      <c r="K31" s="208" t="str">
        <f ca="1"/>
        <v>COMERCIAL</v>
      </c>
    </row>
    <row r="32" spans="1:12">
      <c r="A32" s="206">
        <f ca="1"/>
        <v>46126</v>
      </c>
      <c r="B32" s="207">
        <f ca="1"/>
        <v>149</v>
      </c>
      <c r="C32" s="208" t="str">
        <f ca="1"/>
        <v>🔴 PARADO - CRÍTICO</v>
      </c>
      <c r="D32" s="208" t="str">
        <f ca="1"/>
        <v>P-9541.26</v>
      </c>
      <c r="E32" s="210" t="str">
        <f ca="1"/>
        <v>WEG</v>
      </c>
      <c r="F32" s="208" t="str">
        <f ca="1"/>
        <v>EM ABERTO</v>
      </c>
      <c r="G32" s="210" t="str">
        <f ca="1"/>
        <v>Aragarças/GO</v>
      </c>
      <c r="H32" s="210" t="str">
        <f ca="1"/>
        <v>Montagem Completa de 01 transformador de 138KV - EQUATORIAL</v>
      </c>
      <c r="I32" s="247">
        <f ca="1"/>
        <v>196720</v>
      </c>
      <c r="J32" s="209">
        <f ca="1"/>
        <v>0.23</v>
      </c>
      <c r="K32" s="208" t="str">
        <f ca="1"/>
        <v>COMERCIAL</v>
      </c>
    </row>
    <row r="33" spans="1:11">
      <c r="A33" s="206">
        <f ca="1"/>
        <v>46126</v>
      </c>
      <c r="B33" s="207">
        <f ca="1"/>
        <v>149</v>
      </c>
      <c r="C33" s="208" t="str">
        <f ca="1"/>
        <v>🔴 PARADO - CRÍTICO</v>
      </c>
      <c r="D33" s="208" t="str">
        <f ca="1"/>
        <v>P-9544.26</v>
      </c>
      <c r="E33" s="210" t="str">
        <f ca="1"/>
        <v>Hitachi</v>
      </c>
      <c r="F33" s="208" t="str">
        <f ca="1"/>
        <v>EM ABERTO</v>
      </c>
      <c r="G33" s="210" t="str">
        <f ca="1"/>
        <v>Pindamonhangaba/SP</v>
      </c>
      <c r="H33" s="210" t="str">
        <f ca="1"/>
        <v>Montagem Completa de 02 transformadores de 138kv - Hitachi</v>
      </c>
      <c r="I33" s="247">
        <f ca="1"/>
        <v>298604</v>
      </c>
      <c r="J33" s="209">
        <f ca="1"/>
        <v>0.22</v>
      </c>
      <c r="K33" s="208" t="str">
        <f ca="1"/>
        <v>COMERCIAL</v>
      </c>
    </row>
    <row r="34" spans="1:11">
      <c r="A34" s="206">
        <f ca="1"/>
        <v>46132</v>
      </c>
      <c r="B34" s="207">
        <f ca="1"/>
        <v>143</v>
      </c>
      <c r="C34" s="208" t="str">
        <f ca="1"/>
        <v>🔴 PARADO - CRÍTICO</v>
      </c>
      <c r="D34" s="208" t="str">
        <f ca="1"/>
        <v>P-9583.26</v>
      </c>
      <c r="E34" s="210" t="str">
        <f ca="1"/>
        <v>WEG</v>
      </c>
      <c r="F34" s="208" t="str">
        <f ca="1"/>
        <v>NEGOCIAÇÃO</v>
      </c>
      <c r="G34" s="210" t="str">
        <f ca="1"/>
        <v>Pirajuba/MG</v>
      </c>
      <c r="H34" s="210" t="str">
        <f ca="1"/>
        <v>ADITIVO - Mobilização e Desmobilização da Equipe e equipamento - USINA SANTO ANGELO</v>
      </c>
      <c r="I34" s="247">
        <f ca="1"/>
        <v>30790</v>
      </c>
      <c r="J34" s="209">
        <f ca="1"/>
        <v>0.25</v>
      </c>
      <c r="K34" s="208" t="str">
        <f ca="1"/>
        <v>TÉCNICO</v>
      </c>
    </row>
    <row r="35" spans="1:11">
      <c r="A35" s="206">
        <f ca="1"/>
        <v>46134</v>
      </c>
      <c r="B35" s="207">
        <f ca="1"/>
        <v>141</v>
      </c>
      <c r="C35" s="208" t="str">
        <f ca="1"/>
        <v>🔴 PARADO - CRÍTICO</v>
      </c>
      <c r="D35" s="208" t="str">
        <f ca="1"/>
        <v>P-9585.26</v>
      </c>
      <c r="E35" s="210" t="str">
        <f ca="1"/>
        <v>WEG</v>
      </c>
      <c r="F35" s="208" t="str">
        <f ca="1"/>
        <v>EM ABERTO</v>
      </c>
      <c r="G35" s="210" t="str">
        <f ca="1"/>
        <v>Dourado/MS</v>
      </c>
      <c r="H35" s="210" t="str">
        <f ca="1"/>
        <v>Montagem Completa de 03 transformadores de 230KV - AXIA/ELETROSUL</v>
      </c>
      <c r="I35" s="247">
        <f ca="1"/>
        <v>659700</v>
      </c>
      <c r="J35" s="209">
        <f ca="1"/>
        <v>0.23</v>
      </c>
      <c r="K35" s="208" t="str">
        <f ca="1"/>
        <v>COMERCIAL</v>
      </c>
    </row>
    <row r="36" spans="1:11">
      <c r="A36" s="206">
        <f ca="1"/>
        <v>46134</v>
      </c>
      <c r="B36" s="207">
        <f ca="1"/>
        <v>141</v>
      </c>
      <c r="C36" s="208" t="str">
        <f ca="1"/>
        <v>🔴 PARADO - CRÍTICO</v>
      </c>
      <c r="D36" s="208" t="str">
        <f ca="1"/>
        <v>P-9588.26</v>
      </c>
      <c r="E36" s="210" t="str">
        <f ca="1"/>
        <v>WEG</v>
      </c>
      <c r="F36" s="208" t="str">
        <f ca="1"/>
        <v>EM ABERTO</v>
      </c>
      <c r="G36" s="210" t="str">
        <f ca="1"/>
        <v>São Lourenço do Sul/RS</v>
      </c>
      <c r="H36" s="210" t="str">
        <f ca="1"/>
        <v>Montagem Completa de 01 transformador de 69KV - EQUATORIAL</v>
      </c>
      <c r="I36" s="247">
        <f ca="1"/>
        <v>189740</v>
      </c>
      <c r="J36" s="209">
        <f ca="1"/>
        <v>0.24440000000000001</v>
      </c>
      <c r="K36" s="208" t="str">
        <f ca="1"/>
        <v>COMERCIAL</v>
      </c>
    </row>
    <row r="37" spans="1:11">
      <c r="A37" s="206">
        <f ca="1"/>
        <v>46135</v>
      </c>
      <c r="B37" s="207">
        <f ca="1"/>
        <v>140</v>
      </c>
      <c r="C37" s="208" t="str">
        <f ca="1"/>
        <v>🔴 PARADO - CRÍTICO</v>
      </c>
      <c r="D37" s="208" t="str">
        <f ca="1"/>
        <v>P-9600.26</v>
      </c>
      <c r="E37" s="210" t="str">
        <f ca="1"/>
        <v>Novo Nordisk</v>
      </c>
      <c r="F37" s="208" t="str">
        <f ca="1"/>
        <v>EM ABERTO</v>
      </c>
      <c r="G37" s="210" t="str">
        <f ca="1"/>
        <v>Montes Claros/MG</v>
      </c>
      <c r="H37" s="210" t="str">
        <f ca="1"/>
        <v>Coleta e Analise de Óleo de 01 Transformador - NOVO NORDISK</v>
      </c>
      <c r="I37" s="247">
        <f ca="1"/>
        <v>50000</v>
      </c>
      <c r="J37" s="209">
        <f ca="1"/>
        <v>0.2</v>
      </c>
      <c r="K37" s="208" t="str">
        <f ca="1"/>
        <v>COMERCIAL</v>
      </c>
    </row>
    <row r="38" spans="1:11">
      <c r="A38" s="206">
        <f ca="1"/>
        <v>46135</v>
      </c>
      <c r="B38" s="207">
        <f ca="1"/>
        <v>140</v>
      </c>
      <c r="C38" s="208" t="str">
        <f ca="1"/>
        <v>🔴 PARADO - CRÍTICO</v>
      </c>
      <c r="D38" s="208" t="str">
        <f ca="1"/>
        <v>P-9605.26</v>
      </c>
      <c r="E38" s="210" t="str">
        <f ca="1"/>
        <v>Hitachi</v>
      </c>
      <c r="F38" s="208" t="str">
        <f ca="1"/>
        <v>EM ABERTO</v>
      </c>
      <c r="G38" s="210" t="str">
        <f ca="1"/>
        <v>Imperatriz/MA</v>
      </c>
      <c r="H38" s="210" t="str">
        <f ca="1"/>
        <v xml:space="preserve">Manutenção Corretiva para Correção de Vazamentos de 01 transformador </v>
      </c>
      <c r="I38" s="247">
        <f ca="1"/>
        <v>102200</v>
      </c>
      <c r="J38" s="209">
        <f ca="1"/>
        <v>0.25</v>
      </c>
      <c r="K38" s="208" t="str">
        <f ca="1"/>
        <v>COMERCIAL</v>
      </c>
    </row>
    <row r="39" spans="1:11">
      <c r="A39" s="206">
        <f ca="1"/>
        <v>46140</v>
      </c>
      <c r="B39" s="207">
        <f ca="1"/>
        <v>135</v>
      </c>
      <c r="C39" s="208" t="str">
        <f ca="1"/>
        <v>🔴 PARADO - CRÍTICO</v>
      </c>
      <c r="D39" s="208" t="str">
        <f ca="1"/>
        <v>P-9630.26</v>
      </c>
      <c r="E39" s="210" t="str">
        <f ca="1"/>
        <v>WEG</v>
      </c>
      <c r="F39" s="208" t="str">
        <f ca="1"/>
        <v>EM ABERTO</v>
      </c>
      <c r="G39" s="210" t="str">
        <f ca="1"/>
        <v>São Carlos do Ivaí/PR</v>
      </c>
      <c r="H39" s="210" t="str">
        <f ca="1"/>
        <v>Manutenção Corretiva em transformador de 138KV - COOPCANA</v>
      </c>
      <c r="I39" s="247">
        <f ca="1"/>
        <v>143880</v>
      </c>
      <c r="J39" s="209">
        <f ca="1"/>
        <v>0.26</v>
      </c>
      <c r="K39" s="208" t="str">
        <f ca="1"/>
        <v>COMERCIAL</v>
      </c>
    </row>
    <row r="40" spans="1:11">
      <c r="A40" s="206">
        <f ca="1"/>
        <v>46140</v>
      </c>
      <c r="B40" s="207">
        <f ca="1"/>
        <v>135</v>
      </c>
      <c r="C40" s="208" t="str">
        <f ca="1"/>
        <v>🔴 PARADO - CRÍTICO</v>
      </c>
      <c r="D40" s="208" t="str">
        <f ca="1"/>
        <v>P-9633.26</v>
      </c>
      <c r="E40" s="210" t="str">
        <f ca="1"/>
        <v>CPFL</v>
      </c>
      <c r="F40" s="208" t="str">
        <f ca="1"/>
        <v>EM ABERTO</v>
      </c>
      <c r="G40" s="210" t="str">
        <f ca="1"/>
        <v>Aracati/CE</v>
      </c>
      <c r="H40" s="210" t="str">
        <f ca="1"/>
        <v>Manutenção Corretiva em 02 transformadores de 230KV - CPFL</v>
      </c>
      <c r="I40" s="247">
        <f ca="1"/>
        <v>351720</v>
      </c>
      <c r="J40" s="209">
        <f ca="1"/>
        <v>0.25</v>
      </c>
      <c r="K40" s="208" t="str">
        <f ca="1"/>
        <v>COMERCIAL</v>
      </c>
    </row>
    <row r="41" spans="1:11">
      <c r="A41" s="206">
        <f ca="1"/>
        <v>46141</v>
      </c>
      <c r="B41" s="207">
        <f ca="1"/>
        <v>134</v>
      </c>
      <c r="C41" s="208" t="str">
        <f ca="1"/>
        <v>🔴 PARADO - CRÍTICO</v>
      </c>
      <c r="D41" s="208" t="str">
        <f ca="1"/>
        <v>P-9643.26</v>
      </c>
      <c r="E41" s="210" t="str">
        <f ca="1"/>
        <v>ARGO</v>
      </c>
      <c r="F41" s="208" t="str">
        <f ca="1"/>
        <v>EM ABERTO</v>
      </c>
      <c r="G41" s="210" t="str">
        <f ca="1"/>
        <v>Arinos/MG</v>
      </c>
      <c r="H41" s="210" t="str">
        <f ca="1"/>
        <v>Manutenção Corretiva de Vazamentos em Reatores</v>
      </c>
      <c r="I41" s="247">
        <f ca="1"/>
        <v>150680</v>
      </c>
      <c r="J41" s="209">
        <f ca="1"/>
        <v>0.24</v>
      </c>
      <c r="K41" s="208" t="str">
        <f ca="1"/>
        <v>COMERCIAL</v>
      </c>
    </row>
    <row r="42" spans="1:11">
      <c r="A42" s="206">
        <f ca="1"/>
        <v>46146</v>
      </c>
      <c r="B42" s="207">
        <f ca="1"/>
        <v>129</v>
      </c>
      <c r="C42" s="208" t="str">
        <f ca="1"/>
        <v>🔴 PARADO - CRÍTICO</v>
      </c>
      <c r="D42" s="208" t="str">
        <f ca="1"/>
        <v>P-9672.26</v>
      </c>
      <c r="E42" s="210" t="str">
        <f ca="1"/>
        <v>WEG</v>
      </c>
      <c r="F42" s="208" t="str">
        <f ca="1"/>
        <v>EM ABERTO</v>
      </c>
      <c r="G42" s="210" t="str">
        <f ca="1"/>
        <v>Guaranesia/MG</v>
      </c>
      <c r="H42" s="210" t="str">
        <f ca="1"/>
        <v>Montagem Completa de um transformador de 138KV - CEMIG</v>
      </c>
      <c r="I42" s="247">
        <f ca="1"/>
        <v>165540</v>
      </c>
      <c r="J42" s="209">
        <f ca="1"/>
        <v>0.23</v>
      </c>
      <c r="K42" s="208" t="str">
        <f ca="1"/>
        <v>COMERCIAL</v>
      </c>
    </row>
    <row r="43" spans="1:11">
      <c r="A43" s="206">
        <f ca="1"/>
        <v>46147</v>
      </c>
      <c r="B43" s="207">
        <f ca="1"/>
        <v>128</v>
      </c>
      <c r="C43" s="208" t="str">
        <f ca="1"/>
        <v>🔴 PARADO - CRÍTICO</v>
      </c>
      <c r="D43" s="208" t="str">
        <f ca="1"/>
        <v>P-9673.26</v>
      </c>
      <c r="E43" s="210" t="str">
        <f ca="1"/>
        <v>CHINT</v>
      </c>
      <c r="F43" s="208" t="str">
        <f ca="1"/>
        <v>EM ABERTO</v>
      </c>
      <c r="G43" s="210" t="str">
        <f ca="1"/>
        <v>Petrolandia/PE</v>
      </c>
      <c r="H43" s="210" t="str">
        <f ca="1"/>
        <v>Montagem Completa de 06 transformadores monofasico de 500KV - ELETOBRAS</v>
      </c>
      <c r="I43" s="247">
        <f ca="1"/>
        <v>914102.2</v>
      </c>
      <c r="J43" s="209">
        <f ca="1"/>
        <v>0.26</v>
      </c>
      <c r="K43" s="208" t="str">
        <f ca="1"/>
        <v>COMERCIAL</v>
      </c>
    </row>
    <row r="44" spans="1:11">
      <c r="A44" s="206">
        <f ca="1"/>
        <v>46148</v>
      </c>
      <c r="B44" s="207">
        <f ca="1"/>
        <v>127</v>
      </c>
      <c r="C44" s="208" t="str">
        <f ca="1"/>
        <v>🔴 PARADO - CRÍTICO</v>
      </c>
      <c r="D44" s="208" t="str">
        <f ca="1"/>
        <v>P-9684.26</v>
      </c>
      <c r="E44" s="210" t="str">
        <f ca="1"/>
        <v>WEG</v>
      </c>
      <c r="F44" s="208" t="str">
        <f ca="1"/>
        <v>EM ABERTO</v>
      </c>
      <c r="G44" s="210" t="str">
        <f ca="1"/>
        <v>São Luis/MA</v>
      </c>
      <c r="H44" s="210" t="str">
        <f ca="1"/>
        <v>Montagem Completa de 01 transformador de 230KV - AXIA NORTE</v>
      </c>
      <c r="I44" s="247">
        <f ca="1"/>
        <v>336500</v>
      </c>
      <c r="J44" s="209">
        <f ca="1"/>
        <v>0.23</v>
      </c>
      <c r="K44" s="208" t="str">
        <f ca="1"/>
        <v>COMERCIAL</v>
      </c>
    </row>
    <row r="45" spans="1:11">
      <c r="A45" s="206">
        <f ca="1"/>
        <v>46148</v>
      </c>
      <c r="B45" s="207">
        <f ca="1"/>
        <v>127</v>
      </c>
      <c r="C45" s="208" t="str">
        <f ca="1"/>
        <v>🔴 PARADO - CRÍTICO</v>
      </c>
      <c r="D45" s="208" t="str">
        <f ca="1"/>
        <v>P-9685.26</v>
      </c>
      <c r="E45" s="210" t="str">
        <f ca="1"/>
        <v>WEG</v>
      </c>
      <c r="F45" s="208" t="str">
        <f ca="1"/>
        <v>EM ABERTO</v>
      </c>
      <c r="G45" s="210" t="str">
        <f ca="1"/>
        <v>Jacareí/SP</v>
      </c>
      <c r="H45" s="210" t="str">
        <f ca="1"/>
        <v>Montagem Completa de 01 transformador de 138KV - EDP</v>
      </c>
      <c r="I45" s="247">
        <f ca="1"/>
        <v>136800</v>
      </c>
      <c r="J45" s="209">
        <f ca="1"/>
        <v>0.23</v>
      </c>
      <c r="K45" s="208" t="str">
        <f ca="1"/>
        <v>COMERCIAL</v>
      </c>
    </row>
    <row r="46" spans="1:11">
      <c r="A46" s="206">
        <f ca="1"/>
        <v>46153</v>
      </c>
      <c r="B46" s="207">
        <f ca="1"/>
        <v>122</v>
      </c>
      <c r="C46" s="208" t="str">
        <f ca="1"/>
        <v>🔴 PARADO - CRÍTICO</v>
      </c>
      <c r="D46" s="208" t="str">
        <f ca="1"/>
        <v>P-9708.26</v>
      </c>
      <c r="E46" s="210" t="str">
        <f ca="1"/>
        <v>WEG</v>
      </c>
      <c r="F46" s="208" t="str">
        <f ca="1"/>
        <v>EM ABERTO</v>
      </c>
      <c r="G46" s="210" t="str">
        <f ca="1"/>
        <v>Natal/RN</v>
      </c>
      <c r="H46" s="210" t="str">
        <f ca="1"/>
        <v>Recuperação de Pontos Oxidados de um transformador de 69KV - NEOENERGIA</v>
      </c>
      <c r="I46" s="247">
        <f ca="1"/>
        <v>93140</v>
      </c>
      <c r="J46" s="209">
        <f ca="1"/>
        <v>0.25</v>
      </c>
      <c r="K46" s="208" t="str">
        <f ca="1"/>
        <v>COMERCIAL</v>
      </c>
    </row>
    <row r="47" spans="1:11">
      <c r="A47" s="206">
        <f ca="1"/>
        <v>46153</v>
      </c>
      <c r="B47" s="207">
        <f ca="1"/>
        <v>122</v>
      </c>
      <c r="C47" s="208" t="str">
        <f ca="1"/>
        <v>🔴 PARADO - CRÍTICO</v>
      </c>
      <c r="D47" s="208" t="str">
        <f ca="1"/>
        <v>P-9709.26</v>
      </c>
      <c r="E47" s="210" t="str">
        <f ca="1"/>
        <v>WEG</v>
      </c>
      <c r="F47" s="208" t="str">
        <f ca="1"/>
        <v>EM ABERTO</v>
      </c>
      <c r="G47" s="210" t="str">
        <f ca="1"/>
        <v>Cariacica/ES</v>
      </c>
      <c r="H47" s="210" t="str">
        <f ca="1"/>
        <v>Montagem de 09 transformadores de 13,8kv - SIMEC</v>
      </c>
      <c r="I47" s="247">
        <f ca="1"/>
        <v>350274</v>
      </c>
      <c r="J47" s="209">
        <f ca="1"/>
        <v>0.23</v>
      </c>
      <c r="K47" s="208" t="str">
        <f ca="1"/>
        <v>COMERCIAL</v>
      </c>
    </row>
    <row r="48" spans="1:11">
      <c r="A48" s="206">
        <f ca="1"/>
        <v>46154</v>
      </c>
      <c r="B48" s="207">
        <f ca="1"/>
        <v>121</v>
      </c>
      <c r="C48" s="208" t="str">
        <f ca="1"/>
        <v>🔴 PARADO - CRÍTICO</v>
      </c>
      <c r="D48" s="208" t="str">
        <f ca="1"/>
        <v>P-9723.26</v>
      </c>
      <c r="E48" s="210" t="str">
        <f ca="1"/>
        <v>WEG</v>
      </c>
      <c r="F48" s="208" t="str">
        <f ca="1"/>
        <v>EM ABERTO</v>
      </c>
      <c r="G48" s="210" t="str">
        <f ca="1"/>
        <v>Araguaiana/TO</v>
      </c>
      <c r="H48" s="210" t="str">
        <f ca="1"/>
        <v>Montagem Completa de 01 transformador de 138KV  - ENERGISA</v>
      </c>
      <c r="I48" s="247">
        <f ca="1"/>
        <v>235100</v>
      </c>
      <c r="J48" s="209">
        <f ca="1"/>
        <v>0.23</v>
      </c>
      <c r="K48" s="208" t="str">
        <f ca="1"/>
        <v>COMERCIAL</v>
      </c>
    </row>
    <row r="49" spans="1:11">
      <c r="A49" s="206">
        <f ca="1"/>
        <v>46156</v>
      </c>
      <c r="B49" s="207">
        <f ca="1"/>
        <v>119</v>
      </c>
      <c r="C49" s="208" t="str">
        <f ca="1"/>
        <v>🔴 PARADO - CRÍTICO</v>
      </c>
      <c r="D49" s="208" t="str">
        <f ca="1"/>
        <v>P-9744.26</v>
      </c>
      <c r="E49" s="210" t="str">
        <f ca="1"/>
        <v>WEG</v>
      </c>
      <c r="F49" s="208" t="str">
        <f ca="1"/>
        <v>EM ABERTO</v>
      </c>
      <c r="G49" s="210" t="str">
        <f ca="1"/>
        <v>Ribeiro Gonçalves/PI</v>
      </c>
      <c r="H49" s="210" t="str">
        <f ca="1"/>
        <v>Montagem Completa de 01 transformador de 230KV - EQUATORIAL</v>
      </c>
      <c r="I49" s="247">
        <f ca="1"/>
        <v>293298</v>
      </c>
      <c r="J49" s="209">
        <f ca="1"/>
        <v>0.21</v>
      </c>
      <c r="K49" s="208" t="str">
        <f ca="1"/>
        <v>COMERCIAL</v>
      </c>
    </row>
    <row r="50" spans="1:11">
      <c r="A50" s="206">
        <f ca="1"/>
        <v>46156</v>
      </c>
      <c r="B50" s="207">
        <f ca="1"/>
        <v>119</v>
      </c>
      <c r="C50" s="208" t="str">
        <f ca="1"/>
        <v>🔴 PARADO - CRÍTICO</v>
      </c>
      <c r="D50" s="208" t="str">
        <f ca="1"/>
        <v>P-9747.26</v>
      </c>
      <c r="E50" s="210" t="str">
        <f ca="1"/>
        <v>WEG</v>
      </c>
      <c r="F50" s="208" t="str">
        <f ca="1"/>
        <v>EM ABERTO</v>
      </c>
      <c r="G50" s="210" t="str">
        <f ca="1"/>
        <v>Açailandia/MA</v>
      </c>
      <c r="H50" s="210" t="str">
        <f ca="1"/>
        <v>Montagem Completa de 01 Autotransformador de 500KV - TAESA</v>
      </c>
      <c r="I50" s="247">
        <f ca="1"/>
        <v>308400</v>
      </c>
      <c r="J50" s="209">
        <f ca="1"/>
        <v>0.21</v>
      </c>
      <c r="K50" s="208" t="str">
        <f ca="1"/>
        <v>COMERCIAL</v>
      </c>
    </row>
    <row r="51" spans="1:11">
      <c r="A51" s="206">
        <f ca="1"/>
        <v>46156</v>
      </c>
      <c r="B51" s="207">
        <f ca="1"/>
        <v>119</v>
      </c>
      <c r="C51" s="208" t="str">
        <f ca="1"/>
        <v>🔴 PARADO - CRÍTICO</v>
      </c>
      <c r="D51" s="208" t="str">
        <f ca="1"/>
        <v>P-9752.26</v>
      </c>
      <c r="E51" s="210" t="str">
        <f ca="1"/>
        <v>Auren</v>
      </c>
      <c r="F51" s="208" t="str">
        <f ca="1"/>
        <v>EM ABERTO</v>
      </c>
      <c r="G51" s="210" t="str">
        <f ca="1"/>
        <v>São Paulo/SP</v>
      </c>
      <c r="H51" s="210" t="str">
        <f ca="1"/>
        <v>Contrato de Manutenção Corretiva e Preventiva em transformadores de MT - AUREN</v>
      </c>
      <c r="I51" s="247">
        <f ca="1"/>
        <v>11117404</v>
      </c>
      <c r="J51" s="209">
        <f ca="1"/>
        <v>0.25</v>
      </c>
      <c r="K51" s="208" t="str">
        <f ca="1"/>
        <v>COMERCIAL</v>
      </c>
    </row>
    <row r="52" spans="1:11">
      <c r="A52" s="206">
        <f ca="1"/>
        <v>46157</v>
      </c>
      <c r="B52" s="207">
        <f ca="1"/>
        <v>118</v>
      </c>
      <c r="C52" s="208" t="str">
        <f ca="1"/>
        <v>🔴 PARADO - CRÍTICO</v>
      </c>
      <c r="D52" s="208" t="str">
        <f ca="1"/>
        <v>P-9755.26</v>
      </c>
      <c r="E52" s="210" t="str">
        <f ca="1"/>
        <v>CHINT</v>
      </c>
      <c r="F52" s="208" t="str">
        <f ca="1"/>
        <v>EM ABERTO</v>
      </c>
      <c r="G52" s="210" t="str">
        <f ca="1"/>
        <v>Taubate/SP</v>
      </c>
      <c r="H52" s="210" t="str">
        <f ca="1"/>
        <v>Montagem Completa de 03 transformadores monofasicos - ISA ENERGIA</v>
      </c>
      <c r="I52" s="247">
        <f ca="1"/>
        <v>1094037.8</v>
      </c>
      <c r="J52" s="209">
        <f ca="1"/>
        <v>0.26</v>
      </c>
      <c r="K52" s="208" t="str">
        <f ca="1"/>
        <v>COMERCIAL</v>
      </c>
    </row>
    <row r="53" spans="1:11">
      <c r="A53" s="206">
        <f ca="1"/>
        <v>46160</v>
      </c>
      <c r="B53" s="207">
        <f ca="1"/>
        <v>115</v>
      </c>
      <c r="C53" s="208" t="str">
        <f ca="1"/>
        <v>🔴 PARADO - CRÍTICO</v>
      </c>
      <c r="D53" s="208" t="str">
        <f ca="1"/>
        <v>P-9768.26</v>
      </c>
      <c r="E53" s="210" t="str">
        <f ca="1"/>
        <v>WEG</v>
      </c>
      <c r="F53" s="208" t="str">
        <f ca="1"/>
        <v>EM ABERTO</v>
      </c>
      <c r="G53" s="210" t="str">
        <f ca="1"/>
        <v>Três Marias/MG</v>
      </c>
      <c r="H53" s="210" t="str">
        <f ca="1"/>
        <v>Montagem Completa de 05 transformadores de 138KV_289KV - CEMIG/CNS</v>
      </c>
      <c r="I53" s="247">
        <f ca="1"/>
        <v>859238</v>
      </c>
      <c r="J53" s="209">
        <f ca="1"/>
        <v>0.25</v>
      </c>
      <c r="K53" s="208" t="str">
        <f ca="1"/>
        <v>COMERCIAL</v>
      </c>
    </row>
    <row r="54" spans="1:11">
      <c r="A54" s="206">
        <f ca="1"/>
        <v>46160</v>
      </c>
      <c r="B54" s="207">
        <f ca="1"/>
        <v>115</v>
      </c>
      <c r="C54" s="208" t="str">
        <f ca="1"/>
        <v>🔴 PARADO - CRÍTICO</v>
      </c>
      <c r="D54" s="208" t="str">
        <f ca="1"/>
        <v>P-9771.26</v>
      </c>
      <c r="E54" s="210" t="str">
        <f ca="1"/>
        <v>Volkswagen</v>
      </c>
      <c r="F54" s="208" t="str">
        <f ca="1"/>
        <v>EM ABERTO</v>
      </c>
      <c r="G54" s="210" t="str">
        <f ca="1"/>
        <v>São Bernardo do Campo/SP</v>
      </c>
      <c r="H54" s="210" t="str">
        <f ca="1"/>
        <v>Inspeção Visual em transformadores de MT - Volkswagen</v>
      </c>
      <c r="I54" s="247">
        <f ca="1"/>
        <v>108400</v>
      </c>
      <c r="J54" s="209">
        <f ca="1"/>
        <v>0.3</v>
      </c>
      <c r="K54" s="208" t="str">
        <f ca="1"/>
        <v>COMERCIAL</v>
      </c>
    </row>
    <row r="55" spans="1:11">
      <c r="A55" s="206">
        <f ca="1"/>
        <v>46160</v>
      </c>
      <c r="B55" s="207">
        <f ca="1"/>
        <v>115</v>
      </c>
      <c r="C55" s="208" t="str">
        <f ca="1"/>
        <v>🔴 PARADO - CRÍTICO</v>
      </c>
      <c r="D55" s="208" t="str">
        <f ca="1"/>
        <v>P-9772.26</v>
      </c>
      <c r="E55" s="210" t="str">
        <f ca="1"/>
        <v>ARGO</v>
      </c>
      <c r="F55" s="208" t="str">
        <f ca="1"/>
        <v>EM ABERTO</v>
      </c>
      <c r="G55" s="210" t="str">
        <f ca="1"/>
        <v>Ji Parana/PR</v>
      </c>
      <c r="H55" s="210" t="str">
        <f ca="1"/>
        <v>Substituição da Bucha em uma transformador de AT - ARGO</v>
      </c>
      <c r="I55" s="247">
        <f ca="1"/>
        <v>98420</v>
      </c>
      <c r="J55" s="209">
        <f ca="1"/>
        <v>0.25</v>
      </c>
      <c r="K55" s="208" t="str">
        <f ca="1"/>
        <v>COMERCIAL</v>
      </c>
    </row>
    <row r="56" spans="1:11">
      <c r="A56" s="206">
        <f ca="1"/>
        <v>46161</v>
      </c>
      <c r="B56" s="207">
        <f ca="1"/>
        <v>114</v>
      </c>
      <c r="C56" s="208" t="str">
        <f ca="1"/>
        <v>🔴 PARADO - CRÍTICO</v>
      </c>
      <c r="D56" s="208" t="str">
        <f ca="1"/>
        <v>P-9774.26</v>
      </c>
      <c r="E56" s="210" t="str">
        <f ca="1"/>
        <v>WEG</v>
      </c>
      <c r="F56" s="208" t="str">
        <f ca="1"/>
        <v>EM ABERTO</v>
      </c>
      <c r="G56" s="210" t="str">
        <f ca="1"/>
        <v>Santa Luzia/PB</v>
      </c>
      <c r="H56" s="210" t="str">
        <f ca="1"/>
        <v>Montagem Completa de 01 Reator de 500KV - NEOENERGIA</v>
      </c>
      <c r="I56" s="247">
        <f ca="1"/>
        <v>224280</v>
      </c>
      <c r="J56" s="209">
        <f ca="1"/>
        <v>0.22</v>
      </c>
      <c r="K56" s="208" t="str">
        <f ca="1"/>
        <v>COMERCIAL</v>
      </c>
    </row>
    <row r="57" spans="1:11">
      <c r="A57" s="206">
        <f ca="1"/>
        <v>46161</v>
      </c>
      <c r="B57" s="207">
        <f ca="1"/>
        <v>114</v>
      </c>
      <c r="C57" s="208" t="str">
        <f ca="1"/>
        <v>🔴 PARADO - CRÍTICO</v>
      </c>
      <c r="D57" s="208" t="str">
        <f ca="1"/>
        <v>P-9777.26</v>
      </c>
      <c r="E57" s="210" t="str">
        <f ca="1"/>
        <v>WEG</v>
      </c>
      <c r="F57" s="208" t="str">
        <f ca="1"/>
        <v>EM ABERTO</v>
      </c>
      <c r="G57" s="210" t="str">
        <f ca="1"/>
        <v>Sinop/MT</v>
      </c>
      <c r="H57" s="210" t="str">
        <f ca="1"/>
        <v>Montagem Completa de 01 transformador de 138KV - ENERGISA</v>
      </c>
      <c r="I57" s="247">
        <f ca="1"/>
        <v>269790</v>
      </c>
      <c r="J57" s="209">
        <f ca="1"/>
        <v>0.25</v>
      </c>
      <c r="K57" s="208" t="str">
        <f ca="1"/>
        <v>COMERCIAL</v>
      </c>
    </row>
    <row r="58" spans="1:11">
      <c r="A58" s="206">
        <f ca="1"/>
        <v>46162</v>
      </c>
      <c r="B58" s="207">
        <f ca="1"/>
        <v>113</v>
      </c>
      <c r="C58" s="208" t="str">
        <f ca="1"/>
        <v>🔴 PARADO - CRÍTICO</v>
      </c>
      <c r="D58" s="208" t="str">
        <f ca="1"/>
        <v>P-9790.26</v>
      </c>
      <c r="E58" s="210" t="str">
        <f ca="1"/>
        <v>CHINT</v>
      </c>
      <c r="F58" s="208" t="str">
        <f ca="1"/>
        <v>EM ABERTO</v>
      </c>
      <c r="G58" s="210" t="str">
        <f ca="1"/>
        <v>Janauba/MG</v>
      </c>
      <c r="H58" s="210" t="str">
        <f ca="1"/>
        <v>Montagem Completa de 01 transformador monofasico de 500KV - ELERA</v>
      </c>
      <c r="I58" s="247">
        <f ca="1"/>
        <v>449810</v>
      </c>
      <c r="J58" s="209">
        <f ca="1"/>
        <v>0.25</v>
      </c>
      <c r="K58" s="208" t="str">
        <f ca="1"/>
        <v>COMERCIAL</v>
      </c>
    </row>
    <row r="59" spans="1:11">
      <c r="A59" s="206">
        <f ca="1"/>
        <v>46162</v>
      </c>
      <c r="B59" s="207">
        <f ca="1"/>
        <v>113</v>
      </c>
      <c r="C59" s="208" t="str">
        <f ca="1"/>
        <v>🔴 PARADO - CRÍTICO</v>
      </c>
      <c r="D59" s="208" t="str">
        <f ca="1"/>
        <v>P-9792.26</v>
      </c>
      <c r="E59" s="210" t="str">
        <f ca="1"/>
        <v>WEG/ASTEC</v>
      </c>
      <c r="F59" s="208" t="str">
        <f ca="1"/>
        <v>EM ABERTO</v>
      </c>
      <c r="G59" s="210" t="str">
        <f ca="1"/>
        <v>Olindina/BA</v>
      </c>
      <c r="H59" s="210" t="str">
        <f ca="1"/>
        <v>Adequação de Pintura e Sanar vazamentos em 01 Transformador de 550KV - CHESF/AXIA</v>
      </c>
      <c r="I59" s="247">
        <f ca="1"/>
        <v>110220</v>
      </c>
      <c r="J59" s="209">
        <f ca="1"/>
        <v>0.26</v>
      </c>
      <c r="K59" s="208" t="str">
        <f ca="1"/>
        <v>COMERCIAL</v>
      </c>
    </row>
    <row r="60" spans="1:11">
      <c r="A60" s="206">
        <f ca="1"/>
        <v>46162</v>
      </c>
      <c r="B60" s="207">
        <f ca="1"/>
        <v>113</v>
      </c>
      <c r="C60" s="208" t="str">
        <f ca="1"/>
        <v>🔴 PARADO - CRÍTICO</v>
      </c>
      <c r="D60" s="208" t="str">
        <f ca="1"/>
        <v>P-9797.26</v>
      </c>
      <c r="E60" s="210" t="str">
        <f ca="1"/>
        <v>WEG/ASTEC</v>
      </c>
      <c r="F60" s="208" t="str">
        <f ca="1"/>
        <v>EM ABERTO</v>
      </c>
      <c r="G60" s="210" t="str">
        <f ca="1"/>
        <v>Taquaritinga/SP</v>
      </c>
      <c r="H60" s="210" t="str">
        <f ca="1"/>
        <v>Instalação de moto-ventiladores em 01 transformador de 138-CPFL</v>
      </c>
      <c r="I60" s="247">
        <f ca="1"/>
        <v>34622</v>
      </c>
      <c r="J60" s="209">
        <f ca="1"/>
        <v>0.25</v>
      </c>
      <c r="K60" s="208" t="str">
        <f ca="1"/>
        <v>COMERCIAL</v>
      </c>
    </row>
    <row r="61" spans="1:11">
      <c r="A61" s="206">
        <f ca="1"/>
        <v>46162</v>
      </c>
      <c r="B61" s="207">
        <f ca="1"/>
        <v>113</v>
      </c>
      <c r="C61" s="208" t="str">
        <f ca="1"/>
        <v>🔴 PARADO - CRÍTICO</v>
      </c>
      <c r="D61" s="208" t="str">
        <f ca="1"/>
        <v>P-9798.26</v>
      </c>
      <c r="E61" s="210" t="str">
        <f ca="1"/>
        <v>WEG</v>
      </c>
      <c r="F61" s="208" t="str">
        <f ca="1"/>
        <v>EM ABERTO</v>
      </c>
      <c r="G61" s="210" t="str">
        <f ca="1"/>
        <v>Curitiba/PR</v>
      </c>
      <c r="H61" s="210" t="str">
        <f ca="1"/>
        <v>Montagem Completa de 01 transdormador de 230V - COPEL</v>
      </c>
      <c r="I61" s="247">
        <f ca="1"/>
        <v>209600</v>
      </c>
      <c r="J61" s="209">
        <f ca="1"/>
        <v>0.22</v>
      </c>
      <c r="K61" s="208" t="str">
        <f ca="1"/>
        <v>COMERCIAL</v>
      </c>
    </row>
    <row r="62" spans="1:11">
      <c r="A62" s="206">
        <f ca="1"/>
        <v>46162</v>
      </c>
      <c r="B62" s="207">
        <f ca="1"/>
        <v>113</v>
      </c>
      <c r="C62" s="208" t="str">
        <f ca="1"/>
        <v>🔴 PARADO - CRÍTICO</v>
      </c>
      <c r="D62" s="208" t="str">
        <f ca="1"/>
        <v>P-9800.26</v>
      </c>
      <c r="E62" s="210" t="str">
        <f ca="1"/>
        <v>WEG</v>
      </c>
      <c r="F62" s="208" t="str">
        <f ca="1"/>
        <v>EM ABERTO</v>
      </c>
      <c r="G62" s="210" t="str">
        <f ca="1"/>
        <v>Rondonópolis/MT</v>
      </c>
      <c r="H62" s="210" t="str">
        <f ca="1"/>
        <v>Montagem Completa de 01 transformador de 138kv - ENERGISA</v>
      </c>
      <c r="I62" s="247">
        <f ca="1"/>
        <v>199320</v>
      </c>
      <c r="J62" s="209">
        <f ca="1"/>
        <v>0.25</v>
      </c>
      <c r="K62" s="208" t="str">
        <f ca="1"/>
        <v>COMERCIAL</v>
      </c>
    </row>
    <row r="63" spans="1:11">
      <c r="A63" s="206">
        <f ca="1"/>
        <v>46163</v>
      </c>
      <c r="B63" s="207">
        <f ca="1"/>
        <v>112</v>
      </c>
      <c r="C63" s="208" t="str">
        <f ca="1"/>
        <v>🔴 PARADO - CRÍTICO</v>
      </c>
      <c r="D63" s="208" t="str">
        <f ca="1"/>
        <v>P-9802.26</v>
      </c>
      <c r="E63" s="210" t="str">
        <f ca="1"/>
        <v>CHINT</v>
      </c>
      <c r="F63" s="208" t="str">
        <f ca="1"/>
        <v>EM ABERTO</v>
      </c>
      <c r="G63" s="210" t="str">
        <f ca="1"/>
        <v>Barra do Ribeira/RS</v>
      </c>
      <c r="H63" s="210" t="str">
        <f ca="1"/>
        <v>Montagem Completa de 06 transformadores de 230KV E 13,8KV - CMPC</v>
      </c>
      <c r="I63" s="247">
        <f ca="1"/>
        <v>1975080</v>
      </c>
      <c r="J63" s="209">
        <f ca="1"/>
        <v>0.3</v>
      </c>
      <c r="K63" s="208" t="str">
        <f ca="1"/>
        <v>COMERCIAL</v>
      </c>
    </row>
    <row r="64" spans="1:11">
      <c r="A64" s="206">
        <f ca="1"/>
        <v>46163</v>
      </c>
      <c r="B64" s="207">
        <f ca="1"/>
        <v>112</v>
      </c>
      <c r="C64" s="208" t="str">
        <f ca="1"/>
        <v>🔴 PARADO - CRÍTICO</v>
      </c>
      <c r="D64" s="208" t="str">
        <f ca="1"/>
        <v>P-9804.26</v>
      </c>
      <c r="E64" s="210" t="str">
        <f ca="1"/>
        <v xml:space="preserve">Bridgestone </v>
      </c>
      <c r="F64" s="208" t="str">
        <f ca="1"/>
        <v>EM ABERTO</v>
      </c>
      <c r="G64" s="210" t="str">
        <f ca="1"/>
        <v>Santo Andre/SP</v>
      </c>
      <c r="H64" s="210" t="str">
        <f ca="1"/>
        <v xml:space="preserve">Ensaios Eletricos em 21 transformadores de MT - BRIDGESTONE </v>
      </c>
      <c r="I64" s="247">
        <f ca="1"/>
        <v>124320</v>
      </c>
      <c r="J64" s="209">
        <f ca="1"/>
        <v>0.23</v>
      </c>
      <c r="K64" s="208" t="str">
        <f ca="1"/>
        <v>COMERCIAL</v>
      </c>
    </row>
    <row r="65" spans="1:11">
      <c r="A65" s="206">
        <f ca="1"/>
        <v>46164</v>
      </c>
      <c r="B65" s="207">
        <f ca="1"/>
        <v>111</v>
      </c>
      <c r="C65" s="208" t="str">
        <f ca="1"/>
        <v>🔴 PARADO - CRÍTICO</v>
      </c>
      <c r="D65" s="208" t="str">
        <f ca="1"/>
        <v>P-9810.26</v>
      </c>
      <c r="E65" s="210" t="str">
        <f ca="1"/>
        <v>Tereme</v>
      </c>
      <c r="F65" s="208" t="str">
        <f ca="1"/>
        <v>EM ABERTO</v>
      </c>
      <c r="G65" s="210" t="str">
        <f ca="1"/>
        <v>Natal/RN</v>
      </c>
      <c r="H65" s="210" t="str">
        <f ca="1"/>
        <v>Tratamento de óleo Mineral Isolante em transformador de 230KV - TEREME</v>
      </c>
      <c r="I65" s="247">
        <f ca="1"/>
        <v>119000</v>
      </c>
      <c r="J65" s="209">
        <f ca="1"/>
        <v>0.25</v>
      </c>
      <c r="K65" s="208" t="str">
        <f ca="1"/>
        <v>COMERCIAL</v>
      </c>
    </row>
    <row r="66" spans="1:11">
      <c r="A66" s="206">
        <f ca="1"/>
        <v>46167</v>
      </c>
      <c r="B66" s="207">
        <f ca="1"/>
        <v>108</v>
      </c>
      <c r="C66" s="208" t="str">
        <f ca="1"/>
        <v>🔴 PARADO - CRÍTICO</v>
      </c>
      <c r="D66" s="208" t="str">
        <f ca="1"/>
        <v>P-9817.26</v>
      </c>
      <c r="E66" s="210" t="str">
        <f ca="1"/>
        <v>WEG/ASTEC</v>
      </c>
      <c r="F66" s="208" t="str">
        <f ca="1"/>
        <v>EM ABERTO</v>
      </c>
      <c r="G66" s="210" t="str">
        <f ca="1"/>
        <v>Planura/MG</v>
      </c>
      <c r="H66" s="210" t="str">
        <f ca="1"/>
        <v xml:space="preserve">Substituição de Relé de Gas de um transformador de 138KV - AXIA </v>
      </c>
      <c r="I66" s="247">
        <f ca="1"/>
        <v>26400</v>
      </c>
      <c r="J66" s="209">
        <f ca="1"/>
        <v>0.25</v>
      </c>
      <c r="K66" s="208" t="str">
        <f ca="1"/>
        <v>COMERCIAL</v>
      </c>
    </row>
    <row r="67" spans="1:11">
      <c r="A67" s="206">
        <f ca="1"/>
        <v>46167</v>
      </c>
      <c r="B67" s="207">
        <f ca="1"/>
        <v>108</v>
      </c>
      <c r="C67" s="208" t="str">
        <f ca="1"/>
        <v>🔴 PARADO - CRÍTICO</v>
      </c>
      <c r="D67" s="208" t="str">
        <f ca="1"/>
        <v>P-9825.26</v>
      </c>
      <c r="E67" s="210" t="str">
        <f ca="1"/>
        <v>BR INFRA</v>
      </c>
      <c r="F67" s="208" t="str">
        <f ca="1"/>
        <v>EM ABERTO</v>
      </c>
      <c r="G67" s="210" t="str">
        <f ca="1"/>
        <v>Campina Grande/PB</v>
      </c>
      <c r="H67" s="210" t="str">
        <f ca="1"/>
        <v>Desmontagem Completa de 02 transformadores de 230KV - BR INFRA</v>
      </c>
      <c r="I67" s="247">
        <f ca="1"/>
        <v>131900</v>
      </c>
      <c r="J67" s="209">
        <f ca="1"/>
        <v>0.26</v>
      </c>
      <c r="K67" s="208" t="str">
        <f ca="1"/>
        <v>COMERCIAL</v>
      </c>
    </row>
    <row r="68" spans="1:11">
      <c r="A68" s="206">
        <f ca="1"/>
        <v>46169</v>
      </c>
      <c r="B68" s="207">
        <f ca="1"/>
        <v>106</v>
      </c>
      <c r="C68" s="208" t="str">
        <f ca="1"/>
        <v>🔴 PARADO - CRÍTICO</v>
      </c>
      <c r="D68" s="208" t="str">
        <f ca="1"/>
        <v>P-9837.26</v>
      </c>
      <c r="E68" s="210" t="str">
        <f ca="1"/>
        <v>WEG</v>
      </c>
      <c r="F68" s="208" t="str">
        <f ca="1"/>
        <v>EM ABERTO</v>
      </c>
      <c r="G68" s="210" t="str">
        <f ca="1"/>
        <v>Erval Seco/RS</v>
      </c>
      <c r="H68" s="210" t="str">
        <f ca="1"/>
        <v>Montagem Completa de 01 transformador de 230KV - CPFL</v>
      </c>
      <c r="I68" s="247">
        <f ca="1"/>
        <v>252895</v>
      </c>
      <c r="J68" s="209">
        <f ca="1"/>
        <v>0.23</v>
      </c>
      <c r="K68" s="208" t="str">
        <f ca="1"/>
        <v>COMERCIAL</v>
      </c>
    </row>
    <row r="69" spans="1:11">
      <c r="A69" s="206">
        <f ca="1"/>
        <v>46169</v>
      </c>
      <c r="B69" s="207">
        <f ca="1"/>
        <v>106</v>
      </c>
      <c r="C69" s="208" t="str">
        <f ca="1"/>
        <v>🔴 PARADO - CRÍTICO</v>
      </c>
      <c r="D69" s="208" t="str">
        <f ca="1"/>
        <v>P-9842.26</v>
      </c>
      <c r="E69" s="210" t="str">
        <f ca="1"/>
        <v>CELEO</v>
      </c>
      <c r="F69" s="208" t="str">
        <f ca="1"/>
        <v>EM ABERTO</v>
      </c>
      <c r="G69" s="210" t="str">
        <f ca="1"/>
        <v>São Simão/GO</v>
      </c>
      <c r="H69" s="210" t="str">
        <f ca="1"/>
        <v>Substituição de Acessórios e vedações de 01 transformador de AT - CELEO</v>
      </c>
      <c r="I69" s="247">
        <f ca="1"/>
        <v>104600</v>
      </c>
      <c r="J69" s="209">
        <f ca="1"/>
        <v>0.23</v>
      </c>
      <c r="K69" s="208" t="str">
        <f ca="1"/>
        <v>COMERCIAL</v>
      </c>
    </row>
    <row r="70" spans="1:11">
      <c r="A70" s="206">
        <f ca="1"/>
        <v>46170</v>
      </c>
      <c r="B70" s="207">
        <f ca="1"/>
        <v>105</v>
      </c>
      <c r="C70" s="208" t="str">
        <f ca="1"/>
        <v>🔴 PARADO - CRÍTICO</v>
      </c>
      <c r="D70" s="208" t="str">
        <f ca="1"/>
        <v>P-9847.26</v>
      </c>
      <c r="E70" s="210" t="str">
        <f ca="1"/>
        <v>WEG/ASTEC</v>
      </c>
      <c r="F70" s="208" t="str">
        <f ca="1"/>
        <v>EM ABERTO</v>
      </c>
      <c r="G70" s="210" t="str">
        <f ca="1"/>
        <v>Corrego Fundo/MG</v>
      </c>
      <c r="H70" s="210" t="str">
        <f ca="1"/>
        <v>Troca do Conector do Coletor de Gás - CEMIG</v>
      </c>
      <c r="I70" s="247">
        <f ca="1"/>
        <v>16400</v>
      </c>
      <c r="J70" s="209">
        <f ca="1"/>
        <v>0.25</v>
      </c>
      <c r="K70" s="208" t="str">
        <f ca="1"/>
        <v>COMERCIAL</v>
      </c>
    </row>
    <row r="71" spans="1:11">
      <c r="A71" s="206">
        <f ca="1"/>
        <v>46170</v>
      </c>
      <c r="B71" s="207">
        <f ca="1"/>
        <v>105</v>
      </c>
      <c r="C71" s="208" t="str">
        <f ca="1"/>
        <v>🔴 PARADO - CRÍTICO</v>
      </c>
      <c r="D71" s="208" t="str">
        <f ca="1"/>
        <v>P-9848.26</v>
      </c>
      <c r="E71" s="210" t="str">
        <f ca="1"/>
        <v>WEG/ASTEC</v>
      </c>
      <c r="F71" s="208" t="str">
        <f ca="1"/>
        <v>EM ABERTO</v>
      </c>
      <c r="G71" s="210" t="str">
        <f ca="1"/>
        <v>Itabira/MG</v>
      </c>
      <c r="H71" s="210" t="str">
        <f ca="1"/>
        <v>Substituição do INO do conservador em um transformador de 138KV - CEMIG</v>
      </c>
      <c r="I71" s="247">
        <f ca="1"/>
        <v>68100</v>
      </c>
      <c r="J71" s="209">
        <f ca="1"/>
        <v>0.2</v>
      </c>
      <c r="K71" s="208" t="str">
        <f ca="1"/>
        <v>COMERCIAL</v>
      </c>
    </row>
    <row r="72" spans="1:11">
      <c r="A72" s="206">
        <f ca="1"/>
        <v>46170</v>
      </c>
      <c r="B72" s="207">
        <f ca="1"/>
        <v>105</v>
      </c>
      <c r="C72" s="208" t="str">
        <f ca="1"/>
        <v>🔴 PARADO - CRÍTICO</v>
      </c>
      <c r="D72" s="208" t="str">
        <f ca="1"/>
        <v>P-9849.26</v>
      </c>
      <c r="E72" s="210" t="str">
        <f ca="1"/>
        <v>WEG</v>
      </c>
      <c r="F72" s="208" t="str">
        <f ca="1"/>
        <v>EM ABERTO</v>
      </c>
      <c r="G72" s="210" t="str">
        <f ca="1"/>
        <v>Uberlandia/MG</v>
      </c>
      <c r="H72" s="210" t="str">
        <f ca="1"/>
        <v xml:space="preserve">Montagem Completa de 01 transformador de 138KV - CEMIG </v>
      </c>
      <c r="I72" s="247">
        <f ca="1"/>
        <v>164300</v>
      </c>
      <c r="J72" s="209">
        <f ca="1"/>
        <v>0.23</v>
      </c>
      <c r="K72" s="208" t="str">
        <f ca="1"/>
        <v>COMERCIAL</v>
      </c>
    </row>
    <row r="73" spans="1:11">
      <c r="A73" s="206">
        <f ca="1"/>
        <v>46170</v>
      </c>
      <c r="B73" s="207">
        <f ca="1"/>
        <v>105</v>
      </c>
      <c r="C73" s="208" t="str">
        <f ca="1"/>
        <v>🔴 PARADO - CRÍTICO</v>
      </c>
      <c r="D73" s="208" t="str">
        <f ca="1"/>
        <v>P-9861.26</v>
      </c>
      <c r="E73" s="210" t="str">
        <f ca="1"/>
        <v>SIEMENS</v>
      </c>
      <c r="F73" s="208" t="str">
        <f ca="1"/>
        <v>EM ABERTO</v>
      </c>
      <c r="G73" s="210" t="str">
        <f ca="1"/>
        <v>Rifaina/SP</v>
      </c>
      <c r="H73" s="210" t="str">
        <f ca="1"/>
        <v>Montagem Completa de 03 transformadores de 345KV - SIEMENS</v>
      </c>
      <c r="I73" s="247">
        <f ca="1"/>
        <v>857430</v>
      </c>
      <c r="J73" s="209">
        <f ca="1"/>
        <v>0.28000000000000003</v>
      </c>
      <c r="K73" s="208" t="str">
        <f ca="1"/>
        <v>COMERCIAL</v>
      </c>
    </row>
    <row r="74" spans="1:11">
      <c r="A74" s="206">
        <f ca="1"/>
        <v>46174</v>
      </c>
      <c r="B74" s="207">
        <f ca="1"/>
        <v>101</v>
      </c>
      <c r="C74" s="208" t="str">
        <f ca="1"/>
        <v>🔴 PARADO - CRÍTICO</v>
      </c>
      <c r="D74" s="208" t="str">
        <f ca="1"/>
        <v>P-9866.26</v>
      </c>
      <c r="E74" s="210" t="str">
        <f ca="1"/>
        <v>CELEO</v>
      </c>
      <c r="F74" s="208" t="str">
        <f ca="1"/>
        <v>EM ABERTO</v>
      </c>
      <c r="G74" s="210" t="str">
        <f ca="1"/>
        <v>Cachoeira Paulista/SP</v>
      </c>
      <c r="H74" s="210" t="str">
        <f ca="1"/>
        <v>Manutenção Corretiva em 04 transformadores de AT - CELEO</v>
      </c>
      <c r="I74" s="247">
        <f ca="1"/>
        <v>79680</v>
      </c>
      <c r="J74" s="209">
        <f ca="1"/>
        <v>0.1</v>
      </c>
      <c r="K74" s="208" t="str">
        <f ca="1"/>
        <v>COMERCIAL</v>
      </c>
    </row>
    <row r="75" spans="1:11">
      <c r="A75" s="206">
        <f ca="1"/>
        <v>46176</v>
      </c>
      <c r="B75" s="207">
        <f ca="1"/>
        <v>99</v>
      </c>
      <c r="C75" s="208" t="str">
        <f ca="1"/>
        <v>🔴 PARADO - CRÍTICO</v>
      </c>
      <c r="D75" s="208" t="str">
        <f ca="1"/>
        <v>P-9881.26</v>
      </c>
      <c r="E75" s="210" t="str">
        <f ca="1"/>
        <v>WEG</v>
      </c>
      <c r="F75" s="208" t="str">
        <f ca="1"/>
        <v>EM ABERTO</v>
      </c>
      <c r="G75" s="210" t="str">
        <f ca="1"/>
        <v>Pelotas/MS</v>
      </c>
      <c r="H75" s="210" t="str">
        <f ca="1"/>
        <v>Montagem Completa de 02 transformadores de 138KV - EQUATORIAL</v>
      </c>
      <c r="I75" s="247">
        <f ca="1"/>
        <v>106320</v>
      </c>
      <c r="J75" s="209">
        <f ca="1"/>
        <v>0.2</v>
      </c>
      <c r="K75" s="208" t="str">
        <f ca="1"/>
        <v>COMERCIAL</v>
      </c>
    </row>
    <row r="76" spans="1:11">
      <c r="A76" s="206">
        <f ca="1"/>
        <v>46176</v>
      </c>
      <c r="B76" s="207">
        <f ca="1"/>
        <v>99</v>
      </c>
      <c r="C76" s="208" t="str">
        <f ca="1"/>
        <v>🔴 PARADO - CRÍTICO</v>
      </c>
      <c r="D76" s="208" t="str">
        <f ca="1"/>
        <v>P-9882.26</v>
      </c>
      <c r="E76" s="210" t="str">
        <f ca="1"/>
        <v>WEG</v>
      </c>
      <c r="F76" s="208" t="str">
        <f ca="1"/>
        <v>EM ABERTO</v>
      </c>
      <c r="G76" s="210" t="str">
        <f ca="1"/>
        <v>Coremas/PB</v>
      </c>
      <c r="H76" s="210" t="str">
        <f ca="1"/>
        <v>Montagem Completa de 01 transformadores de 230KV - CNS/AXIA NORDESTE</v>
      </c>
      <c r="I76" s="247">
        <f ca="1"/>
        <v>297300</v>
      </c>
      <c r="J76" s="209">
        <f ca="1"/>
        <v>0.23</v>
      </c>
      <c r="K76" s="208" t="str">
        <f ca="1"/>
        <v>COMERCIAL</v>
      </c>
    </row>
    <row r="77" spans="1:11">
      <c r="A77" s="206">
        <f ca="1"/>
        <v>46181</v>
      </c>
      <c r="B77" s="207">
        <f ca="1"/>
        <v>94</v>
      </c>
      <c r="C77" s="208" t="str">
        <f ca="1"/>
        <v>🔴 PARADO - CRÍTICO</v>
      </c>
      <c r="D77" s="208" t="str">
        <f ca="1"/>
        <v>P-9914.26</v>
      </c>
      <c r="E77" s="210" t="str">
        <f ca="1"/>
        <v>Amsted Maxion</v>
      </c>
      <c r="F77" s="208" t="str">
        <f ca="1"/>
        <v>EM ABERTO</v>
      </c>
      <c r="G77" s="210" t="str">
        <f ca="1"/>
        <v>Cruzeiro/SP</v>
      </c>
      <c r="H77" s="210" t="str">
        <f ca="1"/>
        <v>Correção de Vazamentos de um Reator e Trafo de Forno - AMSTED MAXION</v>
      </c>
      <c r="I77" s="247">
        <f ca="1"/>
        <v>30600</v>
      </c>
      <c r="J77" s="209">
        <f ca="1"/>
        <v>0.25</v>
      </c>
      <c r="K77" s="208" t="str">
        <f ca="1"/>
        <v>COMERCIAL</v>
      </c>
    </row>
    <row r="78" spans="1:11">
      <c r="A78" s="206">
        <f ca="1"/>
        <v>46182</v>
      </c>
      <c r="B78" s="207">
        <f ca="1"/>
        <v>93</v>
      </c>
      <c r="C78" s="208" t="str">
        <f ca="1"/>
        <v>🔴 PARADO - CRÍTICO</v>
      </c>
      <c r="D78" s="208" t="str">
        <f ca="1"/>
        <v>P-9916.26</v>
      </c>
      <c r="E78" s="210" t="str">
        <f ca="1"/>
        <v>Equatorial Energia</v>
      </c>
      <c r="F78" s="208" t="str">
        <f ca="1"/>
        <v>NEGOCIAÇÃO</v>
      </c>
      <c r="G78" s="210" t="str">
        <f ca="1"/>
        <v>Belem/PA</v>
      </c>
      <c r="H78" s="210" t="str">
        <f ca="1"/>
        <v>Montagem, Desmotangem e Comissionamento em transformadores de até 138kv - EQUATORIAL</v>
      </c>
      <c r="I78" s="247">
        <f ca="1"/>
        <v>3685138</v>
      </c>
      <c r="J78" s="209">
        <f ca="1"/>
        <v>0.25</v>
      </c>
      <c r="K78" s="208" t="str">
        <f ca="1"/>
        <v>COMERCIAL</v>
      </c>
    </row>
    <row r="79" spans="1:11">
      <c r="A79" s="206">
        <f ca="1"/>
        <v>46182</v>
      </c>
      <c r="B79" s="207">
        <f ca="1"/>
        <v>93</v>
      </c>
      <c r="C79" s="208" t="str">
        <f ca="1"/>
        <v>🔴 PARADO - CRÍTICO</v>
      </c>
      <c r="D79" s="208" t="str">
        <f ca="1"/>
        <v>P-9917.26</v>
      </c>
      <c r="E79" s="210" t="str">
        <f ca="1"/>
        <v>Equatorial Energia</v>
      </c>
      <c r="F79" s="208" t="str">
        <f ca="1"/>
        <v>NEGOCIAÇÃO</v>
      </c>
      <c r="G79" s="210" t="str">
        <f ca="1"/>
        <v>Teresina/PI</v>
      </c>
      <c r="H79" s="210" t="str">
        <f ca="1"/>
        <v>Montagem, Desmotangem e Comissionamento em transformadores de até 138kv - EQUATORIAL</v>
      </c>
      <c r="I79" s="247">
        <f ca="1"/>
        <v>3355438</v>
      </c>
      <c r="J79" s="209">
        <f ca="1"/>
        <v>0.25</v>
      </c>
      <c r="K79" s="208" t="str">
        <f ca="1"/>
        <v>COMERCIAL</v>
      </c>
    </row>
    <row r="80" spans="1:11">
      <c r="A80" s="206">
        <f ca="1"/>
        <v>46182</v>
      </c>
      <c r="B80" s="207">
        <f ca="1"/>
        <v>93</v>
      </c>
      <c r="C80" s="208" t="str">
        <f ca="1"/>
        <v>🔴 PARADO - CRÍTICO</v>
      </c>
      <c r="D80" s="208" t="str">
        <f ca="1"/>
        <v>P-9920.26</v>
      </c>
      <c r="E80" s="210" t="str">
        <f ca="1"/>
        <v>Equatorial Energia</v>
      </c>
      <c r="F80" s="208" t="str">
        <f ca="1"/>
        <v>NEGOCIAÇÃO</v>
      </c>
      <c r="G80" s="210" t="str">
        <f ca="1"/>
        <v>Alagoas/AL</v>
      </c>
      <c r="H80" s="210" t="str">
        <f ca="1"/>
        <v>Montagem, Desmotangem e Comissionamento em transformadores de até 138kv - EQUATORIAL</v>
      </c>
      <c r="I80" s="247">
        <f ca="1"/>
        <v>3213084</v>
      </c>
      <c r="J80" s="209">
        <f ca="1"/>
        <v>0.25</v>
      </c>
      <c r="K80" s="208" t="str">
        <f ca="1"/>
        <v>COMERCIAL</v>
      </c>
    </row>
    <row r="81" spans="1:11">
      <c r="A81" s="206">
        <f ca="1"/>
        <v>46182</v>
      </c>
      <c r="B81" s="207">
        <f ca="1"/>
        <v>93</v>
      </c>
      <c r="C81" s="208" t="str">
        <f ca="1"/>
        <v>🔴 PARADO - CRÍTICO</v>
      </c>
      <c r="D81" s="208" t="str">
        <f ca="1"/>
        <v>P-9921.26</v>
      </c>
      <c r="E81" s="210" t="str">
        <f ca="1"/>
        <v>Equatorial Energia</v>
      </c>
      <c r="F81" s="208" t="str">
        <f ca="1"/>
        <v>NEGOCIAÇÃO</v>
      </c>
      <c r="G81" s="210" t="str">
        <f ca="1"/>
        <v>Goias/GO</v>
      </c>
      <c r="H81" s="210" t="str">
        <f ca="1"/>
        <v>Montagem, Desmotangem e Comissionamento em transformadores de até 138kv - EQUATORIAL</v>
      </c>
      <c r="I81" s="247">
        <f ca="1"/>
        <v>3411490</v>
      </c>
      <c r="J81" s="209">
        <f ca="1"/>
        <v>0.25</v>
      </c>
      <c r="K81" s="208" t="str">
        <f ca="1"/>
        <v>COMERCIAL</v>
      </c>
    </row>
    <row r="82" spans="1:11">
      <c r="A82" s="206">
        <f ca="1"/>
        <v>46183</v>
      </c>
      <c r="B82" s="207">
        <f ca="1"/>
        <v>92</v>
      </c>
      <c r="C82" s="208" t="str">
        <f ca="1"/>
        <v>🔴 PARADO - CRÍTICO</v>
      </c>
      <c r="D82" s="208" t="str">
        <f ca="1"/>
        <v>P-9930.26</v>
      </c>
      <c r="E82" s="210" t="str">
        <f ca="1"/>
        <v>WEG</v>
      </c>
      <c r="F82" s="208" t="str">
        <f ca="1"/>
        <v>EM ABERTO</v>
      </c>
      <c r="G82" s="210" t="str">
        <f ca="1"/>
        <v>São Lepoldo/RS</v>
      </c>
      <c r="H82" s="210" t="str">
        <f ca="1"/>
        <v>Montagem Completa de 04 transformadores de 138KV - CPFL</v>
      </c>
      <c r="I82" s="247">
        <f ca="1"/>
        <v>439600</v>
      </c>
      <c r="J82" s="209">
        <f ca="1"/>
        <v>0.23</v>
      </c>
      <c r="K82" s="208" t="str">
        <f ca="1"/>
        <v>COMERCIAL</v>
      </c>
    </row>
    <row r="83" spans="1:11">
      <c r="A83" s="206">
        <f ca="1"/>
        <v>46183</v>
      </c>
      <c r="B83" s="207">
        <f ca="1"/>
        <v>92</v>
      </c>
      <c r="C83" s="208" t="str">
        <f ca="1"/>
        <v>🔴 PARADO - CRÍTICO</v>
      </c>
      <c r="D83" s="208" t="str">
        <f ca="1"/>
        <v>P-9931.26</v>
      </c>
      <c r="E83" s="210" t="str">
        <f ca="1"/>
        <v>WEG</v>
      </c>
      <c r="F83" s="208" t="str">
        <f ca="1"/>
        <v>EM ABERTO</v>
      </c>
      <c r="G83" s="210" t="str">
        <f ca="1"/>
        <v>Londrina/PR</v>
      </c>
      <c r="H83" s="210" t="str">
        <f ca="1"/>
        <v>Montagem Completa de 01 transformador de 230KV - COPEL</v>
      </c>
      <c r="I83" s="247">
        <f ca="1"/>
        <v>239900</v>
      </c>
      <c r="J83" s="209">
        <f ca="1"/>
        <v>0.22</v>
      </c>
      <c r="K83" s="208" t="str">
        <f ca="1"/>
        <v>COMERCIAL</v>
      </c>
    </row>
    <row r="84" spans="1:11">
      <c r="A84" s="206">
        <f ca="1"/>
        <v>46183</v>
      </c>
      <c r="B84" s="207">
        <f ca="1"/>
        <v>92</v>
      </c>
      <c r="C84" s="208" t="str">
        <f ca="1"/>
        <v>🔴 PARADO - CRÍTICO</v>
      </c>
      <c r="D84" s="208" t="str">
        <f ca="1"/>
        <v>P-9932.26</v>
      </c>
      <c r="E84" s="210" t="str">
        <f ca="1"/>
        <v xml:space="preserve">Bridgestone </v>
      </c>
      <c r="F84" s="208" t="str">
        <f ca="1"/>
        <v>NEGOCIAÇÃO</v>
      </c>
      <c r="G84" s="210" t="str">
        <f ca="1"/>
        <v>Santo Andre/SP</v>
      </c>
      <c r="H84" s="210" t="str">
        <f ca="1"/>
        <v>Coleta de amostra de óleo para analise em 63 transformadores - BRIDGESTONE</v>
      </c>
      <c r="I84" s="247">
        <f ca="1"/>
        <v>109600</v>
      </c>
      <c r="J84" s="209">
        <f ca="1"/>
        <v>0.2</v>
      </c>
      <c r="K84" s="208" t="str">
        <f ca="1"/>
        <v>COMERCIAL</v>
      </c>
    </row>
    <row r="85" spans="1:11">
      <c r="A85" s="206">
        <f ca="1"/>
        <v>46183</v>
      </c>
      <c r="B85" s="207">
        <f ca="1"/>
        <v>92</v>
      </c>
      <c r="C85" s="208" t="str">
        <f ca="1"/>
        <v>🔴 PARADO - CRÍTICO</v>
      </c>
      <c r="D85" s="208" t="str">
        <f ca="1"/>
        <v>P-9935.26</v>
      </c>
      <c r="E85" s="210" t="str">
        <f ca="1"/>
        <v>Siner</v>
      </c>
      <c r="F85" s="208" t="str">
        <f ca="1"/>
        <v>EM ABERTO</v>
      </c>
      <c r="G85" s="210" t="str">
        <f ca="1"/>
        <v>Goias/GO</v>
      </c>
      <c r="H85" s="210" t="str">
        <f ca="1"/>
        <v>Analise e tratamento de óleo em transformadores</v>
      </c>
      <c r="I85" s="247">
        <f ca="1"/>
        <v>244166</v>
      </c>
      <c r="J85" s="209">
        <f ca="1"/>
        <v>0.2</v>
      </c>
      <c r="K85" s="208" t="str">
        <f ca="1"/>
        <v>COMERCIAL</v>
      </c>
    </row>
    <row r="86" spans="1:11">
      <c r="A86" s="206">
        <f ca="1"/>
        <v>46183</v>
      </c>
      <c r="B86" s="207">
        <f ca="1"/>
        <v>92</v>
      </c>
      <c r="C86" s="208" t="str">
        <f ca="1"/>
        <v>🔴 PARADO - CRÍTICO</v>
      </c>
      <c r="D86" s="208" t="str">
        <f ca="1"/>
        <v>P-9939.26</v>
      </c>
      <c r="E86" s="210" t="str">
        <f ca="1"/>
        <v>CHINT</v>
      </c>
      <c r="F86" s="208" t="str">
        <f ca="1"/>
        <v>NEGOCIAÇÃO</v>
      </c>
      <c r="G86" s="210" t="str">
        <f ca="1"/>
        <v>ONDA-04</v>
      </c>
      <c r="H86" s="210" t="str">
        <f ca="1"/>
        <v xml:space="preserve">Montagem Completa de 9 Reatores de 72,5KV e 04 transformadores 230KV - AXIA </v>
      </c>
      <c r="I86" s="247">
        <f ca="1"/>
        <v>2096385</v>
      </c>
      <c r="J86" s="209">
        <f ca="1"/>
        <v>0.25</v>
      </c>
      <c r="K86" s="208" t="str">
        <f ca="1"/>
        <v>COMERCIAL</v>
      </c>
    </row>
    <row r="87" spans="1:11">
      <c r="A87" s="206">
        <f ca="1"/>
        <v>46188</v>
      </c>
      <c r="B87" s="207">
        <f ca="1"/>
        <v>87</v>
      </c>
      <c r="C87" s="208" t="str">
        <f ca="1"/>
        <v>🔴 PARADO - CRÍTICO</v>
      </c>
      <c r="D87" s="208" t="str">
        <f ca="1"/>
        <v>P-9969.26</v>
      </c>
      <c r="E87" s="210" t="str">
        <f ca="1"/>
        <v>WEG</v>
      </c>
      <c r="F87" s="208" t="str">
        <f ca="1"/>
        <v>EM ABERTO</v>
      </c>
      <c r="G87" s="210" t="str">
        <f ca="1"/>
        <v>Bertioga/SP</v>
      </c>
      <c r="H87" s="210" t="str">
        <f ca="1"/>
        <v>Montagem Completa de 02 transformadores de 138KV - CTEEP</v>
      </c>
      <c r="I87" s="247">
        <f ca="1"/>
        <v>279800</v>
      </c>
      <c r="J87" s="209">
        <f ca="1"/>
        <v>0.23</v>
      </c>
      <c r="K87" s="208" t="str">
        <f ca="1"/>
        <v>COMERCIAL</v>
      </c>
    </row>
    <row r="88" spans="1:11">
      <c r="A88" s="206">
        <f ca="1"/>
        <v>46188</v>
      </c>
      <c r="B88" s="207">
        <f ca="1"/>
        <v>87</v>
      </c>
      <c r="C88" s="208" t="str">
        <f ca="1"/>
        <v>🔴 PARADO - CRÍTICO</v>
      </c>
      <c r="D88" s="208" t="str">
        <f ca="1"/>
        <v>P-9971.26</v>
      </c>
      <c r="E88" s="210" t="str">
        <f ca="1"/>
        <v>WEG</v>
      </c>
      <c r="F88" s="208" t="str">
        <f ca="1"/>
        <v>EM ABERTO</v>
      </c>
      <c r="G88" s="210" t="str">
        <f ca="1"/>
        <v>Buritizeiro/MG</v>
      </c>
      <c r="H88" s="210" t="str">
        <f ca="1"/>
        <v>Montagem Completa de 04 transformadores de 500kv - CYMI</v>
      </c>
      <c r="I88" s="247">
        <f ca="1"/>
        <v>794800</v>
      </c>
      <c r="J88" s="209">
        <f ca="1"/>
        <v>0.23</v>
      </c>
      <c r="K88" s="208" t="str">
        <f ca="1"/>
        <v>COMERCIAL</v>
      </c>
    </row>
    <row r="89" spans="1:11">
      <c r="A89" s="206">
        <f ca="1"/>
        <v>46188</v>
      </c>
      <c r="B89" s="207">
        <f ca="1"/>
        <v>87</v>
      </c>
      <c r="C89" s="208" t="str">
        <f ca="1"/>
        <v>🔴 PARADO - CRÍTICO</v>
      </c>
      <c r="D89" s="208" t="str">
        <f ca="1"/>
        <v>P-9975.26</v>
      </c>
      <c r="E89" s="210" t="str">
        <f ca="1"/>
        <v>WEG</v>
      </c>
      <c r="F89" s="208" t="str">
        <f ca="1"/>
        <v>EM ABERTO</v>
      </c>
      <c r="G89" s="210" t="str">
        <f ca="1"/>
        <v>Capivari de Baixo/SC</v>
      </c>
      <c r="H89" s="210" t="str">
        <f ca="1"/>
        <v>Montagem Completa de 01 transformador de 132KV</v>
      </c>
      <c r="I89" s="247">
        <f ca="1"/>
        <v>158270</v>
      </c>
      <c r="J89" s="209">
        <f ca="1"/>
        <v>0.23</v>
      </c>
      <c r="K89" s="208" t="str">
        <f ca="1"/>
        <v>COMERCIAL</v>
      </c>
    </row>
    <row r="90" spans="1:11">
      <c r="A90" s="206">
        <f ca="1"/>
        <v>46189</v>
      </c>
      <c r="B90" s="207">
        <f ca="1"/>
        <v>86</v>
      </c>
      <c r="C90" s="208" t="str">
        <f ca="1"/>
        <v>🔴 PARADO - CRÍTICO</v>
      </c>
      <c r="D90" s="208" t="str">
        <f ca="1"/>
        <v>P-9986.26</v>
      </c>
      <c r="E90" s="210" t="str">
        <f ca="1"/>
        <v>WEG</v>
      </c>
      <c r="F90" s="208" t="str">
        <f ca="1"/>
        <v>EM ABERTO</v>
      </c>
      <c r="G90" s="210" t="str">
        <f ca="1"/>
        <v>Angra dos Reis/RJ</v>
      </c>
      <c r="H90" s="210" t="str">
        <f ca="1"/>
        <v>Montagem Completa de 01 transformador de 138KV - AXIA</v>
      </c>
      <c r="I90" s="247">
        <f ca="1"/>
        <v>139325</v>
      </c>
      <c r="J90" s="209">
        <f ca="1"/>
        <v>0.25</v>
      </c>
      <c r="K90" s="208" t="str">
        <f ca="1"/>
        <v>COMERCIAL</v>
      </c>
    </row>
    <row r="91" spans="1:11">
      <c r="A91" s="206">
        <f ca="1"/>
        <v>46189</v>
      </c>
      <c r="B91" s="207">
        <f ca="1"/>
        <v>86</v>
      </c>
      <c r="C91" s="208" t="str">
        <f ca="1"/>
        <v>🔴 PARADO - CRÍTICO</v>
      </c>
      <c r="D91" s="208" t="str">
        <f ca="1"/>
        <v>P-9988.26</v>
      </c>
      <c r="E91" s="210" t="str">
        <f ca="1"/>
        <v>WEG</v>
      </c>
      <c r="F91" s="208" t="str">
        <f ca="1"/>
        <v>EM ABERTO</v>
      </c>
      <c r="G91" s="210" t="str">
        <f ca="1"/>
        <v>Aparecida de Goiania/GO</v>
      </c>
      <c r="H91" s="210" t="str">
        <f ca="1"/>
        <v>Montagem Completa de 01 transformador de 345KV - AXIA</v>
      </c>
      <c r="I91" s="247">
        <f ca="1"/>
        <v>233240</v>
      </c>
      <c r="J91" s="209">
        <f ca="1"/>
        <v>0.23</v>
      </c>
      <c r="K91" s="208" t="str">
        <f ca="1"/>
        <v>COMERCIAL</v>
      </c>
    </row>
    <row r="92" spans="1:11">
      <c r="A92" s="206">
        <f ca="1"/>
        <v>46190</v>
      </c>
      <c r="B92" s="207">
        <f ca="1"/>
        <v>85</v>
      </c>
      <c r="C92" s="208" t="str">
        <f ca="1"/>
        <v>🔴 PARADO - CRÍTICO</v>
      </c>
      <c r="D92" s="208" t="str">
        <f ca="1"/>
        <v>P-10000.26</v>
      </c>
      <c r="E92" s="210" t="str">
        <f ca="1"/>
        <v>CHINT</v>
      </c>
      <c r="F92" s="208" t="str">
        <f ca="1"/>
        <v>EM ABERTO</v>
      </c>
      <c r="G92" s="210" t="str">
        <f ca="1"/>
        <v>Ribeirão das Neves/MG</v>
      </c>
      <c r="H92" s="210" t="str">
        <f ca="1"/>
        <v>Montagem Completa de 03 transformadores de 138KV - CEMIG</v>
      </c>
      <c r="I92" s="247">
        <f ca="1"/>
        <v>610884</v>
      </c>
      <c r="J92" s="209">
        <f ca="1"/>
        <v>0.26</v>
      </c>
      <c r="K92" s="208" t="str">
        <f ca="1"/>
        <v>COMERCIAL</v>
      </c>
    </row>
    <row r="93" spans="1:11">
      <c r="A93" s="206">
        <f ca="1"/>
        <v>46192</v>
      </c>
      <c r="B93" s="207">
        <f ca="1"/>
        <v>83</v>
      </c>
      <c r="C93" s="208" t="str">
        <f ca="1"/>
        <v>🔴 PARADO - CRÍTICO</v>
      </c>
      <c r="D93" s="208" t="str">
        <f ca="1"/>
        <v>P-10001.26</v>
      </c>
      <c r="E93" s="210" t="str">
        <f ca="1"/>
        <v>WEG</v>
      </c>
      <c r="F93" s="208" t="str">
        <f ca="1"/>
        <v>EM ABERTO</v>
      </c>
      <c r="G93" s="210" t="str">
        <f ca="1"/>
        <v>São Luis/MA</v>
      </c>
      <c r="H93" s="210" t="str">
        <f ca="1"/>
        <v xml:space="preserve">Desmontagem de um Reator de 550KV - AXIA </v>
      </c>
      <c r="I93" s="247">
        <f ca="1"/>
        <v>155400</v>
      </c>
      <c r="J93" s="209">
        <f ca="1"/>
        <v>0.24</v>
      </c>
      <c r="K93" s="208" t="str">
        <f ca="1"/>
        <v>COMERCIAL</v>
      </c>
    </row>
    <row r="94" spans="1:11">
      <c r="A94" s="206">
        <f ca="1"/>
        <v>46192</v>
      </c>
      <c r="B94" s="207">
        <f ca="1"/>
        <v>83</v>
      </c>
      <c r="C94" s="208" t="str">
        <f ca="1"/>
        <v>🔴 PARADO - CRÍTICO</v>
      </c>
      <c r="D94" s="208" t="str">
        <f ca="1"/>
        <v>P-10007.26</v>
      </c>
      <c r="E94" s="210" t="str">
        <f ca="1"/>
        <v>WEG</v>
      </c>
      <c r="F94" s="208" t="str">
        <f ca="1"/>
        <v>EM ABERTO</v>
      </c>
      <c r="G94" s="210" t="str">
        <f ca="1"/>
        <v>Cuiaba/MT</v>
      </c>
      <c r="H94" s="210" t="str">
        <f ca="1"/>
        <v>Montagem Completa de 01 transformador de 138KV - ENERGISA</v>
      </c>
      <c r="I94" s="247">
        <f ca="1"/>
        <v>189900</v>
      </c>
      <c r="J94" s="209">
        <f ca="1"/>
        <v>0.23</v>
      </c>
      <c r="K94" s="208" t="str">
        <f ca="1"/>
        <v>COMERCIAL</v>
      </c>
    </row>
    <row r="95" spans="1:11">
      <c r="A95" s="206">
        <f ca="1"/>
        <v>46196</v>
      </c>
      <c r="B95" s="207">
        <f ca="1"/>
        <v>79</v>
      </c>
      <c r="C95" s="208" t="str">
        <f ca="1"/>
        <v>🔴 PARADO - CRÍTICO</v>
      </c>
      <c r="D95" s="208" t="str">
        <f ca="1"/>
        <v>P-10027.26</v>
      </c>
      <c r="E95" s="210" t="str">
        <f ca="1"/>
        <v>SIEMENS</v>
      </c>
      <c r="F95" s="208" t="str">
        <f ca="1"/>
        <v>EM ABERTO</v>
      </c>
      <c r="G95" s="210" t="str">
        <f ca="1"/>
        <v>Perus/SP</v>
      </c>
      <c r="H95" s="210" t="str">
        <f ca="1"/>
        <v>Montagem Completa de 02 transformadores de 345KV - 247 DATA CENTER</v>
      </c>
      <c r="I95" s="247">
        <f ca="1"/>
        <v>581890</v>
      </c>
      <c r="J95" s="209">
        <f ca="1"/>
        <v>0.3</v>
      </c>
      <c r="K95" s="208" t="str">
        <f ca="1"/>
        <v>COMERCIAL</v>
      </c>
    </row>
    <row r="96" spans="1:11">
      <c r="A96" s="206">
        <f ca="1"/>
        <v>46196</v>
      </c>
      <c r="B96" s="207">
        <f ca="1"/>
        <v>79</v>
      </c>
      <c r="C96" s="208" t="str">
        <f ca="1"/>
        <v>🔴 PARADO - CRÍTICO</v>
      </c>
      <c r="D96" s="208" t="str">
        <f ca="1"/>
        <v>P-10034.26</v>
      </c>
      <c r="E96" s="210" t="str">
        <f ca="1"/>
        <v>Volkswagen</v>
      </c>
      <c r="F96" s="208" t="str">
        <f ca="1"/>
        <v>EM ABERTO</v>
      </c>
      <c r="G96" s="210" t="str">
        <f ca="1"/>
        <v>São Bernardo do Campo/SP</v>
      </c>
      <c r="H96" s="210" t="str">
        <f ca="1"/>
        <v>Substituição de Buchas e Acessórios de um transformador - VOLKSWAGEN</v>
      </c>
      <c r="I96" s="247">
        <f ca="1"/>
        <v>798819</v>
      </c>
      <c r="J96" s="209">
        <f ca="1"/>
        <v>0.3</v>
      </c>
      <c r="K96" s="208" t="str">
        <f ca="1"/>
        <v>COMERCIAL</v>
      </c>
    </row>
    <row r="97" spans="1:11">
      <c r="A97" s="206">
        <f ca="1"/>
        <v>46198</v>
      </c>
      <c r="B97" s="207">
        <f ca="1"/>
        <v>77</v>
      </c>
      <c r="C97" s="208" t="str">
        <f ca="1"/>
        <v>🔴 PARADO - CRÍTICO</v>
      </c>
      <c r="D97" s="208" t="str">
        <f ca="1"/>
        <v>P-10046.26</v>
      </c>
      <c r="E97" s="210" t="str">
        <f ca="1"/>
        <v>VEOLIA</v>
      </c>
      <c r="F97" s="208" t="str">
        <f ca="1"/>
        <v>EM ABERTO</v>
      </c>
      <c r="G97" s="210" t="str">
        <f ca="1"/>
        <v>São Francisco do Sul/SC</v>
      </c>
      <c r="H97" s="210" t="str">
        <f ca="1"/>
        <v>Manutenção Corretiva em transformadores de 230KV - VEOLIA</v>
      </c>
      <c r="I97" s="247">
        <f ca="1"/>
        <v>322010</v>
      </c>
      <c r="J97" s="209">
        <f ca="1"/>
        <v>0.25</v>
      </c>
      <c r="K97" s="208" t="str">
        <f ca="1"/>
        <v>COMERCIAL</v>
      </c>
    </row>
    <row r="98" spans="1:11">
      <c r="A98" s="206">
        <f ca="1"/>
        <v>46198</v>
      </c>
      <c r="B98" s="207">
        <f ca="1"/>
        <v>77</v>
      </c>
      <c r="C98" s="208" t="str">
        <f ca="1"/>
        <v>🔴 PARADO - CRÍTICO</v>
      </c>
      <c r="D98" s="208" t="str">
        <f ca="1"/>
        <v>P-10047.26</v>
      </c>
      <c r="E98" s="210" t="str">
        <f ca="1"/>
        <v>WEG</v>
      </c>
      <c r="F98" s="208" t="str">
        <f ca="1"/>
        <v>EM ABERTO</v>
      </c>
      <c r="G98" s="210" t="str">
        <f ca="1"/>
        <v>Olindina/BA</v>
      </c>
      <c r="H98" s="210" t="str">
        <f ca="1"/>
        <v>Correção de Vazamentos de um Reator e Inspeção interna - AXIA-CHESF</v>
      </c>
      <c r="I98" s="247">
        <f ca="1"/>
        <v>339050</v>
      </c>
      <c r="J98" s="209">
        <f ca="1"/>
        <v>0.3</v>
      </c>
      <c r="K98" s="208" t="str">
        <f ca="1"/>
        <v>COMERCIAL</v>
      </c>
    </row>
    <row r="99" spans="1:11">
      <c r="A99" s="206">
        <f ca="1"/>
        <v>46198</v>
      </c>
      <c r="B99" s="207">
        <f ca="1"/>
        <v>77</v>
      </c>
      <c r="C99" s="208" t="str">
        <f ca="1"/>
        <v>🔴 PARADO - CRÍTICO</v>
      </c>
      <c r="D99" s="208" t="str">
        <f ca="1"/>
        <v>P-10052.26</v>
      </c>
      <c r="E99" s="210" t="str">
        <f ca="1"/>
        <v>WEG</v>
      </c>
      <c r="F99" s="208" t="str">
        <f ca="1"/>
        <v>EM ABERTO</v>
      </c>
      <c r="G99" s="210" t="str">
        <f ca="1"/>
        <v>Rio de Janeiro/RJ</v>
      </c>
      <c r="H99" s="210" t="str">
        <f ca="1"/>
        <v>Comissionamento em 01 transformador de 4000KVA - MODEC</v>
      </c>
      <c r="I99" s="247">
        <f ca="1"/>
        <v>31500</v>
      </c>
      <c r="J99" s="209">
        <f ca="1"/>
        <v>0.3</v>
      </c>
      <c r="K99" s="208" t="str">
        <f ca="1"/>
        <v>COMERCIAL</v>
      </c>
    </row>
    <row r="100" spans="1:11">
      <c r="A100" s="206">
        <f ca="1"/>
        <v>46202</v>
      </c>
      <c r="B100" s="207">
        <f ca="1"/>
        <v>73</v>
      </c>
      <c r="C100" s="208" t="str">
        <f ca="1"/>
        <v>🔴 PARADO - CRÍTICO</v>
      </c>
      <c r="D100" s="208" t="str">
        <f ca="1"/>
        <v>P-10056.26</v>
      </c>
      <c r="E100" s="210" t="str">
        <f ca="1"/>
        <v>WEG</v>
      </c>
      <c r="F100" s="208" t="str">
        <f ca="1"/>
        <v>EM ABERTO</v>
      </c>
      <c r="G100" s="210" t="str">
        <f ca="1"/>
        <v>Dias D'avila/BA</v>
      </c>
      <c r="H100" s="210" t="str">
        <f ca="1"/>
        <v>Montagem Completa de 03 Reatores de 550KV - AXIA</v>
      </c>
      <c r="I100" s="247">
        <f ca="1"/>
        <v>569700</v>
      </c>
      <c r="J100" s="209">
        <f ca="1"/>
        <v>0.24</v>
      </c>
      <c r="K100" s="208" t="str">
        <f ca="1"/>
        <v>COMERCIAL</v>
      </c>
    </row>
    <row r="101" spans="1:11">
      <c r="A101" s="206">
        <f ca="1"/>
        <v>46202</v>
      </c>
      <c r="B101" s="207">
        <f ca="1"/>
        <v>73</v>
      </c>
      <c r="C101" s="208" t="str">
        <f ca="1"/>
        <v>🔴 PARADO - CRÍTICO</v>
      </c>
      <c r="D101" s="208" t="str">
        <f ca="1"/>
        <v>P-10057.26</v>
      </c>
      <c r="E101" s="210" t="str">
        <f ca="1"/>
        <v>WEG</v>
      </c>
      <c r="F101" s="208" t="str">
        <f ca="1"/>
        <v>EM ABERTO</v>
      </c>
      <c r="G101" s="210" t="str">
        <f ca="1"/>
        <v>Jacobina/BA</v>
      </c>
      <c r="H101" s="210" t="str">
        <f ca="1"/>
        <v xml:space="preserve">Montagem Completa de 01 Transformador de 500KV - EDF </v>
      </c>
      <c r="I101" s="247">
        <f ca="1"/>
        <v>343400</v>
      </c>
      <c r="J101" s="209">
        <f ca="1"/>
        <v>0.23</v>
      </c>
      <c r="K101" s="208" t="str">
        <f ca="1"/>
        <v>COMERCIAL</v>
      </c>
    </row>
    <row r="102" spans="1:11">
      <c r="A102" s="206">
        <f ca="1"/>
        <v>46202</v>
      </c>
      <c r="B102" s="207">
        <f ca="1"/>
        <v>73</v>
      </c>
      <c r="C102" s="208" t="str">
        <f ca="1"/>
        <v>🔴 PARADO - CRÍTICO</v>
      </c>
      <c r="D102" s="208" t="str">
        <f ca="1"/>
        <v>P-10058.26</v>
      </c>
      <c r="E102" s="210" t="str">
        <f ca="1"/>
        <v>WEG</v>
      </c>
      <c r="F102" s="208" t="str">
        <f ca="1"/>
        <v>EM ABERTO</v>
      </c>
      <c r="G102" s="210" t="str">
        <f ca="1"/>
        <v>Montes Claros/MG</v>
      </c>
      <c r="H102" s="210" t="str">
        <f ca="1"/>
        <v>Montagem Completa de 03 Autotransformadores de 345KV - CEMIG</v>
      </c>
      <c r="I102" s="247">
        <f ca="1"/>
        <v>509700</v>
      </c>
      <c r="J102" s="209">
        <f ca="1"/>
        <v>0.2359</v>
      </c>
      <c r="K102" s="208" t="str">
        <f ca="1"/>
        <v>COMERCIAL</v>
      </c>
    </row>
    <row r="103" spans="1:11">
      <c r="A103" s="206">
        <f ca="1"/>
        <v>46202</v>
      </c>
      <c r="B103" s="207">
        <f ca="1"/>
        <v>73</v>
      </c>
      <c r="C103" s="208" t="str">
        <f ca="1"/>
        <v>🔴 PARADO - CRÍTICO</v>
      </c>
      <c r="D103" s="208" t="str">
        <f ca="1"/>
        <v>P-10059.26</v>
      </c>
      <c r="E103" s="210" t="str">
        <f ca="1"/>
        <v>WEG</v>
      </c>
      <c r="F103" s="208" t="str">
        <f ca="1"/>
        <v>EM ABERTO</v>
      </c>
      <c r="G103" s="210" t="str">
        <f ca="1"/>
        <v>Entre Rios do Sul/RS</v>
      </c>
      <c r="H103" s="210" t="str">
        <f ca="1"/>
        <v>Montagem Completa de 04 Autotransformadores de 230KV - AXIA</v>
      </c>
      <c r="I103" s="247">
        <f ca="1"/>
        <v>741200</v>
      </c>
      <c r="J103" s="209">
        <f ca="1"/>
        <v>0.24</v>
      </c>
      <c r="K103" s="208" t="str">
        <f ca="1"/>
        <v>COMERCIAL</v>
      </c>
    </row>
    <row r="104" spans="1:11">
      <c r="A104" s="206">
        <f ca="1"/>
        <v>46203</v>
      </c>
      <c r="B104" s="207">
        <f ca="1"/>
        <v>72</v>
      </c>
      <c r="C104" s="208" t="str">
        <f ca="1"/>
        <v>🔴 PARADO - CRÍTICO</v>
      </c>
      <c r="D104" s="208" t="str">
        <f ca="1"/>
        <v>P-10063.26</v>
      </c>
      <c r="E104" s="210" t="str">
        <f ca="1"/>
        <v>TSEA</v>
      </c>
      <c r="F104" s="208" t="str">
        <f ca="1"/>
        <v>NEGOCIAÇÃO</v>
      </c>
      <c r="G104" s="210" t="str">
        <f ca="1"/>
        <v>Minas Gerais/MG</v>
      </c>
      <c r="H104" s="210" t="str">
        <f ca="1"/>
        <v>Pacote de Montagem Completa para montagem de transformadores de 138KV - CEMIG</v>
      </c>
      <c r="I104" s="247">
        <f ca="1"/>
        <v>2144415</v>
      </c>
      <c r="J104" s="209">
        <f ca="1"/>
        <v>0.22</v>
      </c>
      <c r="K104" s="208" t="str">
        <f ca="1"/>
        <v>COMERCIAL</v>
      </c>
    </row>
    <row r="105" spans="1:11">
      <c r="A105" s="206">
        <f ca="1"/>
        <v>46203</v>
      </c>
      <c r="B105" s="207">
        <f ca="1"/>
        <v>72</v>
      </c>
      <c r="C105" s="208" t="str">
        <f ca="1"/>
        <v>🔴 PARADO - CRÍTICO</v>
      </c>
      <c r="D105" s="208" t="str">
        <f ca="1"/>
        <v>P-10066.26</v>
      </c>
      <c r="E105" s="210" t="str">
        <f ca="1"/>
        <v>Amsted Maxion</v>
      </c>
      <c r="F105" s="208" t="str">
        <f ca="1"/>
        <v>EM ABERTO</v>
      </c>
      <c r="G105" s="210" t="str">
        <f ca="1"/>
        <v>Cruzeiro/SP</v>
      </c>
      <c r="H105" s="210" t="str">
        <f ca="1"/>
        <v>Manutenção Preventiva em transformadores de 13,8KV - AMSTED MAXION</v>
      </c>
      <c r="I105" s="247">
        <f ca="1"/>
        <v>97250</v>
      </c>
      <c r="J105" s="209">
        <f ca="1"/>
        <v>0.3</v>
      </c>
      <c r="K105" s="208" t="str">
        <f ca="1"/>
        <v>COMERCIAL</v>
      </c>
    </row>
    <row r="106" spans="1:11">
      <c r="A106" s="206">
        <f ca="1"/>
        <v>46203</v>
      </c>
      <c r="B106" s="207">
        <f ca="1"/>
        <v>72</v>
      </c>
      <c r="C106" s="208" t="str">
        <f ca="1"/>
        <v>🔴 PARADO - CRÍTICO</v>
      </c>
      <c r="D106" s="208" t="str">
        <f ca="1"/>
        <v>P-10072.26</v>
      </c>
      <c r="E106" s="210" t="str">
        <f ca="1"/>
        <v>CHINT</v>
      </c>
      <c r="F106" s="208" t="str">
        <f ca="1"/>
        <v>EM ABERTO</v>
      </c>
      <c r="G106" s="210" t="str">
        <f ca="1"/>
        <v>Timóteo/MG</v>
      </c>
      <c r="H106" s="210" t="str">
        <f ca="1"/>
        <v>Montagem Completa de 01 transformador de 230KV - APERAM</v>
      </c>
      <c r="I106" s="247">
        <f ca="1"/>
        <v>345970</v>
      </c>
      <c r="J106" s="209">
        <f ca="1"/>
        <v>0.26</v>
      </c>
      <c r="K106" s="208" t="str">
        <f ca="1"/>
        <v>COMERCIAL</v>
      </c>
    </row>
    <row r="107" spans="1:11">
      <c r="A107" s="206">
        <f ca="1"/>
        <v>46205</v>
      </c>
      <c r="B107" s="207">
        <f ca="1"/>
        <v>70</v>
      </c>
      <c r="C107" s="208" t="str">
        <f ca="1"/>
        <v>🔴 PARADO - CRÍTICO</v>
      </c>
      <c r="D107" s="208" t="str">
        <f ca="1"/>
        <v>P-10085.26</v>
      </c>
      <c r="E107" s="210" t="str">
        <f ca="1"/>
        <v>WEG</v>
      </c>
      <c r="F107" s="208" t="str">
        <f ca="1"/>
        <v>EM ABERTO</v>
      </c>
      <c r="G107" s="210" t="str">
        <f ca="1"/>
        <v>Santa Luzia/PB</v>
      </c>
      <c r="H107" s="210" t="str">
        <f ca="1"/>
        <v>Montagem Completa de 01 Reator de 500KV - NEOENERGIA</v>
      </c>
      <c r="I107" s="247">
        <f ca="1"/>
        <v>224280</v>
      </c>
      <c r="J107" s="209">
        <f ca="1"/>
        <v>0.2</v>
      </c>
      <c r="K107" s="208" t="str">
        <f ca="1"/>
        <v>COMERCIAL</v>
      </c>
    </row>
    <row r="108" spans="1:11">
      <c r="A108" s="206">
        <f ca="1"/>
        <v>46206</v>
      </c>
      <c r="B108" s="207">
        <f ca="1"/>
        <v>69</v>
      </c>
      <c r="C108" s="208" t="str">
        <f ca="1"/>
        <v>🔴 PARADO - CRÍTICO</v>
      </c>
      <c r="D108" s="208" t="str">
        <f ca="1"/>
        <v>P-10090.26</v>
      </c>
      <c r="E108" s="210" t="str">
        <f ca="1"/>
        <v>MR DO BRASIL</v>
      </c>
      <c r="F108" s="208" t="str">
        <f ca="1"/>
        <v>EM ABERTO</v>
      </c>
      <c r="G108" s="210" t="str">
        <f ca="1"/>
        <v>Barro Alto/GO</v>
      </c>
      <c r="H108" s="210" t="str">
        <f ca="1"/>
        <v>Locação de Tanque Auxiliar de 30.000L - ANGLO AMERICA</v>
      </c>
      <c r="I108" s="247">
        <f ca="1"/>
        <v>8900</v>
      </c>
      <c r="J108" s="209">
        <f ca="1"/>
        <v>0.2</v>
      </c>
      <c r="K108" s="208" t="str">
        <f ca="1"/>
        <v>COMERCIAL</v>
      </c>
    </row>
    <row r="109" spans="1:11">
      <c r="A109" s="206">
        <f ca="1"/>
        <v>46206</v>
      </c>
      <c r="B109" s="207">
        <f ca="1"/>
        <v>69</v>
      </c>
      <c r="C109" s="208" t="str">
        <f ca="1"/>
        <v>🔴 PARADO - CRÍTICO</v>
      </c>
      <c r="D109" s="208" t="str">
        <f ca="1"/>
        <v>P-10091.26</v>
      </c>
      <c r="E109" s="210" t="str">
        <f ca="1"/>
        <v>MR DO BRASIL</v>
      </c>
      <c r="F109" s="208" t="str">
        <f ca="1"/>
        <v>EM ABERTO</v>
      </c>
      <c r="G109" s="210" t="str">
        <f ca="1"/>
        <v>Orilândia do Norte/PA</v>
      </c>
      <c r="H109" s="210" t="str">
        <f ca="1"/>
        <v>Locação de Tanque Auxiliar de 30.000L - VALE</v>
      </c>
      <c r="I109" s="247">
        <f ca="1"/>
        <v>890</v>
      </c>
      <c r="J109" s="209">
        <f ca="1"/>
        <v>0.2</v>
      </c>
      <c r="K109" s="208" t="str">
        <f ca="1"/>
        <v>COMERCIAL</v>
      </c>
    </row>
    <row r="110" spans="1:11">
      <c r="A110" s="206">
        <f ca="1"/>
        <v>46209</v>
      </c>
      <c r="B110" s="207">
        <f ca="1"/>
        <v>66</v>
      </c>
      <c r="C110" s="208" t="str">
        <f ca="1"/>
        <v>🔴 PARADO - CRÍTICO</v>
      </c>
      <c r="D110" s="208" t="str">
        <f ca="1"/>
        <v>P-10095.26</v>
      </c>
      <c r="E110" s="210" t="str">
        <f ca="1"/>
        <v>WEG</v>
      </c>
      <c r="F110" s="208" t="str">
        <f ca="1"/>
        <v>EM ABERTO</v>
      </c>
      <c r="G110" s="210" t="str">
        <f ca="1"/>
        <v>Santo Andre/SP</v>
      </c>
      <c r="H110" s="210" t="str">
        <f ca="1"/>
        <v>Manutenção Corretiva em um Transformador de 230KV - UNIPAR</v>
      </c>
      <c r="I110" s="247">
        <f ca="1"/>
        <v>179900</v>
      </c>
      <c r="J110" s="209">
        <f ca="1"/>
        <v>0.3</v>
      </c>
      <c r="K110" s="208" t="str">
        <f ca="1"/>
        <v>COMERCIAL</v>
      </c>
    </row>
    <row r="111" spans="1:11">
      <c r="A111" s="206">
        <f ca="1"/>
        <v>46209</v>
      </c>
      <c r="B111" s="207">
        <f ca="1"/>
        <v>66</v>
      </c>
      <c r="C111" s="208" t="str">
        <f ca="1"/>
        <v>🔴 PARADO - CRÍTICO</v>
      </c>
      <c r="D111" s="208" t="str">
        <f ca="1"/>
        <v>P-10096.26</v>
      </c>
      <c r="E111" s="210" t="str">
        <f ca="1"/>
        <v>Engie</v>
      </c>
      <c r="F111" s="208" t="str">
        <f ca="1"/>
        <v>EM ABERTO</v>
      </c>
      <c r="G111" s="210" t="str">
        <f ca="1"/>
        <v>Entre Rios do Sul/RS</v>
      </c>
      <c r="H111" s="210" t="str">
        <f ca="1"/>
        <v>Manutenção Corretiva em um Transformador de 230KV - UHE PASSO FUNDO</v>
      </c>
      <c r="I111" s="247">
        <f ca="1"/>
        <v>0</v>
      </c>
      <c r="J111" s="209">
        <f ca="1"/>
        <v>0</v>
      </c>
      <c r="K111" s="208" t="str">
        <f ca="1"/>
        <v>COMERCIAL</v>
      </c>
    </row>
    <row r="112" spans="1:11">
      <c r="A112" s="206">
        <f ca="1"/>
        <v>46209</v>
      </c>
      <c r="B112" s="207">
        <f ca="1"/>
        <v>66</v>
      </c>
      <c r="C112" s="208" t="str">
        <f ca="1"/>
        <v>🔴 PARADO - CRÍTICO</v>
      </c>
      <c r="D112" s="208" t="str">
        <f ca="1"/>
        <v>P-10097.26</v>
      </c>
      <c r="E112" s="210" t="str">
        <f ca="1"/>
        <v>CHINT</v>
      </c>
      <c r="F112" s="208" t="str">
        <f ca="1"/>
        <v>EM ABERTO</v>
      </c>
      <c r="G112" s="210" t="str">
        <f ca="1"/>
        <v>Rio Grande/RS</v>
      </c>
      <c r="H112" s="210" t="str">
        <f ca="1"/>
        <v>Montagem Completa de 03 Autotransformadores de 230KV - TAESA</v>
      </c>
      <c r="I112" s="247">
        <f ca="1"/>
        <v>674252</v>
      </c>
      <c r="J112" s="209">
        <f ca="1"/>
        <v>0.3</v>
      </c>
      <c r="K112" s="208" t="str">
        <f ca="1"/>
        <v>COMERCIAL</v>
      </c>
    </row>
    <row r="113" spans="1:11">
      <c r="A113" s="206">
        <f ca="1"/>
        <v>46209</v>
      </c>
      <c r="B113" s="207">
        <f ca="1"/>
        <v>66</v>
      </c>
      <c r="C113" s="208" t="str">
        <f ca="1"/>
        <v>🔴 PARADO - CRÍTICO</v>
      </c>
      <c r="D113" s="208" t="str">
        <f ca="1"/>
        <v>P-10098.26</v>
      </c>
      <c r="E113" s="210" t="str">
        <f ca="1"/>
        <v>CHINT</v>
      </c>
      <c r="F113" s="208" t="str">
        <f ca="1"/>
        <v>EM ABERTO</v>
      </c>
      <c r="G113" s="210" t="str">
        <f ca="1"/>
        <v>Gilbués/PI</v>
      </c>
      <c r="H113" s="210" t="str">
        <f ca="1"/>
        <v>Montagem Completa de 01 Reator de 500KV - ARGO</v>
      </c>
      <c r="I113" s="247">
        <f ca="1"/>
        <v>396000</v>
      </c>
      <c r="J113" s="209">
        <f ca="1"/>
        <v>0.3</v>
      </c>
      <c r="K113" s="208" t="str">
        <f ca="1"/>
        <v>COMERCIAL</v>
      </c>
    </row>
    <row r="114" spans="1:11">
      <c r="A114" s="206">
        <f ca="1"/>
        <v>46210</v>
      </c>
      <c r="B114" s="207">
        <f ca="1"/>
        <v>65</v>
      </c>
      <c r="C114" s="208" t="str">
        <f ca="1"/>
        <v>🔴 PARADO - CRÍTICO</v>
      </c>
      <c r="D114" s="208" t="str">
        <f ca="1"/>
        <v>P-10102.26</v>
      </c>
      <c r="E114" s="210" t="str">
        <f ca="1"/>
        <v>WEG</v>
      </c>
      <c r="F114" s="208" t="str">
        <f ca="1"/>
        <v>EM ABERTO</v>
      </c>
      <c r="G114" s="210" t="str">
        <f ca="1"/>
        <v>Rio Grande/RS</v>
      </c>
      <c r="H114" s="210" t="str">
        <f ca="1"/>
        <v>Montagem Completa de 01 transformador de 230KV - CPFL</v>
      </c>
      <c r="I114" s="247">
        <f ca="1"/>
        <v>243200</v>
      </c>
      <c r="J114" s="209">
        <f ca="1"/>
        <v>0.25</v>
      </c>
      <c r="K114" s="208" t="str">
        <f ca="1"/>
        <v>COMERCIAL</v>
      </c>
    </row>
    <row r="115" spans="1:11">
      <c r="A115" s="206">
        <f ca="1"/>
        <v>46210</v>
      </c>
      <c r="B115" s="207">
        <f ca="1"/>
        <v>65</v>
      </c>
      <c r="C115" s="208" t="str">
        <f ca="1"/>
        <v>🔴 PARADO - CRÍTICO</v>
      </c>
      <c r="D115" s="208" t="str">
        <f ca="1"/>
        <v>P-10118.26</v>
      </c>
      <c r="E115" s="210" t="str">
        <f ca="1"/>
        <v>Suzano Papel &amp; Celulose</v>
      </c>
      <c r="F115" s="208" t="str">
        <f ca="1"/>
        <v>EM ABERTO</v>
      </c>
      <c r="G115" s="210" t="str">
        <f ca="1"/>
        <v>Mucuri/BA</v>
      </c>
      <c r="H115" s="210" t="str">
        <f ca="1"/>
        <v>Manutenção Corretiva e Preventiva em transformadores - SUZANO PAPEL &amp; CELULOSE</v>
      </c>
      <c r="I115" s="247">
        <f ca="1"/>
        <v>1580812</v>
      </c>
      <c r="J115" s="209">
        <f ca="1"/>
        <v>0.23</v>
      </c>
      <c r="K115" s="208" t="str">
        <f ca="1"/>
        <v>COMERCIAL</v>
      </c>
    </row>
    <row r="116" spans="1:11">
      <c r="A116" s="206">
        <f ca="1"/>
        <v>46211</v>
      </c>
      <c r="B116" s="207">
        <f ca="1"/>
        <v>64</v>
      </c>
      <c r="C116" s="208" t="str">
        <f ca="1"/>
        <v>🔴 PARADO - CRÍTICO</v>
      </c>
      <c r="D116" s="208" t="str">
        <f ca="1"/>
        <v>P-10120.26</v>
      </c>
      <c r="E116" s="210" t="str">
        <f ca="1"/>
        <v>Tesla Manutenção</v>
      </c>
      <c r="F116" s="208" t="str">
        <f ca="1"/>
        <v>EM ABERTO</v>
      </c>
      <c r="G116" s="210" t="str">
        <f ca="1"/>
        <v>Betim/MG</v>
      </c>
      <c r="H116" s="210" t="str">
        <f ca="1"/>
        <v>Fornecimento de 524 válvulas de 3"150x150 - TESLA</v>
      </c>
      <c r="I116" s="247">
        <f ca="1"/>
        <v>14784</v>
      </c>
      <c r="J116" s="209">
        <f ca="1"/>
        <v>0.25</v>
      </c>
      <c r="K116" s="208" t="str">
        <f ca="1"/>
        <v>COMERCIAL</v>
      </c>
    </row>
    <row r="117" spans="1:11">
      <c r="A117" s="206">
        <f ca="1"/>
        <v>46217</v>
      </c>
      <c r="B117" s="207">
        <f ca="1"/>
        <v>58</v>
      </c>
      <c r="C117" s="208" t="str">
        <f ca="1"/>
        <v>🟠 ATENÇÃO</v>
      </c>
      <c r="D117" s="208" t="str">
        <f ca="1"/>
        <v>P-10144.26</v>
      </c>
      <c r="E117" s="210" t="str">
        <f ca="1"/>
        <v>WEG</v>
      </c>
      <c r="F117" s="208" t="str">
        <f ca="1"/>
        <v>EM ABERTO</v>
      </c>
      <c r="G117" s="210" t="str">
        <f ca="1"/>
        <v>Campanha/MG</v>
      </c>
      <c r="H117" s="210" t="str">
        <f ca="1"/>
        <v>Drenagem de óleo completa em um transformador de 138KV - CEMIG</v>
      </c>
      <c r="I117" s="247">
        <f ca="1"/>
        <v>26900</v>
      </c>
      <c r="J117" s="209">
        <f ca="1"/>
        <v>0.25</v>
      </c>
      <c r="K117" s="208" t="str">
        <f ca="1"/>
        <v>COMERCIAL</v>
      </c>
    </row>
    <row r="118" spans="1:11">
      <c r="A118" s="206">
        <f ca="1"/>
        <v>46217</v>
      </c>
      <c r="B118" s="207">
        <f ca="1"/>
        <v>58</v>
      </c>
      <c r="C118" s="208" t="str">
        <f ca="1"/>
        <v>🟠 ATENÇÃO</v>
      </c>
      <c r="D118" s="208" t="str">
        <f ca="1"/>
        <v>P-10148.26</v>
      </c>
      <c r="E118" s="210" t="str">
        <f ca="1"/>
        <v>AXIA</v>
      </c>
      <c r="F118" s="208" t="str">
        <f ca="1"/>
        <v>EM ABERTO</v>
      </c>
      <c r="G118" s="210" t="str">
        <f ca="1"/>
        <v>Chapecó/SC</v>
      </c>
      <c r="H118" s="210" t="str">
        <f ca="1"/>
        <v>Ensaio de Resposta em Frequência - CELESC</v>
      </c>
      <c r="I118" s="247">
        <f ca="1"/>
        <v>59400</v>
      </c>
      <c r="J118" s="209">
        <f ca="1"/>
        <v>0.25</v>
      </c>
      <c r="K118" s="208" t="str">
        <f ca="1"/>
        <v>COMERCIAL</v>
      </c>
    </row>
    <row r="119" spans="1:11">
      <c r="A119" s="206">
        <f ca="1"/>
        <v>46218</v>
      </c>
      <c r="B119" s="207">
        <f ca="1"/>
        <v>57</v>
      </c>
      <c r="C119" s="208" t="str">
        <f ca="1"/>
        <v>🟠 ATENÇÃO</v>
      </c>
      <c r="D119" s="208" t="str">
        <f ca="1"/>
        <v>P-10155.26</v>
      </c>
      <c r="E119" s="210" t="str">
        <f ca="1"/>
        <v>WEG</v>
      </c>
      <c r="F119" s="208" t="str">
        <f ca="1"/>
        <v>EM ABERTO</v>
      </c>
      <c r="G119" s="210" t="str">
        <f ca="1"/>
        <v>Campinas/SP</v>
      </c>
      <c r="H119" s="210" t="str">
        <f ca="1"/>
        <v xml:space="preserve">Montagem Completa de 03 Autotransformadores de 500kv - AXIA </v>
      </c>
      <c r="I119" s="247">
        <f ca="1"/>
        <v>594600</v>
      </c>
      <c r="J119" s="209">
        <f ca="1"/>
        <v>0.22</v>
      </c>
      <c r="K119" s="208" t="str">
        <f ca="1"/>
        <v>COMERCIAL</v>
      </c>
    </row>
    <row r="120" spans="1:11">
      <c r="A120" s="206">
        <f ca="1"/>
        <v>46218</v>
      </c>
      <c r="B120" s="207">
        <f ca="1"/>
        <v>57</v>
      </c>
      <c r="C120" s="208" t="str">
        <f ca="1"/>
        <v>🟠 ATENÇÃO</v>
      </c>
      <c r="D120" s="208" t="str">
        <f ca="1"/>
        <v>P-10158.26</v>
      </c>
      <c r="E120" s="210" t="str">
        <f ca="1"/>
        <v>ENGIE</v>
      </c>
      <c r="F120" s="208" t="str">
        <f ca="1"/>
        <v>EM ABERTO</v>
      </c>
      <c r="G120" s="210" t="str">
        <f ca="1"/>
        <v>São Jorge de Oeste/PR</v>
      </c>
      <c r="H120" s="210" t="str">
        <f ca="1"/>
        <v>Manutenção Corretiva em 01 Transformador de 230KV - UHSO</v>
      </c>
      <c r="I120" s="247">
        <f ca="1"/>
        <v>0</v>
      </c>
      <c r="J120" s="209">
        <f ca="1"/>
        <v>0</v>
      </c>
      <c r="K120" s="208" t="str">
        <f ca="1"/>
        <v>COMERCIAL</v>
      </c>
    </row>
    <row r="121" spans="1:11">
      <c r="A121" s="206">
        <f ca="1"/>
        <v>46219</v>
      </c>
      <c r="B121" s="207">
        <f ca="1"/>
        <v>56</v>
      </c>
      <c r="C121" s="208" t="str">
        <f ca="1"/>
        <v>🟠 ATENÇÃO</v>
      </c>
      <c r="D121" s="208" t="str">
        <f ca="1"/>
        <v>P-10162.26</v>
      </c>
      <c r="E121" s="210" t="str">
        <f ca="1"/>
        <v>WEG</v>
      </c>
      <c r="F121" s="208" t="str">
        <f ca="1"/>
        <v>EM ABERTO</v>
      </c>
      <c r="G121" s="210" t="str">
        <f ca="1"/>
        <v>Londrina/PR</v>
      </c>
      <c r="H121" s="210" t="str">
        <f ca="1"/>
        <v>Montagem Completa de 01 Reator Monofásico de 525KV - AXIA</v>
      </c>
      <c r="I121" s="247">
        <f ca="1"/>
        <v>192240</v>
      </c>
      <c r="J121" s="209">
        <f ca="1"/>
        <v>0.25</v>
      </c>
      <c r="K121" s="208" t="str">
        <f ca="1"/>
        <v>COMERCIAL</v>
      </c>
    </row>
    <row r="122" spans="1:11">
      <c r="A122" s="206">
        <f ca="1"/>
        <v>46219</v>
      </c>
      <c r="B122" s="207">
        <f ca="1"/>
        <v>56</v>
      </c>
      <c r="C122" s="208" t="str">
        <f ca="1"/>
        <v>🟠 ATENÇÃO</v>
      </c>
      <c r="D122" s="208" t="str">
        <f ca="1"/>
        <v>P-10163.26</v>
      </c>
      <c r="E122" s="210" t="str">
        <f ca="1"/>
        <v>WEG</v>
      </c>
      <c r="F122" s="208" t="str">
        <f ca="1"/>
        <v>EM ABERTO</v>
      </c>
      <c r="G122" s="210" t="str">
        <f ca="1"/>
        <v>Uberlandia/MG</v>
      </c>
      <c r="H122" s="210" t="str">
        <f ca="1"/>
        <v>Montagem Completa de 01 transformador de 138KV - CEMIG</v>
      </c>
      <c r="I122" s="247">
        <f ca="1"/>
        <v>169700</v>
      </c>
      <c r="J122" s="209">
        <f ca="1"/>
        <v>0.27</v>
      </c>
      <c r="K122" s="208" t="str">
        <f ca="1"/>
        <v>COMERCIAL</v>
      </c>
    </row>
    <row r="123" spans="1:11">
      <c r="A123" s="206">
        <f ca="1"/>
        <v>46219</v>
      </c>
      <c r="B123" s="207">
        <f ca="1"/>
        <v>56</v>
      </c>
      <c r="C123" s="208" t="str">
        <f ca="1"/>
        <v>🟠 ATENÇÃO</v>
      </c>
      <c r="D123" s="208" t="str">
        <f ca="1"/>
        <v>P-10164.26</v>
      </c>
      <c r="E123" s="210" t="str">
        <f ca="1"/>
        <v>Energoato</v>
      </c>
      <c r="F123" s="208" t="str">
        <f ca="1"/>
        <v>EM ABERTO</v>
      </c>
      <c r="G123" s="210" t="str">
        <f ca="1"/>
        <v>Goiania/GO</v>
      </c>
      <c r="H123" s="210" t="str">
        <f ca="1"/>
        <v>Ensaio de Resposta em Frequencia - Energoato</v>
      </c>
      <c r="I123" s="247">
        <f ca="1"/>
        <v>43695</v>
      </c>
      <c r="J123" s="209">
        <f ca="1"/>
        <v>0.3</v>
      </c>
      <c r="K123" s="208" t="str">
        <f ca="1"/>
        <v>COMERCIAL</v>
      </c>
    </row>
    <row r="124" spans="1:11">
      <c r="A124" s="206">
        <f ca="1"/>
        <v>46219</v>
      </c>
      <c r="B124" s="207">
        <f ca="1"/>
        <v>56</v>
      </c>
      <c r="C124" s="208" t="str">
        <f ca="1"/>
        <v>🟠 ATENÇÃO</v>
      </c>
      <c r="D124" s="208" t="str">
        <f ca="1"/>
        <v>P-10165.26</v>
      </c>
      <c r="E124" s="210" t="str">
        <f ca="1"/>
        <v>ENSA TRANSFORMADORES</v>
      </c>
      <c r="F124" s="208" t="str">
        <f ca="1"/>
        <v>EM ABERTO</v>
      </c>
      <c r="G124" s="210" t="str">
        <f ca="1"/>
        <v>São José do Rio Pardo/SP</v>
      </c>
      <c r="H124" s="210" t="str">
        <f ca="1"/>
        <v>Manutenção Corretiva de 01 Transformador de AT - ENSA TRANSFORMADORES</v>
      </c>
      <c r="I124" s="247">
        <f ca="1"/>
        <v>794275</v>
      </c>
      <c r="J124" s="209">
        <f ca="1"/>
        <v>0.3</v>
      </c>
      <c r="K124" s="208" t="str">
        <f ca="1"/>
        <v>COMERCIAL</v>
      </c>
    </row>
    <row r="125" spans="1:11">
      <c r="A125" s="206">
        <f ca="1"/>
        <v>46220</v>
      </c>
      <c r="B125" s="207">
        <f ca="1"/>
        <v>55</v>
      </c>
      <c r="C125" s="208" t="str">
        <f ca="1"/>
        <v>🟠 ATENÇÃO</v>
      </c>
      <c r="D125" s="208" t="str">
        <f ca="1"/>
        <v>P-10175.26</v>
      </c>
      <c r="E125" s="210" t="str">
        <f ca="1"/>
        <v>MetroRio</v>
      </c>
      <c r="F125" s="208" t="str">
        <f ca="1"/>
        <v>EM ABERTO</v>
      </c>
      <c r="G125" s="210" t="str">
        <f ca="1"/>
        <v>Botafogo/RJ</v>
      </c>
      <c r="H125" s="210" t="str">
        <f ca="1"/>
        <v>Manutenção Corretiva em 04 transformadores de 138KV - METRORIO</v>
      </c>
      <c r="I125" s="247">
        <f ca="1"/>
        <v>497440</v>
      </c>
      <c r="J125" s="209">
        <f ca="1"/>
        <v>0.25</v>
      </c>
      <c r="K125" s="208" t="str">
        <f ca="1"/>
        <v>COMERCIAL</v>
      </c>
    </row>
    <row r="126" spans="1:11">
      <c r="A126" s="206">
        <f ca="1"/>
        <v>46223</v>
      </c>
      <c r="B126" s="207">
        <f ca="1"/>
        <v>52</v>
      </c>
      <c r="C126" s="208" t="str">
        <f ca="1"/>
        <v>🟠 ATENÇÃO</v>
      </c>
      <c r="D126" s="208" t="str">
        <f ca="1"/>
        <v>P-10180.26</v>
      </c>
      <c r="E126" s="210" t="str">
        <f ca="1"/>
        <v>WEG</v>
      </c>
      <c r="F126" s="208" t="str">
        <f ca="1"/>
        <v>EM ABERTO</v>
      </c>
      <c r="G126" s="210" t="str">
        <f ca="1"/>
        <v>Campo Comprido/PR</v>
      </c>
      <c r="H126" s="210" t="str">
        <f ca="1"/>
        <v>Montagem Completa de 01 transformador de 230KV - COPEL</v>
      </c>
      <c r="I126" s="247">
        <f ca="1"/>
        <v>234280</v>
      </c>
      <c r="J126" s="209">
        <f ca="1"/>
        <v>0.25</v>
      </c>
      <c r="K126" s="208" t="str">
        <f ca="1"/>
        <v>COMERCIAL</v>
      </c>
    </row>
    <row r="127" spans="1:11">
      <c r="A127" s="206">
        <f ca="1"/>
        <v>46223</v>
      </c>
      <c r="B127" s="207">
        <f ca="1"/>
        <v>52</v>
      </c>
      <c r="C127" s="208" t="str">
        <f ca="1"/>
        <v>🟠 ATENÇÃO</v>
      </c>
      <c r="D127" s="208" t="str">
        <f ca="1"/>
        <v>P-10181.26</v>
      </c>
      <c r="E127" s="210" t="str">
        <f ca="1"/>
        <v>WEG</v>
      </c>
      <c r="F127" s="208" t="str">
        <f ca="1"/>
        <v>EM ABERTO</v>
      </c>
      <c r="G127" s="210" t="str">
        <f ca="1"/>
        <v>Campo Mourão/PR</v>
      </c>
      <c r="H127" s="210" t="str">
        <f ca="1"/>
        <v>Montagem Completa de 01 transformador de 230KV - COPEL</v>
      </c>
      <c r="I127" s="247">
        <f ca="1"/>
        <v>274310</v>
      </c>
      <c r="J127" s="209">
        <f ca="1"/>
        <v>0.25</v>
      </c>
      <c r="K127" s="208" t="str">
        <f ca="1"/>
        <v>COMERCIAL</v>
      </c>
    </row>
    <row r="128" spans="1:11">
      <c r="A128" s="206">
        <f ca="1"/>
        <v>46223</v>
      </c>
      <c r="B128" s="207">
        <f ca="1"/>
        <v>52</v>
      </c>
      <c r="C128" s="208" t="str">
        <f ca="1"/>
        <v>🟠 ATENÇÃO</v>
      </c>
      <c r="D128" s="208" t="str">
        <f ca="1"/>
        <v>P-10182.26</v>
      </c>
      <c r="E128" s="210" t="str">
        <f ca="1"/>
        <v>WEG</v>
      </c>
      <c r="F128" s="208" t="str">
        <f ca="1"/>
        <v>EM ABERTO</v>
      </c>
      <c r="G128" s="210" t="str">
        <f ca="1"/>
        <v>Ferros/MG</v>
      </c>
      <c r="H128" s="210" t="str">
        <f ca="1"/>
        <v>Montagem Completa de 01 transformador de 138KV - AMC CEMIG</v>
      </c>
      <c r="I128" s="247">
        <f ca="1"/>
        <v>179900</v>
      </c>
      <c r="J128" s="209">
        <f ca="1"/>
        <v>0.28000000000000003</v>
      </c>
      <c r="K128" s="208" t="str">
        <f ca="1"/>
        <v>COMERCIAL</v>
      </c>
    </row>
    <row r="129" spans="1:11">
      <c r="A129" s="206">
        <f ca="1"/>
        <v>46223</v>
      </c>
      <c r="B129" s="207">
        <f ca="1"/>
        <v>52</v>
      </c>
      <c r="C129" s="208" t="str">
        <f ca="1"/>
        <v>🟠 ATENÇÃO</v>
      </c>
      <c r="D129" s="208" t="str">
        <f ca="1"/>
        <v>P-10183.26</v>
      </c>
      <c r="E129" s="210" t="str">
        <f ca="1"/>
        <v>WEG</v>
      </c>
      <c r="F129" s="208" t="str">
        <f ca="1"/>
        <v>EM ABERTO</v>
      </c>
      <c r="G129" s="210" t="str">
        <f ca="1"/>
        <v>Caparaó/MG</v>
      </c>
      <c r="H129" s="210" t="str">
        <f ca="1"/>
        <v>Montagem Completa de 01 transformador de 138KV - AMC CEMIG</v>
      </c>
      <c r="I129" s="247">
        <f ca="1"/>
        <v>179900</v>
      </c>
      <c r="J129" s="209">
        <f ca="1"/>
        <v>0.28000000000000003</v>
      </c>
      <c r="K129" s="208" t="str">
        <f ca="1"/>
        <v>COMERCIAL</v>
      </c>
    </row>
    <row r="130" spans="1:11">
      <c r="A130" s="206">
        <f ca="1"/>
        <v>46223</v>
      </c>
      <c r="B130" s="207">
        <f ca="1"/>
        <v>52</v>
      </c>
      <c r="C130" s="208" t="str">
        <f ca="1"/>
        <v>🟠 ATENÇÃO</v>
      </c>
      <c r="D130" s="208" t="str">
        <f ca="1"/>
        <v>P-10184.26</v>
      </c>
      <c r="E130" s="210" t="str">
        <f ca="1"/>
        <v>WEG</v>
      </c>
      <c r="F130" s="208" t="str">
        <f ca="1"/>
        <v>EM ABERTO</v>
      </c>
      <c r="G130" s="210" t="str">
        <f ca="1"/>
        <v>Contagem/MG</v>
      </c>
      <c r="H130" s="210" t="str">
        <f ca="1"/>
        <v>Montagem Completa de 01 Reator de 525KV - CTEEP</v>
      </c>
      <c r="I130" s="247">
        <f ca="1"/>
        <v>269900</v>
      </c>
      <c r="J130" s="209">
        <f ca="1"/>
        <v>0.25</v>
      </c>
      <c r="K130" s="208" t="str">
        <f ca="1"/>
        <v>COMERCIAL</v>
      </c>
    </row>
    <row r="131" spans="1:11">
      <c r="A131" s="206">
        <f ca="1"/>
        <v>46223</v>
      </c>
      <c r="B131" s="207">
        <f ca="1"/>
        <v>52</v>
      </c>
      <c r="C131" s="208" t="str">
        <f ca="1"/>
        <v>🟠 ATENÇÃO</v>
      </c>
      <c r="D131" s="208" t="str">
        <f ca="1"/>
        <v>P-10186.26</v>
      </c>
      <c r="E131" s="210" t="str">
        <f ca="1"/>
        <v>TSEA</v>
      </c>
      <c r="F131" s="208" t="str">
        <f ca="1"/>
        <v>NEGOCIAÇÃO</v>
      </c>
      <c r="G131" s="210" t="str">
        <f ca="1"/>
        <v>Jacobina/BA</v>
      </c>
      <c r="H131" s="210" t="str">
        <f ca="1"/>
        <v>Montagem Completa de 01 Transformador de 138KV - JACOBINA MINERAÇÃO</v>
      </c>
      <c r="I131" s="247">
        <f ca="1"/>
        <v>181267</v>
      </c>
      <c r="J131" s="209">
        <f ca="1"/>
        <v>0.25</v>
      </c>
      <c r="K131" s="208" t="str">
        <f ca="1"/>
        <v>COMERCIAL</v>
      </c>
    </row>
    <row r="132" spans="1:11">
      <c r="A132" s="206">
        <f ca="1"/>
        <v>46223</v>
      </c>
      <c r="B132" s="207">
        <f ca="1"/>
        <v>52</v>
      </c>
      <c r="C132" s="208" t="str">
        <f ca="1"/>
        <v>🟠 ATENÇÃO</v>
      </c>
      <c r="D132" s="208" t="str">
        <f ca="1"/>
        <v>P-10187.26</v>
      </c>
      <c r="E132" s="210" t="str">
        <f ca="1"/>
        <v>PROMON ENGENHARIA</v>
      </c>
      <c r="F132" s="208" t="str">
        <f ca="1"/>
        <v>EM ABERTO</v>
      </c>
      <c r="G132" s="210" t="str">
        <f ca="1"/>
        <v>Camaçari/BA</v>
      </c>
      <c r="H132" s="210" t="str">
        <f ca="1"/>
        <v>Inspeção Completa em 04 transformadores de 230KV - UTE APOARA</v>
      </c>
      <c r="I132" s="247">
        <f ca="1"/>
        <v>563250</v>
      </c>
      <c r="J132" s="209">
        <f ca="1"/>
        <v>0.25</v>
      </c>
      <c r="K132" s="208" t="str">
        <f ca="1"/>
        <v>COMERCIAL</v>
      </c>
    </row>
    <row r="133" spans="1:11">
      <c r="A133" s="206">
        <f ca="1"/>
        <v>46223</v>
      </c>
      <c r="B133" s="207">
        <f ca="1"/>
        <v>52</v>
      </c>
      <c r="C133" s="208" t="str">
        <f ca="1"/>
        <v>🟠 ATENÇÃO</v>
      </c>
      <c r="D133" s="208" t="str">
        <f ca="1"/>
        <v>P-10191.26</v>
      </c>
      <c r="E133" s="210" t="str">
        <f ca="1"/>
        <v>TSEA</v>
      </c>
      <c r="F133" s="208" t="str">
        <f ca="1"/>
        <v>NEGOCIAÇÃO</v>
      </c>
      <c r="G133" s="210" t="str">
        <f ca="1"/>
        <v>São João da Barra/RJ</v>
      </c>
      <c r="H133" s="210" t="str">
        <f ca="1"/>
        <v xml:space="preserve">Montagem Completa de 04 transformadores de 525KV - CHINT </v>
      </c>
      <c r="I133" s="247">
        <f ca="1"/>
        <v>675700</v>
      </c>
      <c r="J133" s="209">
        <f ca="1"/>
        <v>0.25</v>
      </c>
      <c r="K133" s="208" t="str">
        <f ca="1"/>
        <v>COMERCIAL</v>
      </c>
    </row>
    <row r="134" spans="1:11">
      <c r="A134" s="206">
        <f ca="1"/>
        <v>46223</v>
      </c>
      <c r="B134" s="207">
        <f ca="1"/>
        <v>52</v>
      </c>
      <c r="C134" s="208" t="str">
        <f ca="1"/>
        <v>🟠 ATENÇÃO</v>
      </c>
      <c r="D134" s="208" t="str">
        <f ca="1"/>
        <v>P-10192.26</v>
      </c>
      <c r="E134" s="210" t="str">
        <f ca="1"/>
        <v>TSEA</v>
      </c>
      <c r="F134" s="208" t="str">
        <f ca="1"/>
        <v>NEGOCIAÇÃO</v>
      </c>
      <c r="G134" s="210" t="str">
        <f ca="1"/>
        <v>SP E RJ</v>
      </c>
      <c r="H134" s="210" t="str">
        <f ca="1"/>
        <v xml:space="preserve">Montagem Completa de 04 transformadores de 138KV - SCALA </v>
      </c>
      <c r="I134" s="247">
        <f ca="1"/>
        <v>469190</v>
      </c>
      <c r="J134" s="209">
        <f ca="1"/>
        <v>0.25</v>
      </c>
      <c r="K134" s="208" t="str">
        <f ca="1"/>
        <v>COMERCIAL</v>
      </c>
    </row>
    <row r="135" spans="1:11">
      <c r="A135" s="206">
        <f ca="1"/>
        <v>46223</v>
      </c>
      <c r="B135" s="207">
        <f ca="1"/>
        <v>52</v>
      </c>
      <c r="C135" s="208" t="str">
        <f ca="1"/>
        <v>🟠 ATENÇÃO</v>
      </c>
      <c r="D135" s="208" t="str">
        <f ca="1"/>
        <v>P-10194.26</v>
      </c>
      <c r="E135" s="210" t="str">
        <f ca="1"/>
        <v>PROMON ENGENHARIA</v>
      </c>
      <c r="F135" s="208" t="str">
        <f ca="1"/>
        <v>EM ABERTO</v>
      </c>
      <c r="G135" s="210" t="str">
        <f ca="1"/>
        <v>Camaçari/BA</v>
      </c>
      <c r="H135" s="210" t="str">
        <f ca="1"/>
        <v>Inspeção Completa em 04 transformadores de 230KV - UTE GUARANI</v>
      </c>
      <c r="I135" s="247">
        <f ca="1"/>
        <v>563250</v>
      </c>
      <c r="J135" s="209">
        <f ca="1"/>
        <v>0.25</v>
      </c>
      <c r="K135" s="208" t="str">
        <f ca="1"/>
        <v>COMERCIAL</v>
      </c>
    </row>
    <row r="136" spans="1:11">
      <c r="A136" s="206">
        <f ca="1"/>
        <v>46225</v>
      </c>
      <c r="B136" s="207">
        <f ca="1"/>
        <v>50</v>
      </c>
      <c r="C136" s="208" t="str">
        <f ca="1"/>
        <v>🟠 ATENÇÃO</v>
      </c>
      <c r="D136" s="208" t="str">
        <f ca="1"/>
        <v>P-10201.26</v>
      </c>
      <c r="E136" s="210" t="str">
        <f ca="1"/>
        <v>Tesla Manutenção</v>
      </c>
      <c r="F136" s="208" t="str">
        <f ca="1"/>
        <v>EM ABERTO</v>
      </c>
      <c r="G136" s="210" t="str">
        <f ca="1"/>
        <v>Montes Claros/MG</v>
      </c>
      <c r="H136" s="210" t="str">
        <f ca="1"/>
        <v>Ensaio SFRA em 01 transformador de 40/50MVA - EUROFARMA</v>
      </c>
      <c r="I136" s="247">
        <f ca="1"/>
        <v>25240</v>
      </c>
      <c r="J136" s="209">
        <f ca="1"/>
        <v>0.3</v>
      </c>
      <c r="K136" s="208" t="str">
        <f ca="1"/>
        <v>COMERCIAL</v>
      </c>
    </row>
    <row r="137" spans="1:11">
      <c r="A137" s="206">
        <f ca="1"/>
        <v>46225</v>
      </c>
      <c r="B137" s="207">
        <f ca="1"/>
        <v>50</v>
      </c>
      <c r="C137" s="208" t="str">
        <f ca="1"/>
        <v>🟠 ATENÇÃO</v>
      </c>
      <c r="D137" s="208" t="str">
        <f ca="1"/>
        <v>P-10202.26</v>
      </c>
      <c r="E137" s="210" t="str">
        <f ca="1"/>
        <v xml:space="preserve">Grantel Engenharia </v>
      </c>
      <c r="F137" s="208" t="str">
        <f ca="1"/>
        <v>EM ABERTO</v>
      </c>
      <c r="G137" s="210" t="str">
        <f ca="1"/>
        <v>Presidente Dutra/MA</v>
      </c>
      <c r="H137" s="210" t="str">
        <f ca="1"/>
        <v>Montagem e desmontagem de reatores de 500KV - AXIA</v>
      </c>
      <c r="I137" s="247">
        <f ca="1"/>
        <v>2133990</v>
      </c>
      <c r="J137" s="209">
        <f ca="1"/>
        <v>0.27</v>
      </c>
      <c r="K137" s="208" t="str">
        <f ca="1"/>
        <v>COMERCIAL</v>
      </c>
    </row>
    <row r="138" spans="1:11">
      <c r="A138" s="206">
        <f ca="1"/>
        <v>46226</v>
      </c>
      <c r="B138" s="207">
        <f ca="1"/>
        <v>49</v>
      </c>
      <c r="C138" s="208" t="str">
        <f ca="1"/>
        <v>🟠 ATENÇÃO</v>
      </c>
      <c r="D138" s="208" t="str">
        <f ca="1"/>
        <v>P-10216.26</v>
      </c>
      <c r="E138" s="210" t="str">
        <f ca="1"/>
        <v>Volkswagen</v>
      </c>
      <c r="F138" s="208" t="str">
        <f ca="1"/>
        <v>EM ABERTO</v>
      </c>
      <c r="G138" s="210" t="str">
        <f ca="1"/>
        <v>São Bernardo do Campo/SP</v>
      </c>
      <c r="H138" s="210" t="str">
        <f ca="1"/>
        <v>Manutenção Corretiva em Transformador de AT - VOLKSWAGEN</v>
      </c>
      <c r="I138" s="247">
        <f ca="1"/>
        <v>122120</v>
      </c>
      <c r="J138" s="209">
        <f ca="1"/>
        <v>0.3</v>
      </c>
      <c r="K138" s="208" t="str">
        <f ca="1"/>
        <v>COMERCIAL</v>
      </c>
    </row>
    <row r="139" spans="1:11">
      <c r="A139" s="206">
        <f ca="1"/>
        <v>46226</v>
      </c>
      <c r="B139" s="207">
        <f ca="1"/>
        <v>49</v>
      </c>
      <c r="C139" s="208" t="str">
        <f ca="1"/>
        <v>🟠 ATENÇÃO</v>
      </c>
      <c r="D139" s="208" t="str">
        <f ca="1"/>
        <v>P-10217.26</v>
      </c>
      <c r="E139" s="210" t="str">
        <f ca="1"/>
        <v xml:space="preserve">Grantel Engenharia </v>
      </c>
      <c r="F139" s="208" t="str">
        <f ca="1"/>
        <v>EM ABERTO</v>
      </c>
      <c r="G139" s="210" t="str">
        <f ca="1"/>
        <v>Campinas/SP</v>
      </c>
      <c r="H139" s="210" t="str">
        <f ca="1"/>
        <v>Desmontagem de Reatores de 500KV - AXIA</v>
      </c>
      <c r="I139" s="247">
        <f ca="1"/>
        <v>2098260</v>
      </c>
      <c r="J139" s="209">
        <f ca="1"/>
        <v>0.27</v>
      </c>
      <c r="K139" s="208" t="str">
        <f ca="1"/>
        <v>COMERCIAL</v>
      </c>
    </row>
    <row r="140" spans="1:11">
      <c r="A140" s="206">
        <f ca="1"/>
        <v>46227</v>
      </c>
      <c r="B140" s="207">
        <f ca="1"/>
        <v>48</v>
      </c>
      <c r="C140" s="208" t="str">
        <f ca="1"/>
        <v>🟠 ATENÇÃO</v>
      </c>
      <c r="D140" s="208" t="str">
        <f ca="1"/>
        <v>P-10220.26</v>
      </c>
      <c r="E140" s="210" t="str">
        <f ca="1"/>
        <v>WEG</v>
      </c>
      <c r="F140" s="208" t="str">
        <f ca="1"/>
        <v>EM ABERTO</v>
      </c>
      <c r="G140" s="210" t="str">
        <f ca="1"/>
        <v>Indaiatuba/SP</v>
      </c>
      <c r="H140" s="210" t="str">
        <f ca="1"/>
        <v>Montagem Completa de 02 transformadores de 138KV - CPFL</v>
      </c>
      <c r="I140" s="247">
        <f ca="1"/>
        <v>348540</v>
      </c>
      <c r="J140" s="209">
        <f ca="1"/>
        <v>0.27</v>
      </c>
      <c r="K140" s="208" t="str">
        <f ca="1"/>
        <v>COMERCIAL</v>
      </c>
    </row>
    <row r="141" spans="1:11">
      <c r="A141" s="206">
        <f ca="1"/>
        <v>46230</v>
      </c>
      <c r="B141" s="207">
        <f ca="1"/>
        <v>45</v>
      </c>
      <c r="C141" s="208" t="str">
        <f ca="1"/>
        <v>🟠 ATENÇÃO</v>
      </c>
      <c r="D141" s="208" t="str">
        <f ca="1"/>
        <v>P-10226.26</v>
      </c>
      <c r="E141" s="210" t="str">
        <f ca="1"/>
        <v>WEG</v>
      </c>
      <c r="F141" s="208" t="str">
        <f ca="1"/>
        <v>EM ABERTO</v>
      </c>
      <c r="G141" s="210" t="str">
        <f ca="1"/>
        <v>Coelba/BA</v>
      </c>
      <c r="H141" s="210" t="str">
        <f ca="1"/>
        <v>Manutenção Corretiva em um transformador de 138KV - NEO ENERGIA</v>
      </c>
      <c r="I141" s="247">
        <f ca="1"/>
        <v>261140</v>
      </c>
      <c r="J141" s="209">
        <f ca="1"/>
        <v>0.27</v>
      </c>
      <c r="K141" s="208" t="str">
        <f ca="1"/>
        <v>COMERCIAL</v>
      </c>
    </row>
    <row r="142" spans="1:11">
      <c r="A142" s="206">
        <f ca="1"/>
        <v>46230</v>
      </c>
      <c r="B142" s="207">
        <f ca="1"/>
        <v>45</v>
      </c>
      <c r="C142" s="208" t="str">
        <f ca="1"/>
        <v>🟠 ATENÇÃO</v>
      </c>
      <c r="D142" s="208" t="str">
        <f ca="1"/>
        <v>P-10229.26</v>
      </c>
      <c r="E142" s="210" t="str">
        <f ca="1"/>
        <v>BLUTRAFOS</v>
      </c>
      <c r="F142" s="208" t="str">
        <f ca="1"/>
        <v>EM ABERTO</v>
      </c>
      <c r="G142" s="210" t="str">
        <f ca="1"/>
        <v>Mogi Guaçu/SP</v>
      </c>
      <c r="H142" s="210" t="str">
        <f ca="1"/>
        <v xml:space="preserve">Manutenção Corretiva em um Transformador de 4,6KV - BLUTRAFOS </v>
      </c>
      <c r="I142" s="247">
        <f ca="1"/>
        <v>81520</v>
      </c>
      <c r="J142" s="209">
        <f ca="1"/>
        <v>0.25</v>
      </c>
      <c r="K142" s="208" t="str">
        <f ca="1"/>
        <v>COMERCIAL</v>
      </c>
    </row>
    <row r="143" spans="1:11">
      <c r="A143" s="206">
        <f ca="1"/>
        <v>46230</v>
      </c>
      <c r="B143" s="207">
        <f ca="1"/>
        <v>45</v>
      </c>
      <c r="C143" s="208" t="str">
        <f ca="1"/>
        <v>🟠 ATENÇÃO</v>
      </c>
      <c r="D143" s="208" t="str">
        <f ca="1"/>
        <v>P-10230.26</v>
      </c>
      <c r="E143" s="210" t="str">
        <f ca="1"/>
        <v>MR DO BRASIL</v>
      </c>
      <c r="F143" s="208" t="str">
        <f ca="1"/>
        <v>EM ABERTO</v>
      </c>
      <c r="G143" s="210" t="str">
        <f ca="1"/>
        <v>São Paulo/SP</v>
      </c>
      <c r="H143" s="210" t="str">
        <f ca="1"/>
        <v>Locação de Tanque Auxiliar - MR DO BRASIL</v>
      </c>
      <c r="I143" s="247">
        <f ca="1"/>
        <v>2370</v>
      </c>
      <c r="J143" s="209">
        <f ca="1"/>
        <v>1</v>
      </c>
      <c r="K143" s="208" t="str">
        <f ca="1"/>
        <v>COMERCIAL</v>
      </c>
    </row>
    <row r="144" spans="1:11">
      <c r="A144" s="206">
        <f ca="1"/>
        <v>46231</v>
      </c>
      <c r="B144" s="207">
        <f ca="1"/>
        <v>44</v>
      </c>
      <c r="C144" s="208" t="str">
        <f ca="1"/>
        <v>🟠 ATENÇÃO</v>
      </c>
      <c r="D144" s="208" t="str">
        <f ca="1"/>
        <v>P-10238.26</v>
      </c>
      <c r="E144" s="210" t="str">
        <f ca="1"/>
        <v>GRU AIPORT</v>
      </c>
      <c r="F144" s="208" t="str">
        <f ca="1"/>
        <v>EM ABERTO</v>
      </c>
      <c r="G144" s="210" t="str">
        <f ca="1"/>
        <v>Guarulhos/SP</v>
      </c>
      <c r="H144" s="210" t="str">
        <f ca="1"/>
        <v>Manuntenção Corretiva em 02 transformadores de 1.000KVA - GRU AIRPORT</v>
      </c>
      <c r="I144" s="247">
        <f ca="1"/>
        <v>119800</v>
      </c>
      <c r="J144" s="209">
        <f ca="1"/>
        <v>0.25</v>
      </c>
      <c r="K144" s="208" t="str">
        <f ca="1"/>
        <v>COMERCIAL</v>
      </c>
    </row>
    <row r="145" spans="1:11">
      <c r="A145" s="206">
        <f ca="1"/>
        <v>46233</v>
      </c>
      <c r="B145" s="207">
        <f ca="1"/>
        <v>42</v>
      </c>
      <c r="C145" s="208" t="str">
        <f ca="1"/>
        <v>🟠 ATENÇÃO</v>
      </c>
      <c r="D145" s="208" t="str">
        <f ca="1"/>
        <v>P-10243.26</v>
      </c>
      <c r="E145" s="210" t="str">
        <f ca="1"/>
        <v>WEG</v>
      </c>
      <c r="F145" s="208" t="str">
        <f ca="1"/>
        <v>EM ABERTO</v>
      </c>
      <c r="G145" s="210" t="str">
        <f ca="1"/>
        <v>São Joaquim de Bicas/MG</v>
      </c>
      <c r="H145" s="210" t="str">
        <f ca="1"/>
        <v>Montagem Completa de 01 transformador de 138KV - CEMIG</v>
      </c>
      <c r="I145" s="247">
        <f ca="1"/>
        <v>165500</v>
      </c>
      <c r="J145" s="209">
        <f ca="1"/>
        <v>0.27</v>
      </c>
      <c r="K145" s="208" t="str">
        <f ca="1"/>
        <v>COMERCIAL</v>
      </c>
    </row>
    <row r="146" spans="1:11">
      <c r="A146" s="206">
        <f ca="1"/>
        <v>46233</v>
      </c>
      <c r="B146" s="207">
        <f ca="1"/>
        <v>42</v>
      </c>
      <c r="C146" s="208" t="str">
        <f ca="1"/>
        <v>🟠 ATENÇÃO</v>
      </c>
      <c r="D146" s="208" t="str">
        <f ca="1"/>
        <v>P-10244.26</v>
      </c>
      <c r="E146" s="210" t="str">
        <f ca="1"/>
        <v xml:space="preserve">CPFL RENOVAVEIS </v>
      </c>
      <c r="F146" s="208" t="str">
        <f ca="1"/>
        <v>EM ABERTO</v>
      </c>
      <c r="G146" s="210" t="str">
        <f ca="1"/>
        <v>Xavantina/SC</v>
      </c>
      <c r="H146" s="210" t="str">
        <f ca="1"/>
        <v>Manutenção Corretiva em 01 transformador Trifasico de 69KV - PCH PLANO ALTO</v>
      </c>
      <c r="I146" s="247">
        <f ca="1"/>
        <v>164725.5</v>
      </c>
      <c r="J146" s="209">
        <f ca="1"/>
        <v>0.28999999999999998</v>
      </c>
      <c r="K146" s="208" t="str">
        <f ca="1"/>
        <v>COMERCIAL</v>
      </c>
    </row>
    <row r="147" spans="1:11">
      <c r="A147" s="206">
        <f ca="1"/>
        <v>46233</v>
      </c>
      <c r="B147" s="207">
        <f ca="1"/>
        <v>42</v>
      </c>
      <c r="C147" s="208" t="str">
        <f ca="1"/>
        <v>🟠 ATENÇÃO</v>
      </c>
      <c r="D147" s="208" t="str">
        <f ca="1"/>
        <v>P-10258.26</v>
      </c>
      <c r="E147" s="210" t="str">
        <f ca="1"/>
        <v>CHINT</v>
      </c>
      <c r="F147" s="208" t="str">
        <f ca="1"/>
        <v>EM ABERTO</v>
      </c>
      <c r="G147" s="210" t="str">
        <f ca="1"/>
        <v>Aracruz/ES</v>
      </c>
      <c r="H147" s="210" t="str">
        <f ca="1"/>
        <v xml:space="preserve">Montagem Completa de 01 transformador de 138KV - SUZANO </v>
      </c>
      <c r="I147" s="247">
        <f ca="1"/>
        <v>272836</v>
      </c>
      <c r="J147" s="209">
        <f ca="1"/>
        <v>0.26</v>
      </c>
      <c r="K147" s="208" t="str">
        <f ca="1"/>
        <v>COMERCIAL</v>
      </c>
    </row>
    <row r="148" spans="1:11">
      <c r="A148" s="206">
        <f ca="1"/>
        <v>46234</v>
      </c>
      <c r="B148" s="207">
        <f ca="1"/>
        <v>41</v>
      </c>
      <c r="C148" s="208" t="str">
        <f ca="1"/>
        <v>🟠 ATENÇÃO</v>
      </c>
      <c r="D148" s="208" t="str">
        <f ca="1"/>
        <v>P-10259.26</v>
      </c>
      <c r="E148" s="210" t="str">
        <f ca="1"/>
        <v>WEG</v>
      </c>
      <c r="F148" s="208" t="str">
        <f ca="1"/>
        <v>EM ABERTO</v>
      </c>
      <c r="G148" s="210" t="str">
        <f ca="1"/>
        <v>São Desiderio/BA</v>
      </c>
      <c r="H148" s="210" t="str">
        <f ca="1"/>
        <v>Manutenção Corretiva em 01 transformador de 230KV - TAESA</v>
      </c>
      <c r="I148" s="247">
        <f ca="1"/>
        <v>356930</v>
      </c>
      <c r="J148" s="209">
        <f ca="1"/>
        <v>0.25</v>
      </c>
      <c r="K148" s="208" t="str">
        <f ca="1"/>
        <v>COMERCIAL</v>
      </c>
    </row>
    <row r="149" spans="1:11">
      <c r="A149" s="206">
        <f ca="1"/>
        <v>46234</v>
      </c>
      <c r="B149" s="207">
        <f ca="1"/>
        <v>41</v>
      </c>
      <c r="C149" s="208" t="str">
        <f ca="1"/>
        <v>🟠 ATENÇÃO</v>
      </c>
      <c r="D149" s="208" t="str">
        <f ca="1"/>
        <v>P-10261.26</v>
      </c>
      <c r="E149" s="210" t="str">
        <f ca="1"/>
        <v>Capua Engenharia</v>
      </c>
      <c r="F149" s="208" t="str">
        <f ca="1"/>
        <v>NEGOCIAÇÃO</v>
      </c>
      <c r="G149" s="210" t="str">
        <f ca="1"/>
        <v>Barueri/SP</v>
      </c>
      <c r="H149" s="210" t="str">
        <f ca="1"/>
        <v>ADITIVO - Manutençã Corretiva em transformadores - SABESP</v>
      </c>
      <c r="I149" s="247">
        <f ca="1"/>
        <v>192980</v>
      </c>
      <c r="J149" s="209">
        <f ca="1"/>
        <v>0.27</v>
      </c>
      <c r="K149" s="208" t="str">
        <f ca="1"/>
        <v>COMERCIAL</v>
      </c>
    </row>
    <row r="150" spans="1:11">
      <c r="A150" s="206">
        <f ca="1"/>
        <v>46238</v>
      </c>
      <c r="B150" s="207">
        <f ca="1"/>
        <v>37</v>
      </c>
      <c r="C150" s="208" t="str">
        <f ca="1"/>
        <v>🟠 ATENÇÃO</v>
      </c>
      <c r="D150" s="208" t="str">
        <f ca="1"/>
        <v>P-10268.26</v>
      </c>
      <c r="E150" s="210" t="str">
        <f ca="1"/>
        <v>M2X</v>
      </c>
      <c r="F150" s="208" t="str">
        <f ca="1"/>
        <v>EM ABERTO</v>
      </c>
      <c r="G150" s="210" t="str">
        <f ca="1"/>
        <v>Guarulhos/SP</v>
      </c>
      <c r="H150" s="210" t="str">
        <f ca="1"/>
        <v>Manutenção Corretiva em 01 Transformador de 88KV - M2X</v>
      </c>
      <c r="I150" s="247">
        <f ca="1"/>
        <v>42920</v>
      </c>
      <c r="J150" s="209">
        <f ca="1"/>
        <v>0.3</v>
      </c>
      <c r="K150" s="208" t="str">
        <f ca="1"/>
        <v>COMERCIAL</v>
      </c>
    </row>
    <row r="151" spans="1:11">
      <c r="A151" s="206">
        <f ca="1"/>
        <v>46238</v>
      </c>
      <c r="B151" s="207">
        <f ca="1"/>
        <v>37</v>
      </c>
      <c r="C151" s="208" t="str">
        <f ca="1"/>
        <v>🟠 ATENÇÃO</v>
      </c>
      <c r="D151" s="208" t="str">
        <f ca="1"/>
        <v>P-10269.26</v>
      </c>
      <c r="E151" s="210" t="str">
        <f ca="1"/>
        <v>CHINT</v>
      </c>
      <c r="F151" s="208" t="str">
        <f ca="1"/>
        <v>EM ABERTO</v>
      </c>
      <c r="G151" s="210" t="str">
        <f ca="1"/>
        <v>Cascavel/PR</v>
      </c>
      <c r="H151" s="210" t="str">
        <f ca="1"/>
        <v>Montagem Completa de 02 transformadores de 230 KV - COPEL</v>
      </c>
      <c r="I151" s="247">
        <f ca="1"/>
        <v>530500</v>
      </c>
      <c r="J151" s="209">
        <f ca="1"/>
        <v>0.26</v>
      </c>
      <c r="K151" s="208" t="str">
        <f ca="1"/>
        <v>COMERCIAL</v>
      </c>
    </row>
    <row r="152" spans="1:11">
      <c r="A152" s="206">
        <f ca="1"/>
        <v>46238</v>
      </c>
      <c r="B152" s="207">
        <f ca="1"/>
        <v>37</v>
      </c>
      <c r="C152" s="208" t="str">
        <f ca="1"/>
        <v>🟠 ATENÇÃO</v>
      </c>
      <c r="D152" s="208" t="str">
        <f ca="1"/>
        <v>P-10274.26</v>
      </c>
      <c r="E152" s="210" t="str">
        <f ca="1"/>
        <v>WEG</v>
      </c>
      <c r="F152" s="208" t="str">
        <f ca="1"/>
        <v>EM ABERTO</v>
      </c>
      <c r="G152" s="210" t="str">
        <f ca="1"/>
        <v>Cordeirópolis/SP</v>
      </c>
      <c r="H152" s="210" t="str">
        <f ca="1"/>
        <v>Montagem Completa de 02 transformadores de 138KV - KARINA E VIVA PISOS</v>
      </c>
      <c r="I152" s="247">
        <f ca="1"/>
        <v>232030</v>
      </c>
      <c r="J152" s="209">
        <f ca="1"/>
        <v>0.3</v>
      </c>
      <c r="K152" s="208" t="str">
        <f ca="1"/>
        <v>COMERCIAL</v>
      </c>
    </row>
    <row r="153" spans="1:11">
      <c r="A153" s="206">
        <f ca="1"/>
        <v>46239</v>
      </c>
      <c r="B153" s="207">
        <f ca="1"/>
        <v>36</v>
      </c>
      <c r="C153" s="208" t="str">
        <f ca="1"/>
        <v>🟠 ATENÇÃO</v>
      </c>
      <c r="D153" s="208" t="str">
        <f ca="1"/>
        <v>P-10287.26</v>
      </c>
      <c r="E153" s="210" t="str">
        <f ca="1"/>
        <v>WEG</v>
      </c>
      <c r="F153" s="208" t="str">
        <f ca="1"/>
        <v>EM ABERTO</v>
      </c>
      <c r="G153" s="210" t="str">
        <f ca="1"/>
        <v>Estrela do Sul/MG</v>
      </c>
      <c r="H153" s="210" t="str">
        <f ca="1"/>
        <v xml:space="preserve">Montagem Completa de 01 transformador de 138KV - CEMIG SKID </v>
      </c>
      <c r="I153" s="247">
        <f ca="1"/>
        <v>199800</v>
      </c>
      <c r="J153" s="209">
        <f ca="1"/>
        <v>0.28999999999999998</v>
      </c>
      <c r="K153" s="208" t="str">
        <f ca="1"/>
        <v>COMERCIAL</v>
      </c>
    </row>
    <row r="154" spans="1:11">
      <c r="A154" s="206">
        <f ca="1"/>
        <v>46244</v>
      </c>
      <c r="B154" s="207">
        <f ca="1"/>
        <v>31</v>
      </c>
      <c r="C154" s="208" t="str">
        <f ca="1"/>
        <v>🟠 ATENÇÃO</v>
      </c>
      <c r="D154" s="208" t="str">
        <f ca="1"/>
        <v>P-10296.26</v>
      </c>
      <c r="E154" s="210" t="str">
        <f ca="1"/>
        <v>WEG</v>
      </c>
      <c r="F154" s="208" t="str">
        <f ca="1"/>
        <v>EM ABERTO</v>
      </c>
      <c r="G154" s="210" t="str">
        <f ca="1"/>
        <v>São Jose dos PinhaIs/PR</v>
      </c>
      <c r="H154" s="210" t="str">
        <f ca="1"/>
        <v>Montagem Completa de 04 Reatores de 525KV - COPEL</v>
      </c>
      <c r="I154" s="247">
        <f ca="1"/>
        <v>686800</v>
      </c>
      <c r="J154" s="209">
        <f ca="1"/>
        <v>0.25</v>
      </c>
      <c r="K154" s="208" t="str">
        <f ca="1"/>
        <v>COMERCIAL</v>
      </c>
    </row>
    <row r="155" spans="1:11">
      <c r="A155" s="206">
        <f ca="1"/>
        <v>46244</v>
      </c>
      <c r="B155" s="207">
        <f ca="1"/>
        <v>31</v>
      </c>
      <c r="C155" s="208" t="str">
        <f ca="1"/>
        <v>🟠 ATENÇÃO</v>
      </c>
      <c r="D155" s="208" t="str">
        <f ca="1"/>
        <v>P-10297.26</v>
      </c>
      <c r="E155" s="210" t="str">
        <f ca="1"/>
        <v>WEG</v>
      </c>
      <c r="F155" s="208" t="str">
        <f ca="1"/>
        <v>EM ABERTO</v>
      </c>
      <c r="G155" s="210" t="str">
        <f ca="1"/>
        <v>Governador Valadares/MG</v>
      </c>
      <c r="H155" s="210" t="str">
        <f ca="1"/>
        <v>Montagem Completa de 03 autotransformadores de 230KV - CEMIG</v>
      </c>
      <c r="I155" s="247">
        <f ca="1"/>
        <v>594825</v>
      </c>
      <c r="J155" s="209">
        <f ca="1"/>
        <v>0.26</v>
      </c>
      <c r="K155" s="208" t="str">
        <f ca="1"/>
        <v>COMERCIAL</v>
      </c>
    </row>
    <row r="156" spans="1:11">
      <c r="A156" s="206">
        <f ca="1"/>
        <v>46244</v>
      </c>
      <c r="B156" s="207">
        <f ca="1"/>
        <v>31</v>
      </c>
      <c r="C156" s="208" t="str">
        <f ca="1"/>
        <v>🟠 ATENÇÃO</v>
      </c>
      <c r="D156" s="208" t="str">
        <f ca="1"/>
        <v>P-10298.26</v>
      </c>
      <c r="E156" s="210" t="str">
        <f ca="1"/>
        <v>WEG</v>
      </c>
      <c r="F156" s="208" t="str">
        <f ca="1"/>
        <v>EM ABERTO</v>
      </c>
      <c r="G156" s="210" t="str">
        <f ca="1"/>
        <v>Maraba/PA</v>
      </c>
      <c r="H156" s="210" t="str">
        <f ca="1"/>
        <v xml:space="preserve">Reimpregnação da Parte Ativa de 02 Autotransformadores de 550KV - AXIA </v>
      </c>
      <c r="I156" s="247">
        <f ca="1"/>
        <v>324790</v>
      </c>
      <c r="J156" s="209">
        <f ca="1"/>
        <v>0.3</v>
      </c>
      <c r="K156" s="208" t="str">
        <f ca="1"/>
        <v>COMERCIAL</v>
      </c>
    </row>
    <row r="157" spans="1:11">
      <c r="A157" s="206">
        <f ca="1"/>
        <v>46244</v>
      </c>
      <c r="B157" s="207">
        <f ca="1"/>
        <v>31</v>
      </c>
      <c r="C157" s="208" t="str">
        <f ca="1"/>
        <v>🟠 ATENÇÃO</v>
      </c>
      <c r="D157" s="208" t="str">
        <f ca="1"/>
        <v>P-10302.26</v>
      </c>
      <c r="E157" s="210" t="str">
        <f ca="1"/>
        <v>SUNGROW</v>
      </c>
      <c r="F157" s="208" t="str">
        <f ca="1"/>
        <v>NEGOCIAÇÃO</v>
      </c>
      <c r="G157" s="210" t="str">
        <f ca="1"/>
        <v>Paracatu/MG</v>
      </c>
      <c r="H157" s="210" t="str">
        <f ca="1"/>
        <v>Fornecimento de 1.000 L de óleo Isolante - ATLAS</v>
      </c>
      <c r="I157" s="247">
        <f ca="1"/>
        <v>34150</v>
      </c>
      <c r="J157" s="209">
        <f ca="1"/>
        <v>0.24</v>
      </c>
      <c r="K157" s="208" t="str">
        <f ca="1"/>
        <v>COMERCIAL</v>
      </c>
    </row>
    <row r="158" spans="1:11">
      <c r="A158" s="206">
        <f ca="1"/>
        <v>46244</v>
      </c>
      <c r="B158" s="207">
        <f ca="1"/>
        <v>31</v>
      </c>
      <c r="C158" s="208" t="str">
        <f ca="1"/>
        <v>🟠 ATENÇÃO</v>
      </c>
      <c r="D158" s="208" t="str">
        <f ca="1"/>
        <v>P-10303.26</v>
      </c>
      <c r="E158" s="210" t="str">
        <f ca="1"/>
        <v>WEG</v>
      </c>
      <c r="F158" s="208" t="str">
        <f ca="1"/>
        <v>EM ABERTO</v>
      </c>
      <c r="G158" s="210" t="str">
        <f ca="1"/>
        <v>Santana de Parnaíba/SP</v>
      </c>
      <c r="H158" s="210" t="str">
        <f ca="1"/>
        <v>ADITIVO - Locação de Bomba de Vácuo adicional - CTEEP</v>
      </c>
      <c r="I158" s="247">
        <f ca="1"/>
        <v>2185</v>
      </c>
      <c r="J158" s="209">
        <f ca="1"/>
        <v>1.4E-2</v>
      </c>
      <c r="K158" s="208" t="str">
        <f ca="1"/>
        <v>TÉCNICO</v>
      </c>
    </row>
    <row r="159" spans="1:11">
      <c r="A159" s="206">
        <f ca="1"/>
        <v>46245</v>
      </c>
      <c r="B159" s="207">
        <f ca="1"/>
        <v>30</v>
      </c>
      <c r="C159" s="208" t="str">
        <f ca="1"/>
        <v>🟠 ATENÇÃO</v>
      </c>
      <c r="D159" s="208" t="str">
        <f ca="1"/>
        <v>P-10305.26</v>
      </c>
      <c r="E159" s="210" t="str">
        <f ca="1"/>
        <v>Capua Engenharia</v>
      </c>
      <c r="F159" s="208" t="str">
        <f ca="1"/>
        <v>NEGOCIAÇÃO</v>
      </c>
      <c r="G159" s="210" t="str">
        <f ca="1"/>
        <v>Barueri/SP</v>
      </c>
      <c r="H159" s="210" t="str">
        <f ca="1"/>
        <v>Fornecimento e Substituição de Bucha de AT em um transformador - SABESP</v>
      </c>
      <c r="I159" s="247">
        <f ca="1"/>
        <v>41360</v>
      </c>
      <c r="J159" s="209">
        <f ca="1"/>
        <v>0.3</v>
      </c>
      <c r="K159" s="208" t="str">
        <f ca="1"/>
        <v>COMERCIAL</v>
      </c>
    </row>
    <row r="160" spans="1:11">
      <c r="A160" s="206">
        <f ca="1"/>
        <v>46245</v>
      </c>
      <c r="B160" s="207">
        <f ca="1"/>
        <v>30</v>
      </c>
      <c r="C160" s="208" t="str">
        <f ca="1"/>
        <v>🟠 ATENÇÃO</v>
      </c>
      <c r="D160" s="208" t="str">
        <f ca="1"/>
        <v>P-10307.26</v>
      </c>
      <c r="E160" s="210" t="str">
        <f ca="1"/>
        <v>Suzano Papel &amp; Celulose</v>
      </c>
      <c r="F160" s="208" t="str">
        <f ca="1"/>
        <v>EM ABERTO</v>
      </c>
      <c r="G160" s="210" t="str">
        <f ca="1"/>
        <v>Limeira/SP</v>
      </c>
      <c r="H160" s="210" t="str">
        <f ca="1"/>
        <v>Manutenção Corretiva e Preventiva em transformadores - SUZANO PAPEL &amp; CELULOSE</v>
      </c>
      <c r="I160" s="247">
        <f ca="1"/>
        <v>2000000</v>
      </c>
      <c r="J160" s="209">
        <f ca="1"/>
        <v>0.25</v>
      </c>
      <c r="K160" s="208" t="str">
        <f ca="1"/>
        <v>COMERCIAL</v>
      </c>
    </row>
    <row r="161" spans="1:11">
      <c r="A161" s="206">
        <f ca="1"/>
        <v>46247</v>
      </c>
      <c r="B161" s="207">
        <f ca="1"/>
        <v>28</v>
      </c>
      <c r="C161" s="208" t="str">
        <f ca="1"/>
        <v>🟡 MORNO</v>
      </c>
      <c r="D161" s="208" t="str">
        <f ca="1"/>
        <v>P-10314.26</v>
      </c>
      <c r="E161" s="210" t="str">
        <f ca="1"/>
        <v>Tereme</v>
      </c>
      <c r="F161" s="208" t="str">
        <f ca="1"/>
        <v>EM ABERTO</v>
      </c>
      <c r="G161" s="210" t="str">
        <f ca="1"/>
        <v>Vitoria/ES</v>
      </c>
      <c r="H161" s="210" t="str">
        <f ca="1"/>
        <v>Tratamento Termovácuo em 03 transformadores de AT - VALE TUBARÃO</v>
      </c>
      <c r="I161" s="247">
        <f ca="1"/>
        <v>66630</v>
      </c>
      <c r="J161" s="209">
        <f ca="1"/>
        <v>0.3</v>
      </c>
      <c r="K161" s="208" t="str">
        <f ca="1"/>
        <v>COMERCIAL</v>
      </c>
    </row>
    <row r="162" spans="1:11">
      <c r="A162" s="206">
        <f ca="1"/>
        <v>46247</v>
      </c>
      <c r="B162" s="207">
        <f ca="1"/>
        <v>28</v>
      </c>
      <c r="C162" s="208" t="str">
        <f ca="1"/>
        <v>🟡 MORNO</v>
      </c>
      <c r="D162" s="208" t="str">
        <f ca="1"/>
        <v>P-10329.26</v>
      </c>
      <c r="E162" s="210" t="str">
        <f ca="1"/>
        <v>WEG</v>
      </c>
      <c r="F162" s="208" t="str">
        <f ca="1"/>
        <v>EM ABERTO</v>
      </c>
      <c r="G162" s="210" t="str">
        <f ca="1"/>
        <v>Aparecida de Goiania/GO</v>
      </c>
      <c r="H162" s="210" t="str">
        <f ca="1"/>
        <v>Montagem Completa de 03 Reatores de 362KV - AXIA</v>
      </c>
      <c r="I162" s="247">
        <f ca="1"/>
        <v>539700</v>
      </c>
      <c r="J162" s="209">
        <f ca="1"/>
        <v>0.26</v>
      </c>
      <c r="K162" s="208" t="str">
        <f ca="1"/>
        <v>COMERCIAL</v>
      </c>
    </row>
    <row r="163" spans="1:11">
      <c r="A163" s="206">
        <f ca="1"/>
        <v>46247</v>
      </c>
      <c r="B163" s="207">
        <f ca="1"/>
        <v>28</v>
      </c>
      <c r="C163" s="208" t="str">
        <f ca="1"/>
        <v>🟡 MORNO</v>
      </c>
      <c r="D163" s="208" t="str">
        <f ca="1"/>
        <v>P-10330.26</v>
      </c>
      <c r="E163" s="210" t="str">
        <f ca="1"/>
        <v>WEG</v>
      </c>
      <c r="F163" s="208" t="str">
        <f ca="1"/>
        <v>EM ABERTO</v>
      </c>
      <c r="G163" s="210" t="str">
        <f ca="1"/>
        <v>Capivari de Baixo/SC</v>
      </c>
      <c r="H163" s="210" t="str">
        <f ca="1"/>
        <v>Montagem Completa de 01 Autotransformador de 230kv - AXIA</v>
      </c>
      <c r="I163" s="247">
        <f ca="1"/>
        <v>249900</v>
      </c>
      <c r="J163" s="209">
        <f ca="1"/>
        <v>0.24959999999999999</v>
      </c>
      <c r="K163" s="208" t="str">
        <f ca="1"/>
        <v>COMERCIAL</v>
      </c>
    </row>
    <row r="164" spans="1:11">
      <c r="A164" s="206">
        <f ca="1"/>
        <v>46248</v>
      </c>
      <c r="B164" s="207">
        <f ca="1"/>
        <v>27</v>
      </c>
      <c r="C164" s="208" t="str">
        <f ca="1"/>
        <v>🟡 MORNO</v>
      </c>
      <c r="D164" s="208" t="str">
        <f ca="1"/>
        <v>P-10337.26</v>
      </c>
      <c r="E164" s="210" t="str">
        <f ca="1"/>
        <v>WEG</v>
      </c>
      <c r="F164" s="208" t="str">
        <f ca="1"/>
        <v>NEGOCIAÇÃO</v>
      </c>
      <c r="G164" s="210" t="str">
        <f ca="1"/>
        <v>Indaiatuba/SP</v>
      </c>
      <c r="H164" s="210" t="str">
        <f ca="1"/>
        <v>Manutenção Corretiva em um transformador de 138KV - CPFL</v>
      </c>
      <c r="I164" s="247">
        <f ca="1"/>
        <v>3902</v>
      </c>
      <c r="J164" s="209">
        <f ca="1"/>
        <v>0.3</v>
      </c>
      <c r="K164" s="208" t="str">
        <f ca="1"/>
        <v>COMERCIAL</v>
      </c>
    </row>
    <row r="165" spans="1:11">
      <c r="A165" s="206">
        <f ca="1"/>
        <v>46248</v>
      </c>
      <c r="B165" s="207">
        <f ca="1"/>
        <v>27</v>
      </c>
      <c r="C165" s="208" t="str">
        <f ca="1"/>
        <v>🟡 MORNO</v>
      </c>
      <c r="D165" s="208" t="str">
        <f ca="1"/>
        <v>P-10341.26</v>
      </c>
      <c r="E165" s="210" t="str">
        <f ca="1"/>
        <v>CHINT</v>
      </c>
      <c r="F165" s="208" t="str">
        <f ca="1"/>
        <v>EM ABERTO</v>
      </c>
      <c r="G165" s="210" t="str">
        <f ca="1"/>
        <v>São Paulo/SP</v>
      </c>
      <c r="H165" s="210" t="str">
        <f ca="1"/>
        <v>Montagem Completa de 12 transformadores trifásicos entre 440kv a 525kv - CASA DOS VENTOS</v>
      </c>
      <c r="I165" s="247">
        <f ca="1"/>
        <v>625665</v>
      </c>
      <c r="J165" s="209">
        <f ca="1"/>
        <v>0.26</v>
      </c>
      <c r="K165" s="208" t="str">
        <f ca="1"/>
        <v>COMERCIAL</v>
      </c>
    </row>
    <row r="166" spans="1:11">
      <c r="A166" s="206">
        <f ca="1"/>
        <v>46251</v>
      </c>
      <c r="B166" s="207">
        <f ca="1"/>
        <v>24</v>
      </c>
      <c r="C166" s="208" t="str">
        <f ca="1"/>
        <v>🟡 MORNO</v>
      </c>
      <c r="D166" s="208" t="str">
        <f ca="1"/>
        <v>P-10345.26</v>
      </c>
      <c r="E166" s="210" t="str">
        <f ca="1"/>
        <v>WEG</v>
      </c>
      <c r="F166" s="208" t="str">
        <f ca="1"/>
        <v>NEGOCIAÇÃO</v>
      </c>
      <c r="G166" s="210" t="str">
        <f ca="1"/>
        <v>Barcarena/PA</v>
      </c>
      <c r="H166" s="210" t="str">
        <f ca="1"/>
        <v>Inspeção e Substituição do sensor da Membrana em um transformador - PORTOCEM</v>
      </c>
      <c r="I166" s="247">
        <f ca="1"/>
        <v>23820</v>
      </c>
      <c r="J166" s="209">
        <f ca="1"/>
        <v>0.25</v>
      </c>
      <c r="K166" s="208" t="str">
        <f ca="1"/>
        <v>TÉCNICO</v>
      </c>
    </row>
    <row r="167" spans="1:11">
      <c r="A167" s="206">
        <f ca="1"/>
        <v>46251</v>
      </c>
      <c r="B167" s="207">
        <f ca="1"/>
        <v>24</v>
      </c>
      <c r="C167" s="208" t="str">
        <f ca="1"/>
        <v>🟡 MORNO</v>
      </c>
      <c r="D167" s="208" t="str">
        <f ca="1"/>
        <v>P-10346.26</v>
      </c>
      <c r="E167" s="210" t="str">
        <f ca="1"/>
        <v>TSEA</v>
      </c>
      <c r="F167" s="208" t="str">
        <f ca="1"/>
        <v>EM ABERTO</v>
      </c>
      <c r="G167" s="210" t="str">
        <f ca="1"/>
        <v>Montes Claros/MG</v>
      </c>
      <c r="H167" s="210" t="str">
        <f ca="1"/>
        <v>ADITIVO - Fornecimento de Tanque Auxiliar - NOVO NORDISK</v>
      </c>
      <c r="I167" s="247">
        <f ca="1"/>
        <v>23320</v>
      </c>
      <c r="J167" s="209">
        <f ca="1"/>
        <v>0.2</v>
      </c>
      <c r="K167" s="208" t="str">
        <f ca="1"/>
        <v>COMERCIAL</v>
      </c>
    </row>
    <row r="168" spans="1:11">
      <c r="A168" s="206">
        <f ca="1"/>
        <v>46251</v>
      </c>
      <c r="B168" s="207">
        <f ca="1"/>
        <v>24</v>
      </c>
      <c r="C168" s="208" t="str">
        <f ca="1"/>
        <v>🟡 MORNO</v>
      </c>
      <c r="D168" s="208" t="str">
        <f ca="1"/>
        <v>P-10347.26</v>
      </c>
      <c r="E168" s="210" t="str">
        <f ca="1"/>
        <v>WEG</v>
      </c>
      <c r="F168" s="208" t="str">
        <f ca="1"/>
        <v>EM ABERTO</v>
      </c>
      <c r="G168" s="210" t="str">
        <f ca="1"/>
        <v>São Jose do Piaui/PI</v>
      </c>
      <c r="H168" s="210" t="str">
        <f ca="1"/>
        <v xml:space="preserve">Montagem Completa de 01 transformador de 230kv - CNS/AXIA </v>
      </c>
      <c r="I168" s="247">
        <f ca="1"/>
        <v>324740</v>
      </c>
      <c r="J168" s="209">
        <f ca="1"/>
        <v>0.23</v>
      </c>
      <c r="K168" s="208" t="str">
        <f ca="1"/>
        <v>COMERCIAL</v>
      </c>
    </row>
    <row r="169" spans="1:11">
      <c r="A169" s="206">
        <f ca="1"/>
        <v>46252</v>
      </c>
      <c r="B169" s="207">
        <f ca="1"/>
        <v>23</v>
      </c>
      <c r="C169" s="208" t="str">
        <f ca="1"/>
        <v>🟡 MORNO</v>
      </c>
      <c r="D169" s="208" t="str">
        <f ca="1"/>
        <v>P-10361.26</v>
      </c>
      <c r="E169" s="210" t="str">
        <f ca="1"/>
        <v>MingYang</v>
      </c>
      <c r="F169" s="208" t="str">
        <f ca="1"/>
        <v>NEGOCIAÇÃO</v>
      </c>
      <c r="G169" s="210" t="str">
        <f ca="1"/>
        <v>Paracatu/MG</v>
      </c>
      <c r="H169" s="210" t="str">
        <f ca="1"/>
        <v>Manutenção Corretiva em um transformador de 34,5KV - ATLAS</v>
      </c>
      <c r="I169" s="247">
        <f ca="1"/>
        <v>116800</v>
      </c>
      <c r="J169" s="209">
        <f ca="1"/>
        <v>0.25</v>
      </c>
      <c r="K169" s="208" t="str">
        <f ca="1"/>
        <v>COMERCIAL</v>
      </c>
    </row>
    <row r="170" spans="1:11">
      <c r="A170" s="206">
        <f ca="1"/>
        <v>46252</v>
      </c>
      <c r="B170" s="207">
        <f ca="1"/>
        <v>23</v>
      </c>
      <c r="C170" s="208" t="str">
        <f ca="1"/>
        <v>🟡 MORNO</v>
      </c>
      <c r="D170" s="208" t="str">
        <f ca="1"/>
        <v>P-10362.26</v>
      </c>
      <c r="E170" s="210" t="str">
        <f ca="1"/>
        <v>Hitachi</v>
      </c>
      <c r="F170" s="208" t="str">
        <f ca="1"/>
        <v>EM ABERTO</v>
      </c>
      <c r="G170" s="210" t="str">
        <f ca="1"/>
        <v>Macaé/RJ</v>
      </c>
      <c r="H170" s="210" t="str">
        <f ca="1"/>
        <v>Ensaios Eletricos em um transformador de 500KV - UTE MARLIM AZUL</v>
      </c>
      <c r="I170" s="247">
        <f ca="1"/>
        <v>17900</v>
      </c>
      <c r="J170" s="209">
        <f ca="1"/>
        <v>0.22</v>
      </c>
      <c r="K170" s="208" t="str">
        <f ca="1"/>
        <v>COMERCIAL</v>
      </c>
    </row>
    <row r="171" spans="1:11">
      <c r="A171" s="206">
        <f ca="1"/>
        <v>46255</v>
      </c>
      <c r="B171" s="207">
        <f ca="1"/>
        <v>20</v>
      </c>
      <c r="C171" s="208" t="str">
        <f ca="1"/>
        <v>🟡 MORNO</v>
      </c>
      <c r="D171" s="208" t="str">
        <f ca="1"/>
        <v>P-10378.26</v>
      </c>
      <c r="E171" s="210" t="str">
        <f ca="1"/>
        <v>AMBEV</v>
      </c>
      <c r="F171" s="208" t="str">
        <f ca="1"/>
        <v>EM ABERTO</v>
      </c>
      <c r="G171" s="210" t="str">
        <f ca="1"/>
        <v>Sapucaia do Sul/RS</v>
      </c>
      <c r="H171" s="210" t="str">
        <f ca="1"/>
        <v>Manutenção Corretiva em 01 transformador de AT - AMBEV</v>
      </c>
      <c r="I171" s="247">
        <f ca="1"/>
        <v>115630</v>
      </c>
      <c r="J171" s="209">
        <f ca="1"/>
        <v>0.25</v>
      </c>
      <c r="K171" s="208" t="str">
        <f ca="1"/>
        <v>COMERCIAL</v>
      </c>
    </row>
    <row r="172" spans="1:11">
      <c r="A172" s="206">
        <f ca="1"/>
        <v>46258</v>
      </c>
      <c r="B172" s="207">
        <f ca="1"/>
        <v>17</v>
      </c>
      <c r="C172" s="208" t="str">
        <f ca="1"/>
        <v>🟡 MORNO</v>
      </c>
      <c r="D172" s="208" t="str">
        <f ca="1"/>
        <v>P-10384.26</v>
      </c>
      <c r="E172" s="210" t="str">
        <f ca="1"/>
        <v>WEG</v>
      </c>
      <c r="F172" s="208" t="str">
        <f ca="1"/>
        <v>EM ABERTO</v>
      </c>
      <c r="G172" s="210" t="str">
        <f ca="1"/>
        <v>Ribeirão Preto/SP</v>
      </c>
      <c r="H172" s="210" t="str">
        <f ca="1"/>
        <v>Tratamento, Enchimento e comissionamento de 03 reatores de 500KV - STATE GRID</v>
      </c>
      <c r="I172" s="247">
        <f ca="1"/>
        <v>269700</v>
      </c>
      <c r="J172" s="209">
        <f ca="1"/>
        <v>0.27</v>
      </c>
      <c r="K172" s="208" t="str">
        <f ca="1"/>
        <v>COMERCIAL</v>
      </c>
    </row>
    <row r="173" spans="1:11">
      <c r="A173" s="206">
        <f ca="1"/>
        <v>46258</v>
      </c>
      <c r="B173" s="207">
        <f ca="1"/>
        <v>17</v>
      </c>
      <c r="C173" s="208" t="str">
        <f ca="1"/>
        <v>🟡 MORNO</v>
      </c>
      <c r="D173" s="208" t="str">
        <f ca="1"/>
        <v>P-10386.26</v>
      </c>
      <c r="E173" s="210" t="str">
        <f ca="1"/>
        <v>Volkswagen</v>
      </c>
      <c r="F173" s="208" t="str">
        <f ca="1"/>
        <v>EM ABERTO</v>
      </c>
      <c r="G173" s="210" t="str">
        <f ca="1"/>
        <v>São Bernardo do Campo/SP</v>
      </c>
      <c r="H173" s="210" t="str">
        <f ca="1"/>
        <v>Compra de Transformadores para Descarte - VOLKSWAGEN</v>
      </c>
      <c r="I173" s="247">
        <f ca="1"/>
        <v>0</v>
      </c>
      <c r="J173" s="209">
        <f ca="1"/>
        <v>0</v>
      </c>
      <c r="K173" s="208" t="str">
        <f ca="1"/>
        <v>COMERCIAL</v>
      </c>
    </row>
    <row r="174" spans="1:11">
      <c r="A174" s="206">
        <f ca="1"/>
        <v>46258</v>
      </c>
      <c r="B174" s="207">
        <f ca="1"/>
        <v>17</v>
      </c>
      <c r="C174" s="208" t="str">
        <f ca="1"/>
        <v>🟡 MORNO</v>
      </c>
      <c r="D174" s="208" t="str">
        <f ca="1"/>
        <v>P-10387.26</v>
      </c>
      <c r="E174" s="210" t="str">
        <f ca="1"/>
        <v>Volkswagen</v>
      </c>
      <c r="F174" s="208" t="str">
        <f ca="1"/>
        <v>EM ABERTO</v>
      </c>
      <c r="G174" s="210" t="str">
        <f ca="1"/>
        <v>São Bernardo do Campo/SP</v>
      </c>
      <c r="H174" s="210" t="str">
        <f ca="1"/>
        <v>Manutenção Corretiva de Transformadores  - VOLKSWAGEN</v>
      </c>
      <c r="I174" s="247">
        <f ca="1"/>
        <v>677010</v>
      </c>
      <c r="J174" s="209">
        <f ca="1"/>
        <v>0.25</v>
      </c>
      <c r="K174" s="208" t="str">
        <f ca="1"/>
        <v>COMERCIAL</v>
      </c>
    </row>
    <row r="175" spans="1:11">
      <c r="A175" s="206">
        <f ca="1"/>
        <v>46258</v>
      </c>
      <c r="B175" s="207">
        <f ca="1"/>
        <v>17</v>
      </c>
      <c r="C175" s="208" t="str">
        <f ca="1"/>
        <v>🟡 MORNO</v>
      </c>
      <c r="D175" s="208" t="str">
        <f ca="1"/>
        <v>P-10389.26</v>
      </c>
      <c r="E175" s="210" t="str">
        <f ca="1"/>
        <v>PETROBRAS</v>
      </c>
      <c r="F175" s="208" t="str">
        <f ca="1"/>
        <v>EM ABERTO</v>
      </c>
      <c r="G175" s="210" t="str">
        <f ca="1"/>
        <v>Macaé/RJ</v>
      </c>
      <c r="H175" s="210" t="str">
        <f ca="1"/>
        <v>Ensaios de Reposta Frequencia em Transformador - PETROBRAS</v>
      </c>
      <c r="I175" s="247">
        <f ca="1"/>
        <v>63970</v>
      </c>
      <c r="J175" s="209">
        <f ca="1"/>
        <v>0.25</v>
      </c>
      <c r="K175" s="208" t="str">
        <f ca="1"/>
        <v>COMERCIAL</v>
      </c>
    </row>
    <row r="176" spans="1:11">
      <c r="A176" s="206">
        <f ca="1"/>
        <v>46258</v>
      </c>
      <c r="B176" s="207">
        <f ca="1"/>
        <v>17</v>
      </c>
      <c r="C176" s="208" t="str">
        <f ca="1"/>
        <v>🟡 MORNO</v>
      </c>
      <c r="D176" s="208" t="str">
        <f ca="1"/>
        <v>P-10390.26</v>
      </c>
      <c r="E176" s="210" t="str">
        <f ca="1"/>
        <v>PETROBRAS</v>
      </c>
      <c r="F176" s="208" t="str">
        <f ca="1"/>
        <v>EM ABERTO</v>
      </c>
      <c r="G176" s="210" t="str">
        <f ca="1"/>
        <v>Cubatão/SP</v>
      </c>
      <c r="H176" s="210" t="str">
        <f ca="1"/>
        <v>Manutenção Corretiva em Transformadores de AT - PETROBRAS</v>
      </c>
      <c r="I176" s="247">
        <f ca="1"/>
        <v>466240</v>
      </c>
      <c r="J176" s="209">
        <f ca="1"/>
        <v>0.26</v>
      </c>
      <c r="K176" s="208" t="str">
        <f ca="1"/>
        <v>COMERCIAL</v>
      </c>
    </row>
    <row r="177" spans="1:11">
      <c r="A177" s="206">
        <f ca="1"/>
        <v>46259</v>
      </c>
      <c r="B177" s="207">
        <f ca="1"/>
        <v>16</v>
      </c>
      <c r="C177" s="208" t="str">
        <f ca="1"/>
        <v>🟡 MORNO</v>
      </c>
      <c r="D177" s="208" t="str">
        <f ca="1"/>
        <v>P-10403.26</v>
      </c>
      <c r="E177" s="210" t="str">
        <f ca="1"/>
        <v>WEG</v>
      </c>
      <c r="F177" s="208" t="str">
        <f ca="1"/>
        <v>EM ABERTO</v>
      </c>
      <c r="G177" s="210" t="str">
        <f ca="1"/>
        <v>Santa Rosa/RS</v>
      </c>
      <c r="H177" s="210" t="str">
        <f ca="1"/>
        <v>Montagem Completa de 01 transformador trifásico de 230KV - CPFL</v>
      </c>
      <c r="I177" s="247">
        <f ca="1"/>
        <v>278900</v>
      </c>
      <c r="J177" s="209">
        <f ca="1"/>
        <v>0.25</v>
      </c>
      <c r="K177" s="208" t="str">
        <f ca="1"/>
        <v>COMERCIAL</v>
      </c>
    </row>
    <row r="178" spans="1:11">
      <c r="A178" s="206">
        <f ca="1"/>
        <v>46260</v>
      </c>
      <c r="B178" s="207">
        <f ca="1"/>
        <v>15</v>
      </c>
      <c r="C178" s="208" t="str">
        <f ca="1"/>
        <v>🟡 MORNO</v>
      </c>
      <c r="D178" s="208" t="str">
        <f ca="1"/>
        <v>P-10405.26</v>
      </c>
      <c r="E178" s="210" t="str">
        <f ca="1"/>
        <v>PROMON ENGENHARIA</v>
      </c>
      <c r="F178" s="208" t="str">
        <f ca="1"/>
        <v>EM ABERTO</v>
      </c>
      <c r="G178" s="210" t="str">
        <f ca="1"/>
        <v>Camaçari/BA</v>
      </c>
      <c r="H178" s="210" t="str">
        <f ca="1"/>
        <v>Inspeção e Ensaios Elétricos em transformadores de AT</v>
      </c>
      <c r="I178" s="247">
        <f ca="1"/>
        <v>319280</v>
      </c>
      <c r="J178" s="209">
        <f ca="1"/>
        <v>0.3</v>
      </c>
      <c r="K178" s="208" t="str">
        <f ca="1"/>
        <v>COMERCIAL</v>
      </c>
    </row>
    <row r="179" spans="1:11">
      <c r="A179" s="206">
        <f ca="1"/>
        <v>46262</v>
      </c>
      <c r="B179" s="207">
        <f ca="1"/>
        <v>13</v>
      </c>
      <c r="C179" s="208" t="str">
        <f ca="1"/>
        <v>🟢 RECENTE</v>
      </c>
      <c r="D179" s="208" t="str">
        <f ca="1"/>
        <v>P-10423.26</v>
      </c>
      <c r="E179" s="210" t="str">
        <f ca="1"/>
        <v>WEG</v>
      </c>
      <c r="F179" s="208" t="str">
        <f ca="1"/>
        <v>EM ABERTO</v>
      </c>
      <c r="G179" s="210" t="str">
        <f ca="1"/>
        <v>Uberlandia/MG</v>
      </c>
      <c r="H179" s="210" t="str">
        <f ca="1"/>
        <v>Montagem Completa em 01 transformador de 138KV - CEMIG</v>
      </c>
      <c r="I179" s="247">
        <f ca="1"/>
        <v>173415</v>
      </c>
      <c r="J179" s="209">
        <f ca="1"/>
        <v>0.25</v>
      </c>
      <c r="K179" s="208" t="str">
        <f ca="1"/>
        <v>COMERCIAL</v>
      </c>
    </row>
    <row r="180" spans="1:11">
      <c r="A180" s="206">
        <f ca="1"/>
        <v>46265</v>
      </c>
      <c r="B180" s="207">
        <f ca="1"/>
        <v>10</v>
      </c>
      <c r="C180" s="208" t="str">
        <f ca="1"/>
        <v>🟢 RECENTE</v>
      </c>
      <c r="D180" s="208" t="str">
        <f ca="1"/>
        <v>P-10443.26</v>
      </c>
      <c r="E180" s="210" t="str">
        <f ca="1"/>
        <v>CPFL Transmissões</v>
      </c>
      <c r="F180" s="208" t="str">
        <f ca="1"/>
        <v>EM ABERTO</v>
      </c>
      <c r="G180" s="210" t="str">
        <f ca="1"/>
        <v>Mogi das Cruzes/SP</v>
      </c>
      <c r="H180" s="210" t="str">
        <f ca="1"/>
        <v>Recebimento, Transposte, Montagem e comissionamento de 10 transformadores - CPFL</v>
      </c>
      <c r="I180" s="247">
        <f ca="1"/>
        <v>0</v>
      </c>
      <c r="J180" s="209">
        <f ca="1"/>
        <v>0</v>
      </c>
      <c r="K180" s="208" t="str">
        <f ca="1"/>
        <v>COMERCIAL</v>
      </c>
    </row>
    <row r="181" spans="1:11">
      <c r="A181" s="206">
        <f ca="1"/>
        <v>46265</v>
      </c>
      <c r="B181" s="207">
        <f ca="1"/>
        <v>10</v>
      </c>
      <c r="C181" s="208" t="str">
        <f ca="1"/>
        <v>🟢 RECENTE</v>
      </c>
      <c r="D181" s="208" t="str">
        <f ca="1"/>
        <v>P-10445.26</v>
      </c>
      <c r="E181" s="210" t="str">
        <f ca="1"/>
        <v>CPFL Transmissões</v>
      </c>
      <c r="F181" s="208" t="str">
        <f ca="1"/>
        <v>EM ABERTO</v>
      </c>
      <c r="G181" s="210" t="str">
        <f ca="1"/>
        <v>Santa Terezinha de Itapu/PR</v>
      </c>
      <c r="H181" s="210" t="str">
        <f ca="1"/>
        <v>Recebimento, Transposte, Montagem e comissionamento de 10 transformadores - CPFL</v>
      </c>
      <c r="I181" s="247">
        <f ca="1"/>
        <v>0</v>
      </c>
      <c r="J181" s="209">
        <f ca="1"/>
        <v>0</v>
      </c>
      <c r="K181" s="208" t="str">
        <f ca="1"/>
        <v>COMERCIAL</v>
      </c>
    </row>
    <row r="182" spans="1:11">
      <c r="A182" s="206">
        <f ca="1"/>
        <v>46267</v>
      </c>
      <c r="B182" s="207">
        <f ca="1"/>
        <v>8</v>
      </c>
      <c r="C182" s="208" t="str">
        <f ca="1"/>
        <v>🟢 RECENTE</v>
      </c>
      <c r="D182" s="208" t="str">
        <f ca="1"/>
        <v>P-10450.26</v>
      </c>
      <c r="E182" s="210" t="str">
        <f ca="1"/>
        <v>Chint</v>
      </c>
      <c r="F182" s="208" t="str">
        <f ca="1"/>
        <v>EM ABERTO</v>
      </c>
      <c r="G182" s="210" t="str">
        <f ca="1"/>
        <v>Mogi das Cruzes/SP</v>
      </c>
      <c r="H182" s="210" t="str">
        <f ca="1"/>
        <v>Montagem Completa de 10 transformadores monofásico de 500KV - CPFL</v>
      </c>
      <c r="I182" s="247">
        <f ca="1"/>
        <v>0</v>
      </c>
      <c r="J182" s="209">
        <f ca="1"/>
        <v>0</v>
      </c>
      <c r="K182" s="208" t="str">
        <f ca="1"/>
        <v>COMERCIAL</v>
      </c>
    </row>
    <row r="183" spans="1:11">
      <c r="A183" s="206">
        <f ca="1"/>
        <v>46267</v>
      </c>
      <c r="B183" s="207">
        <f ca="1"/>
        <v>8</v>
      </c>
      <c r="C183" s="208" t="str">
        <f ca="1"/>
        <v>🟢 RECENTE</v>
      </c>
      <c r="D183" s="208" t="str">
        <f ca="1"/>
        <v>P-10451.26</v>
      </c>
      <c r="E183" s="210" t="str">
        <f ca="1"/>
        <v>Chint</v>
      </c>
      <c r="F183" s="208" t="str">
        <f ca="1"/>
        <v>EM ABERTO</v>
      </c>
      <c r="G183" s="210" t="str">
        <f ca="1"/>
        <v>Pirapora/MG</v>
      </c>
      <c r="H183" s="210" t="str">
        <f ca="1"/>
        <v>Montagem Completa de 02 transformadores Trifásco de 138KV - EDP</v>
      </c>
      <c r="I183" s="247">
        <f ca="1"/>
        <v>0</v>
      </c>
      <c r="J183" s="209">
        <f ca="1"/>
        <v>0</v>
      </c>
      <c r="K183" s="208" t="str">
        <f ca="1"/>
        <v>COMERCIAL</v>
      </c>
    </row>
    <row r="184" spans="1:11">
      <c r="A184" s="206">
        <f ca="1"/>
        <v>46267</v>
      </c>
      <c r="B184" s="207">
        <f ca="1"/>
        <v>8</v>
      </c>
      <c r="C184" s="208" t="str">
        <f ca="1"/>
        <v>🟢 RECENTE</v>
      </c>
      <c r="D184" s="208" t="str">
        <f ca="1"/>
        <v>P-10452.26</v>
      </c>
      <c r="E184" s="210" t="str">
        <f ca="1"/>
        <v>Chint</v>
      </c>
      <c r="F184" s="208" t="str">
        <f ca="1"/>
        <v>EM ABERTO</v>
      </c>
      <c r="G184" s="210" t="str">
        <f ca="1"/>
        <v>Cassilandia/MS</v>
      </c>
      <c r="H184" s="210" t="str">
        <f ca="1"/>
        <v>Montagem Completa de 04 Autotransformadores Mnofásico 500KV - ANEEL</v>
      </c>
      <c r="I184" s="247">
        <f ca="1"/>
        <v>0</v>
      </c>
      <c r="J184" s="209">
        <f ca="1"/>
        <v>0</v>
      </c>
      <c r="K184" s="208" t="str">
        <f ca="1"/>
        <v>COMERCIAL</v>
      </c>
    </row>
    <row r="185" spans="1:11">
      <c r="A185" s="206">
        <f ca="1"/>
        <v>46267</v>
      </c>
      <c r="B185" s="207">
        <f ca="1"/>
        <v>8</v>
      </c>
      <c r="C185" s="208" t="str">
        <f ca="1"/>
        <v>🟢 RECENTE</v>
      </c>
      <c r="D185" s="208" t="str">
        <f ca="1"/>
        <v>P-10453.26</v>
      </c>
      <c r="E185" s="210" t="str">
        <f ca="1"/>
        <v>WEG</v>
      </c>
      <c r="F185" s="208" t="str">
        <f ca="1"/>
        <v>EM ABERTO</v>
      </c>
      <c r="G185" s="210" t="str">
        <f ca="1"/>
        <v>Vila Velha/ES</v>
      </c>
      <c r="H185" s="210" t="str">
        <f ca="1"/>
        <v>Montagem Completa de 01 transformadores Mnofásico 138KV - EDP</v>
      </c>
      <c r="I185" s="247">
        <f ca="1"/>
        <v>194245</v>
      </c>
      <c r="J185" s="209">
        <f ca="1"/>
        <v>0.26</v>
      </c>
      <c r="K185" s="208" t="str">
        <f ca="1"/>
        <v>COMERCIAL</v>
      </c>
    </row>
    <row r="186" spans="1:11">
      <c r="A186" s="206">
        <f ca="1"/>
        <v>46267</v>
      </c>
      <c r="B186" s="207">
        <f ca="1"/>
        <v>8</v>
      </c>
      <c r="C186" s="208" t="str">
        <f ca="1"/>
        <v>🟢 RECENTE</v>
      </c>
      <c r="D186" s="208" t="str">
        <f ca="1"/>
        <v>P-10454.26</v>
      </c>
      <c r="E186" s="210" t="str">
        <f ca="1"/>
        <v>WEG</v>
      </c>
      <c r="F186" s="208" t="str">
        <f ca="1"/>
        <v>EM ABERTO</v>
      </c>
      <c r="G186" s="210" t="str">
        <f ca="1"/>
        <v>Palmares do Sul/RS</v>
      </c>
      <c r="H186" s="210" t="str">
        <f ca="1"/>
        <v>Montagem Completa de 01 transformadores Mnofásico 138KV - EQUATORIAL</v>
      </c>
      <c r="I186" s="247">
        <f ca="1"/>
        <v>188940</v>
      </c>
      <c r="J186" s="209">
        <f ca="1"/>
        <v>0.25</v>
      </c>
      <c r="K186" s="208" t="str">
        <f ca="1"/>
        <v>COMERCIAL</v>
      </c>
    </row>
    <row r="187" spans="1:11">
      <c r="A187" s="206">
        <f ca="1"/>
        <v>46267</v>
      </c>
      <c r="B187" s="207">
        <f ca="1"/>
        <v>8</v>
      </c>
      <c r="C187" s="208" t="str">
        <f ca="1"/>
        <v>🟢 RECENTE</v>
      </c>
      <c r="D187" s="208" t="str">
        <f ca="1"/>
        <v>P-10455.26</v>
      </c>
      <c r="E187" s="210" t="str">
        <f ca="1"/>
        <v xml:space="preserve">Lerose </v>
      </c>
      <c r="F187" s="208" t="str">
        <f ca="1"/>
        <v>EM ABERTO</v>
      </c>
      <c r="G187" s="210" t="str">
        <f ca="1"/>
        <v>Suzano/SP</v>
      </c>
      <c r="H187" s="210" t="str">
        <f ca="1"/>
        <v>Manutenção Corretiva em Transformadores de 88KV - KOMATSU</v>
      </c>
      <c r="I187" s="247">
        <f ca="1"/>
        <v>0</v>
      </c>
      <c r="J187" s="209">
        <f ca="1"/>
        <v>0</v>
      </c>
      <c r="K187" s="208" t="str">
        <f ca="1"/>
        <v>COMERCIAL</v>
      </c>
    </row>
    <row r="188" spans="1:11">
      <c r="A188" s="206">
        <f ca="1"/>
        <v>46267</v>
      </c>
      <c r="B188" s="207">
        <f ca="1"/>
        <v>8</v>
      </c>
      <c r="C188" s="208" t="str">
        <f ca="1"/>
        <v>🟢 RECENTE</v>
      </c>
      <c r="D188" s="208" t="str">
        <f ca="1"/>
        <v>P-10460.26</v>
      </c>
      <c r="E188" s="210" t="str">
        <f ca="1"/>
        <v>Volkswagen</v>
      </c>
      <c r="F188" s="208" t="str">
        <f ca="1"/>
        <v>EM ABERTO</v>
      </c>
      <c r="G188" s="210" t="str">
        <f ca="1"/>
        <v>São Bernardo do Campo/SP</v>
      </c>
      <c r="H188" s="210" t="str">
        <f ca="1"/>
        <v>Reparo em transformadores de Fabrica - Volkswagem</v>
      </c>
      <c r="I188" s="247">
        <f ca="1"/>
        <v>0</v>
      </c>
      <c r="J188" s="209">
        <f ca="1"/>
        <v>0</v>
      </c>
      <c r="K188" s="208" t="str">
        <f ca="1"/>
        <v>COMERCIAL</v>
      </c>
    </row>
    <row r="189" spans="1:11">
      <c r="A189" s="206">
        <f ca="1"/>
        <v>46273</v>
      </c>
      <c r="B189" s="207">
        <f ca="1"/>
        <v>2</v>
      </c>
      <c r="C189" s="208" t="str">
        <f ca="1"/>
        <v>🟢 RECENTE</v>
      </c>
      <c r="D189" s="208" t="str">
        <f ca="1"/>
        <v>P-10478.26</v>
      </c>
      <c r="E189" s="210" t="str">
        <f ca="1"/>
        <v>WEG</v>
      </c>
      <c r="F189" s="208" t="str">
        <f ca="1"/>
        <v>EM ABERTO</v>
      </c>
      <c r="G189" s="210" t="str">
        <f ca="1"/>
        <v>Canoas/RS</v>
      </c>
      <c r="H189" s="210" t="str">
        <f ca="1"/>
        <v>Montagem Completa de 01 transformador de 230KV - CPFL</v>
      </c>
      <c r="I189" s="247">
        <f ca="1"/>
        <v>323875</v>
      </c>
      <c r="J189" s="209">
        <f ca="1"/>
        <v>0.25</v>
      </c>
      <c r="K189" s="208" t="str">
        <f ca="1"/>
        <v>COMERCIAL</v>
      </c>
    </row>
    <row r="190" spans="1:11">
      <c r="A190" s="206">
        <f ca="1"/>
        <v>46274</v>
      </c>
      <c r="B190" s="207">
        <f ca="1"/>
        <v>1</v>
      </c>
      <c r="C190" s="208" t="str">
        <f ca="1"/>
        <v>🟢 RECENTE</v>
      </c>
      <c r="D190" s="208" t="str">
        <f ca="1"/>
        <v>P-10486.26</v>
      </c>
      <c r="E190" s="210" t="str">
        <f ca="1"/>
        <v>Estel</v>
      </c>
      <c r="F190" s="208" t="str">
        <f ca="1"/>
        <v>EM ABERTO</v>
      </c>
      <c r="G190" s="210" t="str">
        <f ca="1"/>
        <v>Vitoria/ES</v>
      </c>
      <c r="H190" s="210" t="str">
        <f ca="1"/>
        <v>Remoção de Gás e tratamento de óleo em transformadores de AT - VALE</v>
      </c>
      <c r="I190" s="247">
        <f ca="1"/>
        <v>691130</v>
      </c>
      <c r="J190" s="209">
        <f ca="1"/>
        <v>0.25</v>
      </c>
      <c r="K190" s="208" t="str">
        <f ca="1"/>
        <v>COMERCIAL</v>
      </c>
    </row>
    <row r="191" spans="1:11">
      <c r="A191" s="206">
        <f ca="1"/>
        <v>119306</v>
      </c>
      <c r="B191" s="207">
        <f ca="1"/>
        <v>-73031</v>
      </c>
      <c r="C191" s="208" t="str">
        <f ca="1"/>
        <v>⚠ DATA INVÁLIDA</v>
      </c>
      <c r="D191" s="208" t="str">
        <f ca="1"/>
        <v>P-10385.26</v>
      </c>
      <c r="E191" s="210" t="str">
        <f ca="1"/>
        <v>Volkswagen</v>
      </c>
      <c r="F191" s="208" t="str">
        <f ca="1"/>
        <v>EM ABERTO</v>
      </c>
      <c r="G191" s="210" t="str">
        <f ca="1"/>
        <v>São Bernardo do Campo/SP</v>
      </c>
      <c r="H191" s="210" t="str">
        <f ca="1"/>
        <v>Fornecimento de Novo Transformador - VOLKSWAGEN</v>
      </c>
      <c r="I191" s="247">
        <f ca="1"/>
        <v>0</v>
      </c>
      <c r="J191" s="209">
        <f ca="1"/>
        <v>0</v>
      </c>
      <c r="K191" s="208" t="str">
        <f ca="1"/>
        <v>COMERCIAL</v>
      </c>
    </row>
    <row r="192" spans="1:11">
      <c r="A192" s="206" t="str">
        <f ca="1"/>
        <v>24/08/0026</v>
      </c>
      <c r="B192" s="207" t="e">
        <f ca="1"/>
        <v>#VALUE!</v>
      </c>
      <c r="C192" s="208" t="e">
        <f ca="1"/>
        <v>#VALUE!</v>
      </c>
      <c r="D192" s="208" t="str">
        <f ca="1"/>
        <v>P-10399.26</v>
      </c>
      <c r="E192" s="210" t="str">
        <f ca="1"/>
        <v>PROMON ENGENHARIA</v>
      </c>
      <c r="F192" s="208" t="str">
        <f ca="1"/>
        <v>EM ABERTO</v>
      </c>
      <c r="G192" s="210" t="str">
        <f ca="1"/>
        <v>Camaçari/BA</v>
      </c>
      <c r="H192" s="210" t="str">
        <f ca="1"/>
        <v>Inspeção e Ensaios Elétricos em transformadores de AT</v>
      </c>
      <c r="I192" s="247">
        <f ca="1"/>
        <v>189514</v>
      </c>
      <c r="J192" s="209">
        <f ca="1"/>
        <v>0.3</v>
      </c>
      <c r="K192" s="208" t="str">
        <f ca="1"/>
        <v>COMERCIAL</v>
      </c>
    </row>
    <row r="193" spans="1:11">
      <c r="A193" s="206"/>
      <c r="B193" s="207"/>
      <c r="C193" s="208"/>
      <c r="D193" s="208"/>
      <c r="E193" s="210"/>
      <c r="F193" s="208"/>
      <c r="G193" s="210"/>
      <c r="H193" s="210"/>
      <c r="I193" s="247"/>
      <c r="J193" s="209"/>
      <c r="K193" s="208"/>
    </row>
    <row r="194" spans="1:11">
      <c r="A194" s="206"/>
      <c r="B194" s="207"/>
      <c r="C194" s="208"/>
      <c r="D194" s="208"/>
      <c r="E194" s="210"/>
      <c r="F194" s="208"/>
      <c r="G194" s="210"/>
      <c r="H194" s="210"/>
      <c r="I194" s="247"/>
      <c r="J194" s="209"/>
      <c r="K194" s="208"/>
    </row>
    <row r="195" spans="1:11">
      <c r="A195" s="206"/>
      <c r="B195" s="207"/>
      <c r="C195" s="208"/>
      <c r="D195" s="208"/>
      <c r="E195" s="210"/>
      <c r="F195" s="208"/>
      <c r="G195" s="210"/>
      <c r="H195" s="210"/>
      <c r="I195" s="247"/>
      <c r="J195" s="209"/>
      <c r="K195" s="208"/>
    </row>
    <row r="196" spans="1:11">
      <c r="A196" s="206"/>
      <c r="B196" s="207"/>
      <c r="C196" s="208"/>
      <c r="D196" s="208"/>
      <c r="E196" s="210"/>
      <c r="F196" s="208"/>
      <c r="G196" s="210"/>
      <c r="H196" s="210"/>
      <c r="I196" s="247"/>
      <c r="J196" s="209"/>
      <c r="K196" s="208"/>
    </row>
    <row r="197" spans="1:11">
      <c r="A197" s="206"/>
      <c r="B197" s="207"/>
      <c r="C197" s="208"/>
      <c r="D197" s="208"/>
      <c r="E197" s="210"/>
      <c r="F197" s="208"/>
      <c r="G197" s="210"/>
      <c r="H197" s="210"/>
      <c r="I197" s="247"/>
      <c r="J197" s="209"/>
      <c r="K197" s="208"/>
    </row>
    <row r="198" spans="1:11">
      <c r="A198" s="206"/>
      <c r="B198" s="207"/>
      <c r="C198" s="208"/>
      <c r="D198" s="208"/>
      <c r="E198" s="210"/>
      <c r="F198" s="208"/>
      <c r="G198" s="210"/>
      <c r="H198" s="210"/>
      <c r="I198" s="247"/>
      <c r="J198" s="209"/>
      <c r="K198" s="208"/>
    </row>
    <row r="199" spans="1:11">
      <c r="A199" s="206"/>
      <c r="B199" s="207"/>
      <c r="C199" s="208"/>
      <c r="D199" s="208"/>
      <c r="E199" s="210"/>
      <c r="F199" s="208"/>
      <c r="G199" s="210"/>
      <c r="H199" s="210"/>
      <c r="I199" s="247"/>
      <c r="J199" s="209"/>
      <c r="K199" s="208"/>
    </row>
    <row r="200" spans="1:11">
      <c r="A200" s="206"/>
      <c r="B200" s="207"/>
      <c r="C200" s="208"/>
      <c r="D200" s="208"/>
      <c r="E200" s="210"/>
      <c r="F200" s="208"/>
      <c r="G200" s="210"/>
      <c r="H200" s="210"/>
      <c r="I200" s="247"/>
      <c r="J200" s="209"/>
      <c r="K200" s="208"/>
    </row>
  </sheetData>
  <conditionalFormatting sqref="A20:K200">
    <cfRule type="expression" dxfId="5" priority="1">
      <formula>ISNUMBER(SEARCH("PARADO",$C20))</formula>
    </cfRule>
    <cfRule type="expression" dxfId="4" priority="2">
      <formula>ISNUMBER(SEARCH("ATENÇÃO",$C20))</formula>
    </cfRule>
    <cfRule type="expression" dxfId="3" priority="3">
      <formula>ISNUMBER(SEARCH("MORNO",$C20))</formula>
    </cfRule>
    <cfRule type="expression" dxfId="2" priority="4">
      <formula>ISNUMBER(SEARCH("RECENTE",$C20))</formula>
    </cfRule>
    <cfRule type="expression" dxfId="1" priority="5">
      <formula>ISNUMBER(SEARCH("INVÁLIDA",$C20))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79" t="s">
        <v>0</v>
      </c>
      <c r="E1" s="280"/>
      <c r="F1" s="280"/>
      <c r="G1" s="281"/>
      <c r="I1" s="279" t="s">
        <v>1</v>
      </c>
      <c r="J1" s="280"/>
      <c r="K1" s="280"/>
      <c r="L1" s="281"/>
      <c r="N1" s="279" t="s">
        <v>2</v>
      </c>
      <c r="O1" s="280"/>
      <c r="P1" s="280"/>
      <c r="Q1" s="281"/>
      <c r="S1" s="279" t="s">
        <v>3</v>
      </c>
      <c r="T1" s="280"/>
      <c r="U1" s="280"/>
      <c r="V1" s="281"/>
      <c r="X1" s="279" t="s">
        <v>4</v>
      </c>
      <c r="Y1" s="280"/>
      <c r="Z1" s="280"/>
      <c r="AA1" s="281"/>
      <c r="AC1" s="279" t="s">
        <v>5</v>
      </c>
      <c r="AD1" s="280"/>
      <c r="AE1" s="280"/>
      <c r="AF1" s="281"/>
      <c r="AH1" s="279" t="s">
        <v>6</v>
      </c>
      <c r="AI1" s="280"/>
      <c r="AJ1" s="280"/>
      <c r="AK1" s="281"/>
      <c r="AM1" s="279" t="s">
        <v>7</v>
      </c>
      <c r="AN1" s="280"/>
      <c r="AO1" s="280"/>
      <c r="AP1" s="281"/>
      <c r="AR1" s="279" t="s">
        <v>8</v>
      </c>
      <c r="AS1" s="280"/>
      <c r="AT1" s="280"/>
      <c r="AU1" s="281"/>
      <c r="AW1" s="279" t="s">
        <v>9</v>
      </c>
      <c r="AX1" s="280"/>
      <c r="AY1" s="280"/>
      <c r="AZ1" s="281"/>
      <c r="BB1" s="289" t="s">
        <v>10</v>
      </c>
      <c r="BC1" s="290"/>
      <c r="BD1" s="290"/>
      <c r="BE1" s="291"/>
      <c r="BG1" s="289" t="s">
        <v>11</v>
      </c>
      <c r="BH1" s="290"/>
      <c r="BI1" s="290"/>
      <c r="BJ1" s="291"/>
      <c r="BL1" s="289" t="s">
        <v>12</v>
      </c>
      <c r="BM1" s="290"/>
      <c r="BN1" s="290"/>
      <c r="BO1" s="291"/>
      <c r="BQ1" s="279" t="s">
        <v>13</v>
      </c>
      <c r="BR1" s="280"/>
      <c r="BS1" s="280"/>
      <c r="BT1" s="281"/>
      <c r="BV1" s="289" t="s">
        <v>14</v>
      </c>
      <c r="BW1" s="290"/>
      <c r="BX1" s="290"/>
      <c r="BY1" s="291"/>
      <c r="CA1" s="289" t="s">
        <v>15</v>
      </c>
      <c r="CB1" s="290"/>
      <c r="CC1" s="290"/>
      <c r="CD1" s="291"/>
      <c r="CF1" s="289" t="s">
        <v>16</v>
      </c>
      <c r="CG1" s="290"/>
      <c r="CH1" s="290"/>
      <c r="CI1" s="291"/>
      <c r="CK1" s="289" t="s">
        <v>17</v>
      </c>
      <c r="CL1" s="290"/>
      <c r="CM1" s="290"/>
      <c r="CN1" s="291"/>
      <c r="CP1" s="289" t="s">
        <v>18</v>
      </c>
      <c r="CQ1" s="290"/>
      <c r="CR1" s="290"/>
      <c r="CS1" s="291"/>
      <c r="CU1" s="289" t="s">
        <v>19</v>
      </c>
      <c r="CV1" s="290"/>
      <c r="CW1" s="290"/>
      <c r="CX1" s="291"/>
      <c r="CZ1" s="289" t="s">
        <v>20</v>
      </c>
      <c r="DA1" s="290"/>
      <c r="DB1" s="290"/>
      <c r="DC1" s="291"/>
      <c r="DE1" s="289" t="s">
        <v>21</v>
      </c>
      <c r="DF1" s="290"/>
      <c r="DG1" s="290"/>
      <c r="DH1" s="291"/>
      <c r="DJ1" s="289" t="s">
        <v>22</v>
      </c>
      <c r="DK1" s="290"/>
      <c r="DL1" s="290"/>
      <c r="DM1" s="291"/>
      <c r="DO1" s="295" t="s">
        <v>23</v>
      </c>
      <c r="DP1" s="296"/>
      <c r="DQ1" s="296"/>
      <c r="DR1" s="297"/>
      <c r="DT1" s="289" t="s">
        <v>24</v>
      </c>
      <c r="DU1" s="290"/>
      <c r="DV1" s="290"/>
      <c r="DW1" s="291"/>
      <c r="DZ1" s="289" t="s">
        <v>25</v>
      </c>
      <c r="EA1" s="290"/>
      <c r="EB1" s="290"/>
      <c r="EC1" s="291"/>
      <c r="EE1" s="289" t="s">
        <v>26</v>
      </c>
      <c r="EF1" s="290"/>
      <c r="EG1" s="290"/>
      <c r="EH1" s="291"/>
      <c r="EJ1" s="295" t="s">
        <v>27</v>
      </c>
      <c r="EK1" s="296"/>
      <c r="EL1" s="296"/>
      <c r="EM1" s="297"/>
      <c r="EO1" s="295" t="s">
        <v>28</v>
      </c>
      <c r="EP1" s="296"/>
      <c r="EQ1" s="296"/>
      <c r="ER1" s="296"/>
      <c r="ES1" s="296"/>
      <c r="ET1" s="296"/>
      <c r="EU1" s="296"/>
      <c r="EW1" s="295" t="s">
        <v>29</v>
      </c>
      <c r="EX1" s="296"/>
      <c r="EY1" s="296"/>
      <c r="EZ1" s="297"/>
      <c r="FB1" s="295" t="s">
        <v>30</v>
      </c>
      <c r="FC1" s="296"/>
      <c r="FD1" s="296"/>
      <c r="FE1" s="297"/>
      <c r="FG1" s="295" t="s">
        <v>31</v>
      </c>
      <c r="FH1" s="296"/>
      <c r="FI1" s="296"/>
      <c r="FJ1" s="297"/>
      <c r="FL1" s="295" t="s">
        <v>32</v>
      </c>
      <c r="FM1" s="296"/>
      <c r="FN1" s="296"/>
      <c r="FO1" s="297"/>
      <c r="FQ1" s="295" t="s">
        <v>33</v>
      </c>
      <c r="FR1" s="296"/>
      <c r="FS1" s="296"/>
      <c r="FT1" s="297"/>
      <c r="FV1" s="295" t="s">
        <v>34</v>
      </c>
      <c r="FW1" s="296"/>
      <c r="FX1" s="296"/>
      <c r="FY1" s="297"/>
      <c r="GA1" s="295" t="s">
        <v>35</v>
      </c>
      <c r="GB1" s="296"/>
      <c r="GC1" s="296"/>
      <c r="GD1" s="296"/>
      <c r="GE1" s="296"/>
      <c r="GF1" s="296"/>
      <c r="GG1" s="297"/>
      <c r="GI1" s="306" t="s">
        <v>36</v>
      </c>
      <c r="GJ1" s="307"/>
      <c r="GK1" s="307"/>
      <c r="GL1" s="307"/>
      <c r="GN1" s="295" t="s">
        <v>37</v>
      </c>
      <c r="GO1" s="296"/>
      <c r="GP1" s="296"/>
      <c r="GQ1" s="297"/>
      <c r="GS1" s="295" t="s">
        <v>38</v>
      </c>
      <c r="GT1" s="296"/>
      <c r="GU1" s="296"/>
      <c r="GV1" s="296"/>
      <c r="GW1" s="297"/>
      <c r="GY1" s="289" t="s">
        <v>39</v>
      </c>
      <c r="GZ1" s="290"/>
      <c r="HA1" s="290"/>
      <c r="HB1" s="291"/>
      <c r="HD1" s="295" t="s">
        <v>40</v>
      </c>
      <c r="HE1" s="296"/>
      <c r="HF1" s="296"/>
      <c r="HG1" s="297"/>
      <c r="HI1" s="295" t="s">
        <v>41</v>
      </c>
      <c r="HJ1" s="296"/>
      <c r="HK1" s="296"/>
      <c r="HL1" s="297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82" t="s">
        <v>42</v>
      </c>
      <c r="E3" s="283"/>
      <c r="F3" s="283"/>
      <c r="G3" s="284"/>
      <c r="I3" s="282" t="s">
        <v>43</v>
      </c>
      <c r="J3" s="283"/>
      <c r="K3" s="283"/>
      <c r="L3" s="284"/>
      <c r="N3" s="282" t="s">
        <v>44</v>
      </c>
      <c r="O3" s="283"/>
      <c r="P3" s="283"/>
      <c r="Q3" s="284"/>
      <c r="S3" s="282" t="s">
        <v>45</v>
      </c>
      <c r="T3" s="283"/>
      <c r="U3" s="283"/>
      <c r="V3" s="284"/>
      <c r="X3" s="282" t="s">
        <v>46</v>
      </c>
      <c r="Y3" s="283"/>
      <c r="Z3" s="283"/>
      <c r="AA3" s="284"/>
      <c r="AC3" s="282" t="s">
        <v>47</v>
      </c>
      <c r="AD3" s="283"/>
      <c r="AE3" s="283"/>
      <c r="AF3" s="284"/>
      <c r="AH3" s="282" t="s">
        <v>48</v>
      </c>
      <c r="AI3" s="283"/>
      <c r="AJ3" s="283"/>
      <c r="AK3" s="284"/>
      <c r="AM3" s="282" t="s">
        <v>49</v>
      </c>
      <c r="AN3" s="283"/>
      <c r="AO3" s="283"/>
      <c r="AP3" s="284"/>
      <c r="AR3" s="282" t="s">
        <v>50</v>
      </c>
      <c r="AS3" s="283"/>
      <c r="AT3" s="283"/>
      <c r="AU3" s="284"/>
      <c r="AW3" s="282" t="s">
        <v>51</v>
      </c>
      <c r="AX3" s="283"/>
      <c r="AY3" s="283"/>
      <c r="AZ3" s="284"/>
      <c r="BB3" s="102"/>
      <c r="BC3" s="292" t="s">
        <v>52</v>
      </c>
      <c r="BD3" s="293"/>
      <c r="BE3" s="85"/>
      <c r="BG3" s="102"/>
      <c r="BH3" s="292" t="s">
        <v>53</v>
      </c>
      <c r="BI3" s="293"/>
      <c r="BJ3" s="85"/>
      <c r="BL3" s="102"/>
      <c r="BM3" s="292" t="s">
        <v>54</v>
      </c>
      <c r="BN3" s="293"/>
      <c r="BO3" s="85"/>
      <c r="BQ3" s="282" t="s">
        <v>55</v>
      </c>
      <c r="BR3" s="283"/>
      <c r="BS3" s="283"/>
      <c r="BT3" s="284"/>
      <c r="BV3" s="102"/>
      <c r="BW3" s="292" t="s">
        <v>56</v>
      </c>
      <c r="BX3" s="293"/>
      <c r="BY3" s="85"/>
      <c r="CA3" s="102"/>
      <c r="CB3" s="292" t="s">
        <v>57</v>
      </c>
      <c r="CC3" s="293"/>
      <c r="CD3" s="85"/>
      <c r="CF3" s="102"/>
      <c r="CG3" s="292" t="s">
        <v>58</v>
      </c>
      <c r="CH3" s="293"/>
      <c r="CI3" s="85"/>
      <c r="CK3" s="102"/>
      <c r="CL3" s="292" t="s">
        <v>59</v>
      </c>
      <c r="CM3" s="293"/>
      <c r="CN3" s="85"/>
      <c r="CP3" s="102"/>
      <c r="CQ3" s="292" t="s">
        <v>60</v>
      </c>
      <c r="CR3" s="293"/>
      <c r="CS3" s="85"/>
      <c r="CU3" s="102"/>
      <c r="CV3" s="292" t="s">
        <v>61</v>
      </c>
      <c r="CW3" s="293"/>
      <c r="CX3" s="85"/>
      <c r="CZ3" s="102"/>
      <c r="DA3" s="292" t="s">
        <v>62</v>
      </c>
      <c r="DB3" s="293"/>
      <c r="DC3" s="85"/>
      <c r="DE3" s="102"/>
      <c r="DF3" s="292" t="s">
        <v>63</v>
      </c>
      <c r="DG3" s="293"/>
      <c r="DH3" s="85"/>
      <c r="DJ3" s="102"/>
      <c r="DK3" s="292" t="s">
        <v>64</v>
      </c>
      <c r="DL3" s="293"/>
      <c r="DM3" s="85"/>
      <c r="DO3" s="102"/>
      <c r="DP3" s="283" t="s">
        <v>65</v>
      </c>
      <c r="DQ3" s="283"/>
      <c r="DR3" s="103"/>
      <c r="DT3" s="102"/>
      <c r="DU3" s="292" t="s">
        <v>66</v>
      </c>
      <c r="DV3" s="293"/>
      <c r="DW3" s="85"/>
      <c r="DZ3" s="102"/>
      <c r="EA3" s="292" t="s">
        <v>47</v>
      </c>
      <c r="EB3" s="293"/>
      <c r="EC3" s="85"/>
      <c r="EE3" s="102"/>
      <c r="EF3" s="292" t="s">
        <v>47</v>
      </c>
      <c r="EG3" s="293"/>
      <c r="EH3" s="85"/>
      <c r="EJ3" s="102"/>
      <c r="EK3" s="283" t="s">
        <v>67</v>
      </c>
      <c r="EL3" s="283"/>
      <c r="EM3" s="103"/>
      <c r="EO3" s="102"/>
      <c r="EP3" s="283" t="s">
        <v>68</v>
      </c>
      <c r="EQ3" s="283"/>
      <c r="ER3" s="283"/>
      <c r="ES3" s="283"/>
      <c r="ET3" s="283"/>
      <c r="EU3" s="103"/>
      <c r="EW3" s="102"/>
      <c r="EX3" s="283" t="s">
        <v>69</v>
      </c>
      <c r="EY3" s="283"/>
      <c r="EZ3" s="103"/>
      <c r="FB3" s="102"/>
      <c r="FC3" s="283" t="s">
        <v>70</v>
      </c>
      <c r="FD3" s="283"/>
      <c r="FE3" s="103"/>
      <c r="FG3" s="102"/>
      <c r="FH3" s="292" t="s">
        <v>71</v>
      </c>
      <c r="FI3" s="293"/>
      <c r="FJ3" s="103"/>
      <c r="FL3" s="102"/>
      <c r="FM3" s="292" t="s">
        <v>72</v>
      </c>
      <c r="FN3" s="293"/>
      <c r="FO3" s="103"/>
      <c r="FQ3" s="102"/>
      <c r="FR3" s="292" t="s">
        <v>73</v>
      </c>
      <c r="FS3" s="293"/>
      <c r="FT3" s="85"/>
      <c r="FV3" s="102"/>
      <c r="FW3" s="292" t="s">
        <v>74</v>
      </c>
      <c r="FX3" s="293"/>
      <c r="FY3" s="103"/>
      <c r="GA3" s="282" t="s">
        <v>75</v>
      </c>
      <c r="GB3" s="283"/>
      <c r="GC3" s="283"/>
      <c r="GD3" s="283"/>
      <c r="GE3" s="283"/>
      <c r="GF3" s="283"/>
      <c r="GG3" s="284"/>
      <c r="GI3" s="102"/>
      <c r="GJ3" s="292" t="s">
        <v>72</v>
      </c>
      <c r="GK3" s="293"/>
      <c r="GL3" s="103"/>
      <c r="GN3" s="102"/>
      <c r="GO3" s="292" t="s">
        <v>72</v>
      </c>
      <c r="GP3" s="293"/>
      <c r="GQ3" s="103"/>
      <c r="GS3" s="102"/>
      <c r="GT3" s="292" t="s">
        <v>76</v>
      </c>
      <c r="GU3" s="293"/>
      <c r="GV3" s="104"/>
      <c r="GW3" s="85" t="s">
        <v>77</v>
      </c>
      <c r="GY3" s="102"/>
      <c r="GZ3" s="292" t="s">
        <v>78</v>
      </c>
      <c r="HA3" s="293"/>
      <c r="HB3" s="85"/>
      <c r="HD3" s="102"/>
      <c r="HE3" s="292" t="s">
        <v>79</v>
      </c>
      <c r="HF3" s="304"/>
      <c r="HG3" s="305"/>
      <c r="HI3" s="102"/>
      <c r="HJ3" s="292" t="s">
        <v>80</v>
      </c>
      <c r="HK3" s="293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85" t="s">
        <v>82</v>
      </c>
      <c r="F5" s="286"/>
      <c r="G5" s="21"/>
      <c r="I5" s="10"/>
      <c r="J5" s="285" t="s">
        <v>82</v>
      </c>
      <c r="K5" s="286"/>
      <c r="L5" s="21"/>
      <c r="N5" s="10"/>
      <c r="O5" s="285" t="s">
        <v>82</v>
      </c>
      <c r="P5" s="286"/>
      <c r="Q5" s="21"/>
      <c r="S5" s="10"/>
      <c r="T5" s="285" t="s">
        <v>82</v>
      </c>
      <c r="U5" s="286"/>
      <c r="V5" s="21"/>
      <c r="X5" s="10"/>
      <c r="Y5" s="285" t="s">
        <v>82</v>
      </c>
      <c r="Z5" s="286"/>
      <c r="AA5" s="21"/>
      <c r="AC5" s="10"/>
      <c r="AD5" s="285" t="s">
        <v>82</v>
      </c>
      <c r="AE5" s="286"/>
      <c r="AF5" s="21"/>
      <c r="AH5" s="10"/>
      <c r="AI5" s="285" t="s">
        <v>82</v>
      </c>
      <c r="AJ5" s="286"/>
      <c r="AK5" s="21"/>
      <c r="AM5" s="10"/>
      <c r="AN5" s="285" t="s">
        <v>82</v>
      </c>
      <c r="AO5" s="286"/>
      <c r="AP5" s="21"/>
      <c r="AR5" s="10"/>
      <c r="AS5" s="285" t="s">
        <v>82</v>
      </c>
      <c r="AT5" s="286"/>
      <c r="AU5" s="21"/>
      <c r="AW5" s="10"/>
      <c r="AX5" s="285" t="s">
        <v>82</v>
      </c>
      <c r="AY5" s="286"/>
      <c r="AZ5" s="21"/>
      <c r="BB5" s="10"/>
      <c r="BC5" s="285" t="s">
        <v>82</v>
      </c>
      <c r="BD5" s="286"/>
      <c r="BE5" s="21"/>
      <c r="BG5" s="10"/>
      <c r="BH5" s="285" t="s">
        <v>82</v>
      </c>
      <c r="BI5" s="286"/>
      <c r="BJ5" s="21"/>
      <c r="BL5" s="10"/>
      <c r="BM5" s="285" t="s">
        <v>82</v>
      </c>
      <c r="BN5" s="286"/>
      <c r="BO5" s="21"/>
      <c r="BQ5" s="10"/>
      <c r="BR5" s="300" t="s">
        <v>82</v>
      </c>
      <c r="BS5" s="301"/>
      <c r="BT5" s="21"/>
      <c r="BV5" s="10"/>
      <c r="BW5" s="285" t="s">
        <v>82</v>
      </c>
      <c r="BX5" s="286"/>
      <c r="BY5" s="21"/>
      <c r="CA5" s="10"/>
      <c r="CB5" s="285" t="s">
        <v>82</v>
      </c>
      <c r="CC5" s="286"/>
      <c r="CD5" s="21"/>
      <c r="CF5" s="10"/>
      <c r="CG5" s="285" t="s">
        <v>82</v>
      </c>
      <c r="CH5" s="286"/>
      <c r="CI5" s="21"/>
      <c r="CK5" s="10"/>
      <c r="CL5" s="285" t="s">
        <v>82</v>
      </c>
      <c r="CM5" s="286"/>
      <c r="CN5" s="21"/>
      <c r="CP5" s="10"/>
      <c r="CQ5" s="285" t="s">
        <v>82</v>
      </c>
      <c r="CR5" s="286"/>
      <c r="CS5" s="21"/>
      <c r="CU5" s="10"/>
      <c r="CV5" s="285" t="s">
        <v>82</v>
      </c>
      <c r="CW5" s="286"/>
      <c r="CX5" s="21"/>
      <c r="CZ5" s="10"/>
      <c r="DA5" s="300" t="s">
        <v>82</v>
      </c>
      <c r="DB5" s="301"/>
      <c r="DC5" s="21"/>
      <c r="DE5" s="10"/>
      <c r="DF5" s="285" t="s">
        <v>82</v>
      </c>
      <c r="DG5" s="286"/>
      <c r="DH5" s="21"/>
      <c r="DJ5" s="10"/>
      <c r="DK5" s="285" t="s">
        <v>82</v>
      </c>
      <c r="DL5" s="286"/>
      <c r="DM5" s="21"/>
      <c r="DO5" s="10"/>
      <c r="DP5" s="285" t="s">
        <v>83</v>
      </c>
      <c r="DQ5" s="286"/>
      <c r="DR5" s="21"/>
      <c r="DT5" s="10"/>
      <c r="DU5" s="285" t="s">
        <v>82</v>
      </c>
      <c r="DV5" s="286"/>
      <c r="DW5" s="21"/>
      <c r="DZ5" s="10"/>
      <c r="EA5" s="285" t="s">
        <v>82</v>
      </c>
      <c r="EB5" s="286"/>
      <c r="EC5" s="21"/>
      <c r="EE5" s="10"/>
      <c r="EF5" s="285" t="s">
        <v>82</v>
      </c>
      <c r="EG5" s="286"/>
      <c r="EH5" s="21"/>
      <c r="EJ5" s="10"/>
      <c r="EK5" s="285" t="s">
        <v>83</v>
      </c>
      <c r="EL5" s="286"/>
      <c r="EM5" s="21"/>
      <c r="EO5" s="10"/>
      <c r="EP5" s="285" t="s">
        <v>83</v>
      </c>
      <c r="EQ5" s="286"/>
      <c r="ER5" s="2"/>
      <c r="ES5" s="285" t="s">
        <v>83</v>
      </c>
      <c r="ET5" s="286"/>
      <c r="EU5" s="21"/>
      <c r="EW5" s="10"/>
      <c r="EX5" s="285" t="s">
        <v>83</v>
      </c>
      <c r="EY5" s="286"/>
      <c r="EZ5" s="21"/>
      <c r="FB5" s="10"/>
      <c r="FC5" s="285" t="s">
        <v>83</v>
      </c>
      <c r="FD5" s="286"/>
      <c r="FE5" s="21"/>
      <c r="FG5" s="10"/>
      <c r="FH5" s="285" t="s">
        <v>84</v>
      </c>
      <c r="FI5" s="286"/>
      <c r="FJ5" s="21"/>
      <c r="FL5" s="10"/>
      <c r="FM5" s="285" t="s">
        <v>84</v>
      </c>
      <c r="FN5" s="286"/>
      <c r="FO5" s="21"/>
      <c r="FQ5" s="10"/>
      <c r="FR5" s="285" t="s">
        <v>84</v>
      </c>
      <c r="FS5" s="286"/>
      <c r="FT5" s="21"/>
      <c r="FV5" s="10"/>
      <c r="FW5" s="285" t="s">
        <v>84</v>
      </c>
      <c r="FX5" s="286"/>
      <c r="FY5" s="21"/>
      <c r="GA5" s="10"/>
      <c r="GB5" s="285" t="s">
        <v>85</v>
      </c>
      <c r="GC5" s="286"/>
      <c r="GD5" s="2"/>
      <c r="GE5" s="2"/>
      <c r="GF5" s="22"/>
      <c r="GG5" s="4"/>
      <c r="GI5" s="10"/>
      <c r="GJ5" s="285" t="s">
        <v>84</v>
      </c>
      <c r="GK5" s="286"/>
      <c r="GL5" s="21"/>
      <c r="GN5" s="10"/>
      <c r="GO5" s="285" t="s">
        <v>84</v>
      </c>
      <c r="GP5" s="286"/>
      <c r="GQ5" s="21"/>
      <c r="GS5" s="10"/>
      <c r="GT5" s="285" t="s">
        <v>84</v>
      </c>
      <c r="GU5" s="286"/>
      <c r="GV5" s="2"/>
      <c r="GW5" s="4"/>
      <c r="GY5" s="10"/>
      <c r="GZ5" s="285" t="s">
        <v>82</v>
      </c>
      <c r="HA5" s="286"/>
      <c r="HB5" s="21"/>
      <c r="HD5" s="10"/>
      <c r="HE5" s="285" t="s">
        <v>82</v>
      </c>
      <c r="HF5" s="286"/>
      <c r="HG5" s="21"/>
      <c r="HI5" s="10"/>
      <c r="HJ5" s="285" t="s">
        <v>82</v>
      </c>
      <c r="HK5" s="286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69" t="s">
        <v>97</v>
      </c>
      <c r="GF6" s="309"/>
      <c r="GG6" s="31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314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71"/>
      <c r="GF7" s="275"/>
      <c r="GG7" s="31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315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71"/>
      <c r="GF8" s="275"/>
      <c r="GG8" s="31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315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71"/>
      <c r="GF9" s="275"/>
      <c r="GG9" s="31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315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71"/>
      <c r="GF10" s="275"/>
      <c r="GG10" s="31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316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71"/>
      <c r="GF11" s="275"/>
      <c r="GG11" s="31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71"/>
      <c r="GF12" s="275"/>
      <c r="GG12" s="31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71"/>
      <c r="GF13" s="275"/>
      <c r="GG13" s="31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69" t="s">
        <v>245</v>
      </c>
      <c r="F14" s="270"/>
      <c r="G14" s="4"/>
      <c r="I14" s="10"/>
      <c r="J14" s="269" t="s">
        <v>246</v>
      </c>
      <c r="K14" s="270"/>
      <c r="L14" s="4"/>
      <c r="N14" s="10"/>
      <c r="O14" s="269" t="s">
        <v>247</v>
      </c>
      <c r="P14" s="270"/>
      <c r="Q14" s="4"/>
      <c r="S14" s="10"/>
      <c r="T14" s="269" t="s">
        <v>248</v>
      </c>
      <c r="U14" s="270"/>
      <c r="V14" s="4"/>
      <c r="X14" s="10"/>
      <c r="Y14" s="269" t="s">
        <v>249</v>
      </c>
      <c r="Z14" s="270"/>
      <c r="AA14" s="4"/>
      <c r="AC14" s="10"/>
      <c r="AD14" s="269" t="s">
        <v>250</v>
      </c>
      <c r="AE14" s="270"/>
      <c r="AF14" s="4"/>
      <c r="AH14" s="10"/>
      <c r="AI14" s="269" t="s">
        <v>251</v>
      </c>
      <c r="AJ14" s="270"/>
      <c r="AK14" s="4"/>
      <c r="AM14" s="10"/>
      <c r="AN14" s="269" t="s">
        <v>252</v>
      </c>
      <c r="AO14" s="270"/>
      <c r="AP14" s="4"/>
      <c r="AR14" s="10"/>
      <c r="AS14" s="269" t="s">
        <v>253</v>
      </c>
      <c r="AT14" s="270"/>
      <c r="AU14" s="4"/>
      <c r="AW14" s="10"/>
      <c r="AX14" s="269" t="s">
        <v>254</v>
      </c>
      <c r="AY14" s="270"/>
      <c r="AZ14" s="4"/>
      <c r="BB14" s="10"/>
      <c r="BC14" s="269" t="s">
        <v>255</v>
      </c>
      <c r="BD14" s="270"/>
      <c r="BE14" s="4"/>
      <c r="BG14" s="10"/>
      <c r="BH14" s="269" t="s">
        <v>256</v>
      </c>
      <c r="BI14" s="270"/>
      <c r="BJ14" s="4"/>
      <c r="BL14" s="10"/>
      <c r="BM14" s="269" t="s">
        <v>257</v>
      </c>
      <c r="BN14" s="270"/>
      <c r="BO14" s="4"/>
      <c r="BQ14" s="10"/>
      <c r="BR14" s="269" t="s">
        <v>258</v>
      </c>
      <c r="BS14" s="270"/>
      <c r="BT14" s="4"/>
      <c r="BV14" s="10"/>
      <c r="BW14" s="269" t="s">
        <v>259</v>
      </c>
      <c r="BX14" s="270"/>
      <c r="BY14" s="4"/>
      <c r="CA14" s="10"/>
      <c r="CB14" s="269" t="s">
        <v>260</v>
      </c>
      <c r="CC14" s="270"/>
      <c r="CD14" s="4"/>
      <c r="CF14" s="10"/>
      <c r="CG14" s="269" t="s">
        <v>261</v>
      </c>
      <c r="CH14" s="270"/>
      <c r="CI14" s="4"/>
      <c r="CK14" s="10"/>
      <c r="CL14" s="269" t="s">
        <v>262</v>
      </c>
      <c r="CM14" s="270"/>
      <c r="CN14" s="4"/>
      <c r="CP14" s="10"/>
      <c r="CQ14" s="269" t="s">
        <v>263</v>
      </c>
      <c r="CR14" s="270"/>
      <c r="CS14" s="4"/>
      <c r="CU14" s="10"/>
      <c r="CV14" s="269" t="s">
        <v>264</v>
      </c>
      <c r="CW14" s="270"/>
      <c r="CX14" s="4"/>
      <c r="CZ14" s="10"/>
      <c r="DA14" s="7"/>
      <c r="DB14" s="7"/>
      <c r="DC14" s="69"/>
      <c r="DE14" s="10"/>
      <c r="DF14" s="269" t="s">
        <v>265</v>
      </c>
      <c r="DG14" s="270"/>
      <c r="DH14" s="4"/>
      <c r="DJ14" s="10"/>
      <c r="DK14" s="269" t="s">
        <v>266</v>
      </c>
      <c r="DL14" s="270"/>
      <c r="DM14" s="4"/>
      <c r="DO14" s="10"/>
      <c r="DP14" s="25" t="s">
        <v>243</v>
      </c>
      <c r="DQ14" s="24">
        <v>44676</v>
      </c>
      <c r="DR14" s="4"/>
      <c r="DT14" s="10"/>
      <c r="DU14" s="269" t="s">
        <v>267</v>
      </c>
      <c r="DV14" s="270"/>
      <c r="DW14" s="4"/>
      <c r="DZ14" s="10"/>
      <c r="EA14" s="269" t="s">
        <v>268</v>
      </c>
      <c r="EB14" s="270"/>
      <c r="EC14" s="4"/>
      <c r="EE14" s="10"/>
      <c r="EF14" s="269" t="s">
        <v>269</v>
      </c>
      <c r="EG14" s="270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98"/>
      <c r="FI14" s="298"/>
      <c r="FJ14" s="4"/>
      <c r="FL14" s="10"/>
      <c r="FM14" s="298"/>
      <c r="FN14" s="298"/>
      <c r="FO14" s="4"/>
      <c r="FQ14" s="10"/>
      <c r="FR14" s="298"/>
      <c r="FS14" s="298"/>
      <c r="FT14" s="4"/>
      <c r="FV14" s="10"/>
      <c r="FW14" s="298"/>
      <c r="FX14" s="298"/>
      <c r="FY14" s="4"/>
      <c r="GA14" s="10"/>
      <c r="GB14" s="2"/>
      <c r="GC14" s="22"/>
      <c r="GD14" s="22"/>
      <c r="GE14" s="271"/>
      <c r="GF14" s="275"/>
      <c r="GG14" s="311"/>
      <c r="GI14" s="10"/>
      <c r="GJ14" s="298"/>
      <c r="GK14" s="298"/>
      <c r="GL14" s="4"/>
      <c r="GN14" s="10"/>
      <c r="GO14" s="298"/>
      <c r="GP14" s="298"/>
      <c r="GQ14" s="4"/>
      <c r="GS14" s="10"/>
      <c r="GT14" s="298"/>
      <c r="GU14" s="29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71"/>
      <c r="F15" s="272"/>
      <c r="G15" s="21"/>
      <c r="I15" s="10"/>
      <c r="J15" s="271"/>
      <c r="K15" s="272"/>
      <c r="L15" s="21"/>
      <c r="N15" s="10"/>
      <c r="O15" s="271"/>
      <c r="P15" s="272"/>
      <c r="Q15" s="21"/>
      <c r="S15" s="10"/>
      <c r="T15" s="271"/>
      <c r="U15" s="272"/>
      <c r="V15" s="21"/>
      <c r="X15" s="10"/>
      <c r="Y15" s="271"/>
      <c r="Z15" s="272"/>
      <c r="AA15" s="21"/>
      <c r="AC15" s="10"/>
      <c r="AD15" s="271"/>
      <c r="AE15" s="272"/>
      <c r="AF15" s="21"/>
      <c r="AH15" s="10"/>
      <c r="AI15" s="271"/>
      <c r="AJ15" s="272"/>
      <c r="AK15" s="21"/>
      <c r="AM15" s="10"/>
      <c r="AN15" s="271"/>
      <c r="AO15" s="272"/>
      <c r="AP15" s="21"/>
      <c r="AR15" s="10"/>
      <c r="AS15" s="271"/>
      <c r="AT15" s="272"/>
      <c r="AU15" s="21"/>
      <c r="AW15" s="10"/>
      <c r="AX15" s="271"/>
      <c r="AY15" s="272"/>
      <c r="AZ15" s="21"/>
      <c r="BB15" s="10"/>
      <c r="BC15" s="271"/>
      <c r="BD15" s="272"/>
      <c r="BE15" s="21"/>
      <c r="BG15" s="10"/>
      <c r="BH15" s="271"/>
      <c r="BI15" s="272"/>
      <c r="BJ15" s="21"/>
      <c r="BL15" s="10"/>
      <c r="BM15" s="271"/>
      <c r="BN15" s="272"/>
      <c r="BO15" s="21"/>
      <c r="BQ15" s="10"/>
      <c r="BR15" s="271"/>
      <c r="BS15" s="272"/>
      <c r="BT15" s="21"/>
      <c r="BV15" s="10"/>
      <c r="BW15" s="271"/>
      <c r="BX15" s="272"/>
      <c r="BY15" s="21"/>
      <c r="CA15" s="10"/>
      <c r="CB15" s="271"/>
      <c r="CC15" s="272"/>
      <c r="CD15" s="21"/>
      <c r="CF15" s="10"/>
      <c r="CG15" s="271"/>
      <c r="CH15" s="272"/>
      <c r="CI15" s="21"/>
      <c r="CK15" s="10"/>
      <c r="CL15" s="271"/>
      <c r="CM15" s="272"/>
      <c r="CN15" s="21"/>
      <c r="CP15" s="10"/>
      <c r="CQ15" s="271"/>
      <c r="CR15" s="272"/>
      <c r="CS15" s="21"/>
      <c r="CU15" s="10"/>
      <c r="CV15" s="271"/>
      <c r="CW15" s="272"/>
      <c r="CX15" s="21"/>
      <c r="CZ15" s="10"/>
      <c r="DA15" s="294" t="s">
        <v>270</v>
      </c>
      <c r="DB15" s="294"/>
      <c r="DC15" s="4"/>
      <c r="DE15" s="10"/>
      <c r="DF15" s="271"/>
      <c r="DG15" s="272"/>
      <c r="DH15" s="21"/>
      <c r="DJ15" s="10"/>
      <c r="DK15" s="271"/>
      <c r="DL15" s="272"/>
      <c r="DM15" s="21"/>
      <c r="DO15" s="10"/>
      <c r="DP15" s="298"/>
      <c r="DQ15" s="298"/>
      <c r="DR15" s="21"/>
      <c r="DT15" s="10"/>
      <c r="DU15" s="271"/>
      <c r="DV15" s="272"/>
      <c r="DW15" s="21"/>
      <c r="DZ15" s="10"/>
      <c r="EA15" s="271"/>
      <c r="EB15" s="272"/>
      <c r="EC15" s="21"/>
      <c r="EE15" s="10"/>
      <c r="EF15" s="271"/>
      <c r="EG15" s="272"/>
      <c r="EH15" s="21"/>
      <c r="EJ15" s="10"/>
      <c r="EK15" s="298"/>
      <c r="EL15" s="298"/>
      <c r="EM15" s="21"/>
      <c r="EO15" s="10"/>
      <c r="EP15" s="298"/>
      <c r="EQ15" s="298"/>
      <c r="ER15" s="2"/>
      <c r="ES15" s="2"/>
      <c r="ET15" s="2"/>
      <c r="EU15" s="21"/>
      <c r="EW15" s="10"/>
      <c r="EX15" s="298"/>
      <c r="EY15" s="298"/>
      <c r="EZ15" s="21"/>
      <c r="FB15" s="10"/>
      <c r="FC15" s="298"/>
      <c r="FD15" s="298"/>
      <c r="FE15" s="21"/>
      <c r="FG15" s="10"/>
      <c r="FH15" s="269" t="s">
        <v>271</v>
      </c>
      <c r="FI15" s="270"/>
      <c r="FJ15" s="21"/>
      <c r="FL15" s="10"/>
      <c r="FM15" s="269" t="s">
        <v>272</v>
      </c>
      <c r="FN15" s="270"/>
      <c r="FO15" s="21"/>
      <c r="FQ15" s="10"/>
      <c r="FR15" s="269" t="s">
        <v>273</v>
      </c>
      <c r="FS15" s="270"/>
      <c r="FT15" s="21"/>
      <c r="FV15" s="10"/>
      <c r="FW15" s="269" t="s">
        <v>274</v>
      </c>
      <c r="FX15" s="270"/>
      <c r="FY15" s="21"/>
      <c r="GA15" s="10"/>
      <c r="GB15" s="285" t="s">
        <v>275</v>
      </c>
      <c r="GC15" s="286"/>
      <c r="GD15" s="2"/>
      <c r="GE15" s="271"/>
      <c r="GF15" s="275"/>
      <c r="GG15" s="311"/>
      <c r="GI15" s="10"/>
      <c r="GJ15" s="269" t="s">
        <v>276</v>
      </c>
      <c r="GK15" s="270"/>
      <c r="GL15" s="19"/>
      <c r="GN15" s="10"/>
      <c r="GO15" s="269" t="s">
        <v>277</v>
      </c>
      <c r="GP15" s="270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69" t="s">
        <v>279</v>
      </c>
      <c r="HK15" s="270"/>
      <c r="HL15" s="19"/>
    </row>
    <row r="16" spans="4:221" ht="24.6" customHeight="1">
      <c r="D16" s="10"/>
      <c r="E16" s="271"/>
      <c r="F16" s="272"/>
      <c r="G16" s="26"/>
      <c r="I16" s="10"/>
      <c r="J16" s="271"/>
      <c r="K16" s="272"/>
      <c r="L16" s="26"/>
      <c r="N16" s="10"/>
      <c r="O16" s="271"/>
      <c r="P16" s="272"/>
      <c r="Q16" s="26"/>
      <c r="S16" s="10"/>
      <c r="T16" s="271"/>
      <c r="U16" s="272"/>
      <c r="V16" s="26"/>
      <c r="X16" s="10"/>
      <c r="Y16" s="271"/>
      <c r="Z16" s="272"/>
      <c r="AA16" s="26"/>
      <c r="AC16" s="10"/>
      <c r="AD16" s="271"/>
      <c r="AE16" s="272"/>
      <c r="AF16" s="26"/>
      <c r="AH16" s="10"/>
      <c r="AI16" s="271"/>
      <c r="AJ16" s="272"/>
      <c r="AK16" s="26"/>
      <c r="AM16" s="10"/>
      <c r="AN16" s="271"/>
      <c r="AO16" s="272"/>
      <c r="AP16" s="26"/>
      <c r="AR16" s="10"/>
      <c r="AS16" s="271"/>
      <c r="AT16" s="272"/>
      <c r="AU16" s="26"/>
      <c r="AW16" s="10"/>
      <c r="AX16" s="271"/>
      <c r="AY16" s="272"/>
      <c r="AZ16" s="26"/>
      <c r="BB16" s="10"/>
      <c r="BC16" s="271"/>
      <c r="BD16" s="272"/>
      <c r="BE16" s="26"/>
      <c r="BG16" s="10"/>
      <c r="BH16" s="271"/>
      <c r="BI16" s="272"/>
      <c r="BJ16" s="26"/>
      <c r="BL16" s="10"/>
      <c r="BM16" s="271"/>
      <c r="BN16" s="272"/>
      <c r="BO16" s="26"/>
      <c r="BQ16" s="10"/>
      <c r="BR16" s="271"/>
      <c r="BS16" s="272"/>
      <c r="BT16" s="26"/>
      <c r="BV16" s="10"/>
      <c r="BW16" s="271"/>
      <c r="BX16" s="272"/>
      <c r="BY16" s="26"/>
      <c r="CA16" s="10"/>
      <c r="CB16" s="271"/>
      <c r="CC16" s="272"/>
      <c r="CD16" s="26"/>
      <c r="CF16" s="10"/>
      <c r="CG16" s="271"/>
      <c r="CH16" s="272"/>
      <c r="CI16" s="26"/>
      <c r="CK16" s="10"/>
      <c r="CL16" s="271"/>
      <c r="CM16" s="272"/>
      <c r="CN16" s="26"/>
      <c r="CP16" s="10"/>
      <c r="CQ16" s="271"/>
      <c r="CR16" s="272"/>
      <c r="CS16" s="26"/>
      <c r="CU16" s="10"/>
      <c r="CV16" s="271"/>
      <c r="CW16" s="272"/>
      <c r="CX16" s="26"/>
      <c r="CZ16" s="10"/>
      <c r="DA16" s="267">
        <v>638590</v>
      </c>
      <c r="DB16" s="267"/>
      <c r="DC16" s="21"/>
      <c r="DE16" s="10"/>
      <c r="DF16" s="271"/>
      <c r="DG16" s="272"/>
      <c r="DH16" s="26"/>
      <c r="DJ16" s="10"/>
      <c r="DK16" s="271"/>
      <c r="DL16" s="272"/>
      <c r="DM16" s="26"/>
      <c r="DO16" s="10"/>
      <c r="DP16" s="269" t="s">
        <v>280</v>
      </c>
      <c r="DQ16" s="270"/>
      <c r="DR16" s="19"/>
      <c r="DT16" s="10"/>
      <c r="DU16" s="271"/>
      <c r="DV16" s="272"/>
      <c r="DW16" s="26"/>
      <c r="DZ16" s="10"/>
      <c r="EA16" s="271"/>
      <c r="EB16" s="272"/>
      <c r="EC16" s="26"/>
      <c r="EE16" s="10"/>
      <c r="EF16" s="271"/>
      <c r="EG16" s="272"/>
      <c r="EH16" s="26"/>
      <c r="EJ16" s="10"/>
      <c r="EK16" s="269" t="s">
        <v>281</v>
      </c>
      <c r="EL16" s="270"/>
      <c r="EM16" s="19"/>
      <c r="EO16" s="10"/>
      <c r="EP16" s="318" t="s">
        <v>282</v>
      </c>
      <c r="EQ16" s="319"/>
      <c r="ER16" s="319"/>
      <c r="ES16" s="319"/>
      <c r="ET16" s="320"/>
      <c r="EU16" s="19"/>
      <c r="EW16" s="10"/>
      <c r="EX16" s="269" t="s">
        <v>283</v>
      </c>
      <c r="EY16" s="270"/>
      <c r="EZ16" s="19"/>
      <c r="FB16" s="10"/>
      <c r="FC16" s="269" t="s">
        <v>284</v>
      </c>
      <c r="FD16" s="270"/>
      <c r="FE16" s="19"/>
      <c r="FG16" s="10"/>
      <c r="FH16" s="271"/>
      <c r="FI16" s="272"/>
      <c r="FJ16" s="19"/>
      <c r="FL16" s="10"/>
      <c r="FM16" s="271"/>
      <c r="FN16" s="272"/>
      <c r="FO16" s="19"/>
      <c r="FQ16" s="10"/>
      <c r="FR16" s="271"/>
      <c r="FS16" s="272"/>
      <c r="FT16" s="19"/>
      <c r="FV16" s="10"/>
      <c r="FW16" s="271"/>
      <c r="FX16" s="272"/>
      <c r="FY16" s="19"/>
      <c r="GA16" s="10"/>
      <c r="GB16" s="12" t="s">
        <v>86</v>
      </c>
      <c r="GC16" s="23" t="s">
        <v>89</v>
      </c>
      <c r="GD16" s="15"/>
      <c r="GE16" s="271"/>
      <c r="GF16" s="275"/>
      <c r="GG16" s="311"/>
      <c r="GI16" s="10"/>
      <c r="GJ16" s="271"/>
      <c r="GK16" s="272"/>
      <c r="GL16" s="19"/>
      <c r="GN16" s="10"/>
      <c r="GO16" s="271"/>
      <c r="GP16" s="272"/>
      <c r="GQ16" s="19"/>
      <c r="GS16" s="10"/>
      <c r="GT16" s="285" t="s">
        <v>285</v>
      </c>
      <c r="GU16" s="286"/>
      <c r="GV16" s="15"/>
      <c r="GW16" s="4"/>
      <c r="GY16" s="10"/>
      <c r="GZ16" s="269" t="s">
        <v>286</v>
      </c>
      <c r="HA16" s="270"/>
      <c r="HB16" s="26"/>
      <c r="HD16" s="10"/>
      <c r="HE16" s="269" t="s">
        <v>287</v>
      </c>
      <c r="HF16" s="270"/>
      <c r="HG16" s="19"/>
      <c r="HI16" s="10"/>
      <c r="HJ16" s="271"/>
      <c r="HK16" s="272"/>
      <c r="HL16" s="19"/>
    </row>
    <row r="17" spans="4:220" ht="24.6" customHeight="1">
      <c r="D17" s="10"/>
      <c r="E17" s="271"/>
      <c r="F17" s="272"/>
      <c r="G17" s="26"/>
      <c r="I17" s="10"/>
      <c r="J17" s="271"/>
      <c r="K17" s="272"/>
      <c r="L17" s="26"/>
      <c r="N17" s="10"/>
      <c r="O17" s="271"/>
      <c r="P17" s="272"/>
      <c r="Q17" s="26"/>
      <c r="S17" s="10"/>
      <c r="T17" s="271"/>
      <c r="U17" s="272"/>
      <c r="V17" s="26"/>
      <c r="X17" s="10"/>
      <c r="Y17" s="271"/>
      <c r="Z17" s="272"/>
      <c r="AA17" s="26"/>
      <c r="AC17" s="10"/>
      <c r="AD17" s="271"/>
      <c r="AE17" s="272"/>
      <c r="AF17" s="26"/>
      <c r="AH17" s="10"/>
      <c r="AI17" s="271"/>
      <c r="AJ17" s="272"/>
      <c r="AK17" s="26"/>
      <c r="AM17" s="10"/>
      <c r="AN17" s="271"/>
      <c r="AO17" s="272"/>
      <c r="AP17" s="26"/>
      <c r="AR17" s="10"/>
      <c r="AS17" s="271"/>
      <c r="AT17" s="272"/>
      <c r="AU17" s="26"/>
      <c r="AW17" s="10"/>
      <c r="AX17" s="271"/>
      <c r="AY17" s="272"/>
      <c r="AZ17" s="26"/>
      <c r="BB17" s="10"/>
      <c r="BC17" s="271"/>
      <c r="BD17" s="272"/>
      <c r="BE17" s="26"/>
      <c r="BG17" s="10"/>
      <c r="BH17" s="271"/>
      <c r="BI17" s="272"/>
      <c r="BJ17" s="26"/>
      <c r="BL17" s="10"/>
      <c r="BM17" s="271"/>
      <c r="BN17" s="272"/>
      <c r="BO17" s="26"/>
      <c r="BQ17" s="10"/>
      <c r="BR17" s="271"/>
      <c r="BS17" s="272"/>
      <c r="BT17" s="26"/>
      <c r="BV17" s="10"/>
      <c r="BW17" s="271"/>
      <c r="BX17" s="272"/>
      <c r="BY17" s="26"/>
      <c r="CA17" s="10"/>
      <c r="CB17" s="271"/>
      <c r="CC17" s="272"/>
      <c r="CD17" s="26"/>
      <c r="CF17" s="10"/>
      <c r="CG17" s="271"/>
      <c r="CH17" s="272"/>
      <c r="CI17" s="26"/>
      <c r="CK17" s="10"/>
      <c r="CL17" s="271"/>
      <c r="CM17" s="272"/>
      <c r="CN17" s="26"/>
      <c r="CP17" s="10"/>
      <c r="CQ17" s="271"/>
      <c r="CR17" s="272"/>
      <c r="CS17" s="26"/>
      <c r="CU17" s="10"/>
      <c r="CV17" s="271"/>
      <c r="CW17" s="272"/>
      <c r="CX17" s="26"/>
      <c r="CZ17" s="10"/>
      <c r="DA17" s="294" t="s">
        <v>288</v>
      </c>
      <c r="DB17" s="294"/>
      <c r="DC17" s="26"/>
      <c r="DE17" s="10"/>
      <c r="DF17" s="271"/>
      <c r="DG17" s="272"/>
      <c r="DH17" s="26"/>
      <c r="DJ17" s="10"/>
      <c r="DK17" s="271"/>
      <c r="DL17" s="272"/>
      <c r="DM17" s="26"/>
      <c r="DO17" s="10"/>
      <c r="DP17" s="271"/>
      <c r="DQ17" s="272"/>
      <c r="DR17" s="19"/>
      <c r="DT17" s="10"/>
      <c r="DU17" s="271"/>
      <c r="DV17" s="272"/>
      <c r="DW17" s="26"/>
      <c r="DZ17" s="10"/>
      <c r="EA17" s="271"/>
      <c r="EB17" s="272"/>
      <c r="EC17" s="26"/>
      <c r="EE17" s="10"/>
      <c r="EF17" s="273"/>
      <c r="EG17" s="274"/>
      <c r="EH17" s="26"/>
      <c r="EJ17" s="10"/>
      <c r="EK17" s="271"/>
      <c r="EL17" s="272"/>
      <c r="EM17" s="19"/>
      <c r="EO17" s="10"/>
      <c r="EP17" s="321"/>
      <c r="EQ17" s="322"/>
      <c r="ER17" s="322"/>
      <c r="ES17" s="322"/>
      <c r="ET17" s="323"/>
      <c r="EU17" s="19"/>
      <c r="EW17" s="10"/>
      <c r="EX17" s="271"/>
      <c r="EY17" s="272"/>
      <c r="EZ17" s="19"/>
      <c r="FB17" s="10"/>
      <c r="FC17" s="271"/>
      <c r="FD17" s="272"/>
      <c r="FE17" s="19"/>
      <c r="FG17" s="10"/>
      <c r="FH17" s="271"/>
      <c r="FI17" s="272"/>
      <c r="FJ17" s="19"/>
      <c r="FL17" s="10"/>
      <c r="FM17" s="271"/>
      <c r="FN17" s="272"/>
      <c r="FO17" s="19"/>
      <c r="FQ17" s="10"/>
      <c r="FR17" s="271"/>
      <c r="FS17" s="272"/>
      <c r="FT17" s="19"/>
      <c r="FV17" s="10"/>
      <c r="FW17" s="271"/>
      <c r="FX17" s="272"/>
      <c r="FY17" s="19"/>
      <c r="GA17" s="10"/>
      <c r="GB17" s="12" t="s">
        <v>99</v>
      </c>
      <c r="GC17" s="13">
        <v>1</v>
      </c>
      <c r="GD17" s="15"/>
      <c r="GE17" s="271"/>
      <c r="GF17" s="275"/>
      <c r="GG17" s="311"/>
      <c r="GI17" s="10"/>
      <c r="GJ17" s="271"/>
      <c r="GK17" s="272"/>
      <c r="GL17" s="19"/>
      <c r="GN17" s="10"/>
      <c r="GO17" s="271"/>
      <c r="GP17" s="272"/>
      <c r="GQ17" s="19"/>
      <c r="GS17" s="10"/>
      <c r="GT17" s="12" t="s">
        <v>86</v>
      </c>
      <c r="GU17" s="23" t="s">
        <v>96</v>
      </c>
      <c r="GV17" s="15"/>
      <c r="GW17" s="314" t="s">
        <v>289</v>
      </c>
      <c r="GY17" s="10"/>
      <c r="GZ17" s="271"/>
      <c r="HA17" s="272"/>
      <c r="HB17" s="26"/>
      <c r="HD17" s="10"/>
      <c r="HE17" s="271"/>
      <c r="HF17" s="272"/>
      <c r="HG17" s="19"/>
      <c r="HI17" s="10"/>
      <c r="HJ17" s="271"/>
      <c r="HK17" s="272"/>
      <c r="HL17" s="19"/>
    </row>
    <row r="18" spans="4:220" ht="23.25">
      <c r="D18" s="10"/>
      <c r="E18" s="273"/>
      <c r="F18" s="274"/>
      <c r="G18" s="26"/>
      <c r="I18" s="10"/>
      <c r="J18" s="273"/>
      <c r="K18" s="274"/>
      <c r="L18" s="26"/>
      <c r="N18" s="10"/>
      <c r="O18" s="271"/>
      <c r="P18" s="272"/>
      <c r="Q18" s="26"/>
      <c r="S18" s="10"/>
      <c r="T18" s="273"/>
      <c r="U18" s="274"/>
      <c r="V18" s="26"/>
      <c r="X18" s="10"/>
      <c r="Y18" s="273"/>
      <c r="Z18" s="274"/>
      <c r="AA18" s="26"/>
      <c r="AC18" s="10"/>
      <c r="AD18" s="273"/>
      <c r="AE18" s="274"/>
      <c r="AF18" s="26"/>
      <c r="AH18" s="10"/>
      <c r="AI18" s="273"/>
      <c r="AJ18" s="274"/>
      <c r="AK18" s="26"/>
      <c r="AM18" s="10"/>
      <c r="AN18" s="273"/>
      <c r="AO18" s="274"/>
      <c r="AP18" s="26"/>
      <c r="AR18" s="10"/>
      <c r="AS18" s="273"/>
      <c r="AT18" s="274"/>
      <c r="AU18" s="26"/>
      <c r="AW18" s="10"/>
      <c r="AX18" s="273"/>
      <c r="AY18" s="274"/>
      <c r="AZ18" s="26"/>
      <c r="BB18" s="10"/>
      <c r="BC18" s="273"/>
      <c r="BD18" s="274"/>
      <c r="BE18" s="26"/>
      <c r="BG18" s="10"/>
      <c r="BH18" s="273"/>
      <c r="BI18" s="274"/>
      <c r="BJ18" s="26"/>
      <c r="BL18" s="10"/>
      <c r="BM18" s="273"/>
      <c r="BN18" s="274"/>
      <c r="BO18" s="26"/>
      <c r="BQ18" s="10"/>
      <c r="BR18" s="271"/>
      <c r="BS18" s="272"/>
      <c r="BT18" s="26"/>
      <c r="BV18" s="10"/>
      <c r="BW18" s="273"/>
      <c r="BX18" s="274"/>
      <c r="BY18" s="26"/>
      <c r="CA18" s="10"/>
      <c r="CB18" s="273"/>
      <c r="CC18" s="274"/>
      <c r="CD18" s="26"/>
      <c r="CF18" s="10"/>
      <c r="CG18" s="273"/>
      <c r="CH18" s="274"/>
      <c r="CI18" s="26"/>
      <c r="CK18" s="10"/>
      <c r="CL18" s="273"/>
      <c r="CM18" s="274"/>
      <c r="CN18" s="26"/>
      <c r="CP18" s="10"/>
      <c r="CQ18" s="273"/>
      <c r="CR18" s="274"/>
      <c r="CS18" s="26"/>
      <c r="CU18" s="10"/>
      <c r="CV18" s="273"/>
      <c r="CW18" s="274"/>
      <c r="CX18" s="26"/>
      <c r="CZ18" s="10"/>
      <c r="DA18" s="267">
        <v>937150</v>
      </c>
      <c r="DB18" s="267"/>
      <c r="DC18" s="26"/>
      <c r="DE18" s="10"/>
      <c r="DF18" s="273"/>
      <c r="DG18" s="274"/>
      <c r="DH18" s="26"/>
      <c r="DJ18" s="10"/>
      <c r="DK18" s="273"/>
      <c r="DL18" s="274"/>
      <c r="DM18" s="26"/>
      <c r="DO18" s="10"/>
      <c r="DP18" s="271"/>
      <c r="DQ18" s="272"/>
      <c r="DR18" s="19"/>
      <c r="DT18" s="10"/>
      <c r="DU18" s="273"/>
      <c r="DV18" s="274"/>
      <c r="DW18" s="26"/>
      <c r="DZ18" s="10"/>
      <c r="EA18" s="273"/>
      <c r="EB18" s="274"/>
      <c r="EC18" s="26"/>
      <c r="EE18" s="10"/>
      <c r="EF18" s="15"/>
      <c r="EG18" s="15"/>
      <c r="EH18" s="26"/>
      <c r="EJ18" s="10"/>
      <c r="EK18" s="271"/>
      <c r="EL18" s="272"/>
      <c r="EM18" s="19"/>
      <c r="EO18" s="10"/>
      <c r="EP18" s="321"/>
      <c r="EQ18" s="322"/>
      <c r="ER18" s="322"/>
      <c r="ES18" s="322"/>
      <c r="ET18" s="323"/>
      <c r="EU18" s="19"/>
      <c r="EW18" s="10"/>
      <c r="EX18" s="271"/>
      <c r="EY18" s="272"/>
      <c r="EZ18" s="19"/>
      <c r="FB18" s="10"/>
      <c r="FC18" s="271"/>
      <c r="FD18" s="272"/>
      <c r="FE18" s="19"/>
      <c r="FG18" s="10"/>
      <c r="FH18" s="271"/>
      <c r="FI18" s="272"/>
      <c r="FJ18" s="19"/>
      <c r="FL18" s="10"/>
      <c r="FM18" s="271"/>
      <c r="FN18" s="272"/>
      <c r="FO18" s="19"/>
      <c r="FQ18" s="10"/>
      <c r="FR18" s="271"/>
      <c r="FS18" s="272"/>
      <c r="FT18" s="19"/>
      <c r="FV18" s="10"/>
      <c r="FW18" s="271"/>
      <c r="FX18" s="272"/>
      <c r="FY18" s="19"/>
      <c r="GA18" s="10"/>
      <c r="GB18" s="12" t="s">
        <v>101</v>
      </c>
      <c r="GC18" s="9" t="s">
        <v>103</v>
      </c>
      <c r="GD18" s="15"/>
      <c r="GE18" s="271"/>
      <c r="GF18" s="275"/>
      <c r="GG18" s="311"/>
      <c r="GI18" s="10"/>
      <c r="GJ18" s="271"/>
      <c r="GK18" s="272"/>
      <c r="GL18" s="19"/>
      <c r="GN18" s="10"/>
      <c r="GO18" s="271"/>
      <c r="GP18" s="272"/>
      <c r="GQ18" s="19"/>
      <c r="GS18" s="10"/>
      <c r="GT18" s="12" t="s">
        <v>99</v>
      </c>
      <c r="GU18" s="13">
        <v>2</v>
      </c>
      <c r="GV18" s="15"/>
      <c r="GW18" s="315"/>
      <c r="GY18" s="10"/>
      <c r="GZ18" s="271"/>
      <c r="HA18" s="272"/>
      <c r="HB18" s="26"/>
      <c r="HD18" s="10"/>
      <c r="HE18" s="271"/>
      <c r="HF18" s="272"/>
      <c r="HG18" s="19"/>
      <c r="HI18" s="10"/>
      <c r="HJ18" s="271"/>
      <c r="HK18" s="272"/>
      <c r="HL18" s="19"/>
    </row>
    <row r="19" spans="4:220" ht="28.9" customHeight="1">
      <c r="D19" s="10"/>
      <c r="E19" s="275"/>
      <c r="F19" s="275"/>
      <c r="G19" s="26"/>
      <c r="I19" s="10"/>
      <c r="J19" s="89"/>
      <c r="K19" s="89"/>
      <c r="L19" s="26"/>
      <c r="N19" s="10"/>
      <c r="O19" s="273"/>
      <c r="P19" s="274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75"/>
      <c r="AY19" s="275"/>
      <c r="AZ19" s="26"/>
      <c r="BB19" s="10"/>
      <c r="BC19" s="89"/>
      <c r="BD19" s="89"/>
      <c r="BE19" s="26"/>
      <c r="BG19" s="10"/>
      <c r="BH19" s="276"/>
      <c r="BI19" s="276"/>
      <c r="BJ19" s="26"/>
      <c r="BL19" s="10"/>
      <c r="BM19" s="15"/>
      <c r="BN19" s="15"/>
      <c r="BO19" s="26"/>
      <c r="BQ19" s="10"/>
      <c r="BR19" s="273"/>
      <c r="BS19" s="274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94" t="s">
        <v>290</v>
      </c>
      <c r="DB19" s="294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71"/>
      <c r="DQ19" s="272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71"/>
      <c r="EL19" s="272"/>
      <c r="EM19" s="19"/>
      <c r="EO19" s="10"/>
      <c r="EP19" s="321"/>
      <c r="EQ19" s="322"/>
      <c r="ER19" s="322"/>
      <c r="ES19" s="322"/>
      <c r="ET19" s="323"/>
      <c r="EU19" s="19"/>
      <c r="EW19" s="10"/>
      <c r="EX19" s="271"/>
      <c r="EY19" s="272"/>
      <c r="EZ19" s="19"/>
      <c r="FB19" s="10"/>
      <c r="FC19" s="271"/>
      <c r="FD19" s="272"/>
      <c r="FE19" s="19"/>
      <c r="FG19" s="10"/>
      <c r="FH19" s="271"/>
      <c r="FI19" s="272"/>
      <c r="FJ19" s="19"/>
      <c r="FL19" s="10"/>
      <c r="FM19" s="271"/>
      <c r="FN19" s="272"/>
      <c r="FO19" s="19"/>
      <c r="FQ19" s="10"/>
      <c r="FR19" s="271"/>
      <c r="FS19" s="272"/>
      <c r="FT19" s="19"/>
      <c r="FV19" s="10"/>
      <c r="FW19" s="271"/>
      <c r="FX19" s="272"/>
      <c r="FY19" s="19"/>
      <c r="GA19" s="10"/>
      <c r="GB19" s="12" t="s">
        <v>108</v>
      </c>
      <c r="GC19" s="23" t="s">
        <v>136</v>
      </c>
      <c r="GD19" s="15"/>
      <c r="GE19" s="271"/>
      <c r="GF19" s="275"/>
      <c r="GG19" s="311"/>
      <c r="GI19" s="10"/>
      <c r="GJ19" s="271"/>
      <c r="GK19" s="272"/>
      <c r="GL19" s="19"/>
      <c r="GN19" s="10"/>
      <c r="GO19" s="271"/>
      <c r="GP19" s="272"/>
      <c r="GQ19" s="19"/>
      <c r="GS19" s="10"/>
      <c r="GT19" s="12" t="s">
        <v>101</v>
      </c>
      <c r="GU19" s="9" t="s">
        <v>106</v>
      </c>
      <c r="GV19" s="15"/>
      <c r="GW19" s="315"/>
      <c r="GY19" s="10"/>
      <c r="GZ19" s="273"/>
      <c r="HA19" s="274"/>
      <c r="HB19" s="26"/>
      <c r="HD19" s="10"/>
      <c r="HE19" s="271"/>
      <c r="HF19" s="272"/>
      <c r="HG19" s="19"/>
      <c r="HI19" s="10"/>
      <c r="HJ19" s="271"/>
      <c r="HK19" s="272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77" t="s">
        <v>291</v>
      </c>
      <c r="BI20" s="278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67">
        <v>1484244</v>
      </c>
      <c r="DB20" s="26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71"/>
      <c r="DQ20" s="272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73"/>
      <c r="EL20" s="274"/>
      <c r="EM20" s="19"/>
      <c r="EO20" s="10"/>
      <c r="EP20" s="324"/>
      <c r="EQ20" s="325"/>
      <c r="ER20" s="325"/>
      <c r="ES20" s="325"/>
      <c r="ET20" s="326"/>
      <c r="EU20" s="19"/>
      <c r="EW20" s="10"/>
      <c r="EX20" s="273"/>
      <c r="EY20" s="274"/>
      <c r="EZ20" s="19"/>
      <c r="FB20" s="10"/>
      <c r="FC20" s="273"/>
      <c r="FD20" s="274"/>
      <c r="FE20" s="19"/>
      <c r="FG20" s="10"/>
      <c r="FH20" s="273"/>
      <c r="FI20" s="274"/>
      <c r="FJ20" s="19"/>
      <c r="FL20" s="10"/>
      <c r="FM20" s="273"/>
      <c r="FN20" s="274"/>
      <c r="FO20" s="19"/>
      <c r="FQ20" s="10"/>
      <c r="FR20" s="273"/>
      <c r="FS20" s="274"/>
      <c r="FT20" s="19"/>
      <c r="FV20" s="10"/>
      <c r="FW20" s="273"/>
      <c r="FX20" s="274"/>
      <c r="FY20" s="19"/>
      <c r="GA20" s="10"/>
      <c r="GB20" s="12" t="s">
        <v>142</v>
      </c>
      <c r="GC20" s="23" t="s">
        <v>158</v>
      </c>
      <c r="GD20" s="15"/>
      <c r="GE20" s="271"/>
      <c r="GF20" s="275"/>
      <c r="GG20" s="311"/>
      <c r="GI20" s="10"/>
      <c r="GJ20" s="273"/>
      <c r="GK20" s="274"/>
      <c r="GL20" s="19"/>
      <c r="GN20" s="10"/>
      <c r="GO20" s="273"/>
      <c r="GP20" s="274"/>
      <c r="GQ20" s="19"/>
      <c r="GS20" s="10"/>
      <c r="GT20" s="12" t="s">
        <v>108</v>
      </c>
      <c r="GU20" s="23" t="s">
        <v>292</v>
      </c>
      <c r="GV20" s="15"/>
      <c r="GW20" s="316"/>
      <c r="GY20" s="10"/>
      <c r="GZ20" s="15"/>
      <c r="HA20" s="15"/>
      <c r="HB20" s="26"/>
      <c r="HD20" s="10"/>
      <c r="HE20" s="273"/>
      <c r="HF20" s="274"/>
      <c r="HG20" s="19"/>
      <c r="HI20" s="10"/>
      <c r="HJ20" s="273"/>
      <c r="HK20" s="274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75"/>
      <c r="AY21" s="275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94" t="s">
        <v>293</v>
      </c>
      <c r="DB21" s="294"/>
      <c r="DC21" s="26"/>
      <c r="DE21" s="10"/>
      <c r="DF21" s="267">
        <v>149048</v>
      </c>
      <c r="DG21" s="267"/>
      <c r="DH21" s="4"/>
      <c r="DJ21" s="10"/>
      <c r="DK21" s="267">
        <v>87912</v>
      </c>
      <c r="DL21" s="267"/>
      <c r="DM21" s="4"/>
      <c r="DO21" s="10"/>
      <c r="DP21" s="271"/>
      <c r="DQ21" s="272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71"/>
      <c r="GF21" s="275"/>
      <c r="GG21" s="31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67">
        <v>899220</v>
      </c>
      <c r="DB22" s="26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73"/>
      <c r="DQ22" s="274"/>
      <c r="DR22" s="19"/>
      <c r="DT22" s="10"/>
      <c r="DU22" s="267">
        <v>295260</v>
      </c>
      <c r="DV22" s="266"/>
      <c r="DW22" s="4"/>
      <c r="DZ22" s="10"/>
      <c r="EA22" s="267">
        <v>164553</v>
      </c>
      <c r="EB22" s="267"/>
      <c r="EC22" s="4"/>
      <c r="EE22" s="10"/>
      <c r="EF22" s="267">
        <v>365288</v>
      </c>
      <c r="EG22" s="267"/>
      <c r="EH22" s="4"/>
      <c r="EJ22" s="10"/>
      <c r="EK22" s="267">
        <v>154480</v>
      </c>
      <c r="EL22" s="266"/>
      <c r="EM22" s="19"/>
      <c r="EO22" s="10"/>
      <c r="EP22" s="327">
        <v>574962</v>
      </c>
      <c r="EQ22" s="327"/>
      <c r="ER22" s="22"/>
      <c r="ES22" s="327">
        <v>132396</v>
      </c>
      <c r="ET22" s="327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73"/>
      <c r="GF22" s="312"/>
      <c r="GG22" s="31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67">
        <v>17100</v>
      </c>
      <c r="HA22" s="267"/>
      <c r="HB22" s="4"/>
      <c r="HD22" s="10"/>
      <c r="HE22" s="317">
        <v>198114</v>
      </c>
      <c r="HF22" s="317"/>
      <c r="HG22" s="19"/>
      <c r="HI22" s="10"/>
      <c r="HJ22" s="308">
        <v>0</v>
      </c>
      <c r="HK22" s="308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67">
        <f>SUM(EP22+ES22)</f>
        <v>707358</v>
      </c>
      <c r="ER23" s="267"/>
      <c r="ES23" s="267"/>
      <c r="ET23" s="22"/>
      <c r="EU23" s="19"/>
      <c r="EW23" s="10"/>
      <c r="EX23" s="267">
        <v>86750</v>
      </c>
      <c r="EY23" s="267"/>
      <c r="EZ23" s="19"/>
      <c r="FB23" s="10"/>
      <c r="FC23" s="308">
        <v>166658</v>
      </c>
      <c r="FD23" s="308"/>
      <c r="FE23" s="19"/>
      <c r="FG23" s="10"/>
      <c r="FH23" s="308">
        <v>284648</v>
      </c>
      <c r="FI23" s="308"/>
      <c r="FJ23" s="19"/>
      <c r="FL23" s="10"/>
      <c r="FM23" s="308">
        <v>153186</v>
      </c>
      <c r="FN23" s="308"/>
      <c r="FO23" s="19"/>
      <c r="FQ23" s="10"/>
      <c r="FR23" s="308">
        <v>207769</v>
      </c>
      <c r="FS23" s="308"/>
      <c r="FT23" s="19"/>
      <c r="FV23" s="10"/>
      <c r="FW23" s="308">
        <v>98850</v>
      </c>
      <c r="FX23" s="308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328">
        <v>175512</v>
      </c>
      <c r="GK23" s="328"/>
      <c r="GL23" s="4"/>
      <c r="GN23" s="10"/>
      <c r="GO23" s="308">
        <v>110000</v>
      </c>
      <c r="GP23" s="308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67">
        <v>119230</v>
      </c>
      <c r="F24" s="267"/>
      <c r="G24" s="4"/>
      <c r="I24" s="10"/>
      <c r="J24" s="267">
        <v>89400</v>
      </c>
      <c r="K24" s="267"/>
      <c r="L24" s="4"/>
      <c r="N24" s="10"/>
      <c r="O24" s="267">
        <v>75786</v>
      </c>
      <c r="P24" s="267"/>
      <c r="Q24" s="4"/>
      <c r="S24" s="10"/>
      <c r="T24" s="267">
        <v>69647</v>
      </c>
      <c r="U24" s="267"/>
      <c r="V24" s="4"/>
      <c r="X24" s="10"/>
      <c r="Y24" s="267">
        <v>179800</v>
      </c>
      <c r="Z24" s="267"/>
      <c r="AA24" s="4"/>
      <c r="AC24" s="10"/>
      <c r="AD24" s="267">
        <v>83895</v>
      </c>
      <c r="AE24" s="267"/>
      <c r="AF24" s="4"/>
      <c r="AH24" s="10"/>
      <c r="AI24" s="267">
        <v>94200</v>
      </c>
      <c r="AJ24" s="267"/>
      <c r="AK24" s="4"/>
      <c r="AM24" s="10"/>
      <c r="AN24" s="267">
        <v>13900</v>
      </c>
      <c r="AO24" s="267"/>
      <c r="AP24" s="4"/>
      <c r="AR24" s="10"/>
      <c r="AS24" s="267">
        <v>243546</v>
      </c>
      <c r="AT24" s="267"/>
      <c r="AU24" s="4"/>
      <c r="AW24" s="10"/>
      <c r="AX24" s="267">
        <v>0</v>
      </c>
      <c r="AY24" s="267"/>
      <c r="AZ24" s="4"/>
      <c r="BB24" s="10"/>
      <c r="BC24" s="266">
        <v>421957</v>
      </c>
      <c r="BD24" s="266"/>
      <c r="BE24" s="4"/>
      <c r="BG24" s="10"/>
      <c r="BH24" s="287">
        <v>475850</v>
      </c>
      <c r="BI24" s="287"/>
      <c r="BJ24" s="4"/>
      <c r="BL24" s="10"/>
      <c r="BM24" s="287">
        <v>252287</v>
      </c>
      <c r="BN24" s="288"/>
      <c r="BO24" s="4"/>
      <c r="BQ24" s="10"/>
      <c r="BR24" s="267">
        <v>345254</v>
      </c>
      <c r="BS24" s="267"/>
      <c r="BT24" s="4"/>
      <c r="BV24" s="10"/>
      <c r="BW24" s="267">
        <v>96900</v>
      </c>
      <c r="BX24" s="266"/>
      <c r="BY24" s="4"/>
      <c r="CA24" s="10"/>
      <c r="CB24" s="267">
        <v>130840</v>
      </c>
      <c r="CC24" s="266"/>
      <c r="CD24" s="4"/>
      <c r="CF24" s="10"/>
      <c r="CG24" s="267">
        <v>130840</v>
      </c>
      <c r="CH24" s="266"/>
      <c r="CI24" s="4"/>
      <c r="CK24" s="10"/>
      <c r="CL24" s="267">
        <v>126800</v>
      </c>
      <c r="CM24" s="266"/>
      <c r="CN24" s="4"/>
      <c r="CP24" s="10"/>
      <c r="CQ24" s="266">
        <v>183172</v>
      </c>
      <c r="CR24" s="266"/>
      <c r="CS24" s="4"/>
      <c r="CU24" s="10"/>
      <c r="CV24" s="266">
        <v>149048</v>
      </c>
      <c r="CW24" s="266"/>
      <c r="CX24" s="4"/>
      <c r="DO24" s="10"/>
      <c r="DP24" s="266">
        <v>810578</v>
      </c>
      <c r="DQ24" s="266"/>
      <c r="DR24" s="19"/>
      <c r="EO24" s="11"/>
      <c r="EP24" s="5"/>
      <c r="EQ24" s="265"/>
      <c r="ER24" s="265"/>
      <c r="ES24" s="265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65"/>
      <c r="F25" s="265"/>
      <c r="G25" s="94"/>
      <c r="I25" s="100"/>
      <c r="J25" s="265"/>
      <c r="K25" s="265"/>
      <c r="L25" s="94"/>
      <c r="N25" s="100"/>
      <c r="O25" s="265"/>
      <c r="P25" s="265"/>
      <c r="Q25" s="94"/>
      <c r="S25" s="100"/>
      <c r="T25" s="265"/>
      <c r="U25" s="265"/>
      <c r="V25" s="94"/>
      <c r="X25" s="100"/>
      <c r="Y25" s="265"/>
      <c r="Z25" s="265"/>
      <c r="AA25" s="94"/>
      <c r="AC25" s="100"/>
      <c r="AD25" s="265"/>
      <c r="AE25" s="265"/>
      <c r="AF25" s="94"/>
      <c r="AH25" s="100"/>
      <c r="AI25" s="265"/>
      <c r="AJ25" s="265"/>
      <c r="AK25" s="94"/>
      <c r="AM25" s="100"/>
      <c r="AN25" s="265"/>
      <c r="AO25" s="265"/>
      <c r="AP25" s="94"/>
      <c r="AR25" s="100"/>
      <c r="AS25" s="265"/>
      <c r="AT25" s="265"/>
      <c r="AU25" s="94"/>
      <c r="AW25" s="100"/>
      <c r="AX25" s="265"/>
      <c r="AY25" s="265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68"/>
      <c r="BS25" s="268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85" t="s">
        <v>297</v>
      </c>
      <c r="GC25" s="286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308">
        <v>537120</v>
      </c>
      <c r="GF30" s="308"/>
      <c r="GG30" s="98"/>
    </row>
    <row r="31" spans="4:220" ht="28.5">
      <c r="BV31" s="303"/>
      <c r="BW31" s="303"/>
      <c r="BX31" s="303"/>
      <c r="BY31" s="303"/>
      <c r="GA31" s="10"/>
      <c r="GB31" s="12" t="s">
        <v>165</v>
      </c>
      <c r="GC31" s="23" t="s">
        <v>299</v>
      </c>
      <c r="GD31" s="22"/>
      <c r="GE31" s="308"/>
      <c r="GF31" s="308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302"/>
      <c r="BX33" s="302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302"/>
      <c r="BX35" s="302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99"/>
      <c r="BX44" s="299"/>
      <c r="BY44" s="59"/>
    </row>
    <row r="45" spans="74:189">
      <c r="BV45" s="59"/>
      <c r="BW45" s="299"/>
      <c r="BX45" s="299"/>
      <c r="BY45" s="62"/>
    </row>
    <row r="46" spans="74:189">
      <c r="BV46" s="59"/>
      <c r="BW46" s="299"/>
      <c r="BX46" s="299"/>
      <c r="BY46" s="67"/>
    </row>
    <row r="47" spans="74:189">
      <c r="BV47" s="59"/>
      <c r="BW47" s="299"/>
      <c r="BX47" s="299"/>
      <c r="BY47" s="67"/>
    </row>
    <row r="48" spans="74:189">
      <c r="BV48" s="59"/>
      <c r="BW48" s="299"/>
      <c r="BX48" s="299"/>
      <c r="BY48" s="67"/>
    </row>
    <row r="49" spans="74:77">
      <c r="BV49" s="59"/>
      <c r="BW49" s="299"/>
      <c r="BX49" s="299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329" t="s">
        <v>302</v>
      </c>
      <c r="D1" s="329"/>
      <c r="E1" s="329"/>
      <c r="F1" s="329"/>
      <c r="G1" s="329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1:E18"/>
  <sheetViews>
    <sheetView showGridLines="0" zoomScale="80" zoomScaleNormal="80" workbookViewId="0">
      <selection activeCell="C9" sqref="C9"/>
    </sheetView>
  </sheetViews>
  <sheetFormatPr defaultColWidth="8.85546875" defaultRowHeight="15"/>
  <cols>
    <col min="1" max="1" width="5.28515625" style="1" customWidth="1"/>
    <col min="2" max="2" width="22.85546875" style="1" customWidth="1"/>
    <col min="3" max="3" width="31.42578125" style="123" customWidth="1"/>
    <col min="4" max="4" width="35.28515625" style="1" customWidth="1"/>
    <col min="5" max="5" width="15.85546875" style="1" bestFit="1" customWidth="1"/>
    <col min="6" max="16384" width="8.85546875" style="1"/>
  </cols>
  <sheetData>
    <row r="1" spans="2:5" ht="30" customHeight="1" thickBot="1">
      <c r="B1" s="330" t="s">
        <v>1815</v>
      </c>
      <c r="C1" s="330"/>
      <c r="D1" s="330"/>
    </row>
    <row r="2" spans="2:5" ht="24" customHeight="1" thickBot="1">
      <c r="B2" s="251" t="s">
        <v>560</v>
      </c>
      <c r="C2" s="252" t="s">
        <v>561</v>
      </c>
      <c r="D2" s="253" t="s">
        <v>564</v>
      </c>
    </row>
    <row r="3" spans="2:5" ht="20.100000000000001" customHeight="1" thickBot="1">
      <c r="B3" s="254" t="s">
        <v>742</v>
      </c>
      <c r="C3" s="255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256">
        <f ca="1">IF(ROW()-2&gt;$C$17,NA(),C3)</f>
        <v>1815687.9</v>
      </c>
    </row>
    <row r="4" spans="2:5" ht="20.100000000000001" customHeight="1" thickBot="1">
      <c r="B4" s="257" t="s">
        <v>743</v>
      </c>
      <c r="C4" s="258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259">
        <f t="shared" ref="D4:D14" ca="1" si="0">IF(ROW()-2&gt;$C$17,NA(),D3+C4)</f>
        <v>4045228.78</v>
      </c>
    </row>
    <row r="5" spans="2:5" ht="20.100000000000001" customHeight="1" thickBot="1">
      <c r="B5" s="254" t="s">
        <v>744</v>
      </c>
      <c r="C5" s="255">
        <f>SUMIFS('CONTROLE DE PROPOSTAS_2026'!L:L,
         'CONTROLE DE PROPOSTAS_2026'!O:O, "APROVADA",
         'CONTROLE DE PROPOSTAS_2026'!P:P, "&gt;="&amp;DATE(2026,3,1),
         'CONTROLE DE PROPOSTAS_2026'!P:P, "&lt;="&amp;DATE(2026,3,31))</f>
        <v>3573121</v>
      </c>
      <c r="D5" s="256">
        <f t="shared" ca="1" si="0"/>
        <v>7618349.7799999993</v>
      </c>
    </row>
    <row r="6" spans="2:5" ht="20.100000000000001" customHeight="1" thickBot="1">
      <c r="B6" s="257" t="s">
        <v>745</v>
      </c>
      <c r="C6" s="258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259">
        <f t="shared" ca="1" si="0"/>
        <v>9961471.1799999997</v>
      </c>
    </row>
    <row r="7" spans="2:5" ht="20.100000000000001" customHeight="1" thickBot="1">
      <c r="B7" s="254" t="s">
        <v>746</v>
      </c>
      <c r="C7" s="255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256">
        <f t="shared" ca="1" si="0"/>
        <v>10950172.779999999</v>
      </c>
    </row>
    <row r="8" spans="2:5" ht="20.100000000000001" customHeight="1" thickBot="1">
      <c r="B8" s="257" t="s">
        <v>747</v>
      </c>
      <c r="C8" s="258">
        <f>SUMIFS('CONTROLE DE PROPOSTAS_2026'!L:L,
         'CONTROLE DE PROPOSTAS_2026'!O:O, "APROVADA",
         'CONTROLE DE PROPOSTAS_2026'!P:P, "&gt;="&amp;DATE(2026,6,1),
         'CONTROLE DE PROPOSTAS_2026'!P:P, "&lt;="&amp;DATE(2026,6,30))</f>
        <v>3116254.62</v>
      </c>
      <c r="D8" s="259">
        <f t="shared" ca="1" si="0"/>
        <v>14066427.399999999</v>
      </c>
    </row>
    <row r="9" spans="2:5" ht="20.100000000000001" customHeight="1" thickBot="1">
      <c r="B9" s="254" t="s">
        <v>748</v>
      </c>
      <c r="C9" s="255">
        <f>SUMIFS('CONTROLE DE PROPOSTAS_2026'!L:L,
         'CONTROLE DE PROPOSTAS_2026'!O:O, "APROVADA",
         'CONTROLE DE PROPOSTAS_2026'!P:P, "&gt;="&amp;DATE(2026,7,1),
         'CONTROLE DE PROPOSTAS_2026'!P:P, "&lt;="&amp;DATE(2026,7,31))</f>
        <v>2135472.5299999998</v>
      </c>
      <c r="D9" s="256">
        <f t="shared" ca="1" si="0"/>
        <v>16201899.929999998</v>
      </c>
    </row>
    <row r="10" spans="2:5" ht="20.100000000000001" customHeight="1" thickBot="1">
      <c r="B10" s="257" t="s">
        <v>749</v>
      </c>
      <c r="C10" s="258">
        <f>SUMIFS('CONTROLE DE PROPOSTAS_2026'!L:L,
         'CONTROLE DE PROPOSTAS_2026'!O:O, "APROVADA",
         'CONTROLE DE PROPOSTAS_2026'!P:P, "&gt;="&amp;DATE(2026,8,1),
         'CONTROLE DE PROPOSTAS_2026'!P:P, "&lt;="&amp;DATE(2026,8,31))</f>
        <v>1182318.8599999999</v>
      </c>
      <c r="D10" s="259">
        <f t="shared" ca="1" si="0"/>
        <v>17384218.789999999</v>
      </c>
    </row>
    <row r="11" spans="2:5" ht="20.100000000000001" customHeight="1" thickBot="1">
      <c r="B11" s="254" t="s">
        <v>750</v>
      </c>
      <c r="C11" s="255">
        <f>SUMIFS('CONTROLE DE PROPOSTAS_2026'!L:L,
         'CONTROLE DE PROPOSTAS_2026'!O:O, "APROVADA",
         'CONTROLE DE PROPOSTAS_2026'!P:P, "&gt;="&amp;DATE(2026,9,1),
         'CONTROLE DE PROPOSTAS_2026'!P:P, "&lt;="&amp;DATE(2026,9,30))</f>
        <v>1320976.8</v>
      </c>
      <c r="D11" s="256">
        <f ca="1">IF(ROW()-2&gt;$C$17,NA(),D10+C11)</f>
        <v>18705195.59</v>
      </c>
    </row>
    <row r="12" spans="2:5" ht="20.100000000000001" customHeight="1" thickBot="1">
      <c r="B12" s="257" t="s">
        <v>751</v>
      </c>
      <c r="C12" s="258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259" t="e">
        <f t="shared" ca="1" si="0"/>
        <v>#N/A</v>
      </c>
    </row>
    <row r="13" spans="2:5" ht="20.100000000000001" customHeight="1" thickBot="1">
      <c r="B13" s="254" t="s">
        <v>752</v>
      </c>
      <c r="C13" s="255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256" t="e">
        <f t="shared" ca="1" si="0"/>
        <v>#N/A</v>
      </c>
    </row>
    <row r="14" spans="2:5" ht="20.100000000000001" customHeight="1" thickBot="1">
      <c r="B14" s="257" t="s">
        <v>753</v>
      </c>
      <c r="C14" s="258">
        <f>SUMIFS('CONTROLE DE PROPOSTAS_2026'!L:L,'CONTROLE DE PROPOSTAS_2026'!O:O,"APROVADA",'CONTROLE DE PROPOSTAS_2026'!P:P,"&gt;="&amp;DATE(2026,12,1),'CONTROLE DE PROPOSTAS_2026'!P:P,"&lt;="&amp;DATE(2026,12,31))</f>
        <v>0</v>
      </c>
      <c r="D14" s="259" t="e">
        <f t="shared" ca="1" si="0"/>
        <v>#N/A</v>
      </c>
    </row>
    <row r="15" spans="2:5" ht="20.100000000000001" customHeight="1" thickBot="1">
      <c r="B15" s="260" t="s">
        <v>1816</v>
      </c>
      <c r="C15" s="261">
        <f>SUM(C3:C14)</f>
        <v>18705195.59</v>
      </c>
      <c r="D15" s="262"/>
      <c r="E15" s="177"/>
    </row>
    <row r="16" spans="2:5" ht="20.100000000000001" customHeight="1">
      <c r="B16" s="248" t="s">
        <v>950</v>
      </c>
      <c r="C16" s="250">
        <f>IFERROR(AVERAGEIF(C3:C14,"&gt;0"),0)</f>
        <v>2078355.0655555555</v>
      </c>
      <c r="D16" s="249"/>
    </row>
    <row r="17" spans="2:4">
      <c r="B17" s="263" t="s">
        <v>1817</v>
      </c>
      <c r="C17" s="264">
        <f ca="1">MONTH(TODAY())</f>
        <v>9</v>
      </c>
    </row>
    <row r="18" spans="2:4">
      <c r="D18" s="123"/>
    </row>
  </sheetData>
  <mergeCells count="1">
    <mergeCell ref="B1:D1"/>
  </mergeCells>
  <conditionalFormatting sqref="C3:C14">
    <cfRule type="dataBar" priority="1">
      <dataBar>
        <cfvo type="min"/>
        <cfvo type="max"/>
        <color rgb="FF8EB4E3"/>
      </dataBar>
      <extLst>
        <ext xmlns:x14="http://schemas.microsoft.com/office/spreadsheetml/2009/9/main" uri="{B025F937-C7B1-47D3-B67F-A62EFF666E3E}">
          <x14:id>{BFCDE474-8858-493A-9D43-B635B67E0004}</x14:id>
        </ext>
      </extLst>
    </cfRule>
  </conditionalFormatting>
  <conditionalFormatting sqref="D3:D14">
    <cfRule type="expression" dxfId="0" priority="2">
      <formula>ISNA($D3)</formula>
    </cfRule>
  </conditionalFormatting>
  <pageMargins left="0.511811024" right="0.511811024" top="0.78740157499999996" bottom="0.78740157499999996" header="0.31496062000000002" footer="0.31496062000000002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CDE474-8858-493A-9D43-B635B67E0004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C3:C14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517</v>
      </c>
      <c r="C3" s="136" t="s">
        <v>518</v>
      </c>
      <c r="D3" s="137" t="s">
        <v>505</v>
      </c>
      <c r="E3" s="138" t="s">
        <v>482</v>
      </c>
      <c r="F3" s="138" t="s">
        <v>494</v>
      </c>
      <c r="G3" s="138" t="s">
        <v>483</v>
      </c>
      <c r="H3" s="138" t="s">
        <v>484</v>
      </c>
      <c r="I3" s="138" t="s">
        <v>501</v>
      </c>
      <c r="J3" s="136" t="s">
        <v>499</v>
      </c>
      <c r="K3" s="136" t="s">
        <v>498</v>
      </c>
      <c r="L3" s="139" t="s">
        <v>497</v>
      </c>
      <c r="M3" s="140" t="s">
        <v>485</v>
      </c>
      <c r="N3" s="141" t="s">
        <v>496</v>
      </c>
      <c r="O3" s="136" t="s">
        <v>502</v>
      </c>
      <c r="P3" s="136" t="s">
        <v>503</v>
      </c>
      <c r="Q3" s="137" t="s">
        <v>500</v>
      </c>
      <c r="R3" s="137" t="s">
        <v>521</v>
      </c>
      <c r="S3" s="142" t="s">
        <v>519</v>
      </c>
    </row>
    <row r="4" spans="2:19" ht="19.899999999999999" customHeight="1">
      <c r="B4" s="144">
        <v>1</v>
      </c>
      <c r="C4" s="128">
        <v>45642</v>
      </c>
      <c r="D4" s="132" t="s">
        <v>526</v>
      </c>
      <c r="E4" s="132" t="s">
        <v>527</v>
      </c>
      <c r="F4" s="132" t="s">
        <v>495</v>
      </c>
      <c r="G4" s="132" t="s">
        <v>528</v>
      </c>
      <c r="H4" s="132" t="s">
        <v>529</v>
      </c>
      <c r="I4" s="132" t="s">
        <v>520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504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530</v>
      </c>
      <c r="E5" s="163" t="s">
        <v>531</v>
      </c>
      <c r="F5" s="132" t="s">
        <v>495</v>
      </c>
      <c r="G5" s="132" t="s">
        <v>532</v>
      </c>
      <c r="H5" s="132" t="s">
        <v>533</v>
      </c>
      <c r="I5" s="132" t="s">
        <v>520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504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534</v>
      </c>
      <c r="E6" s="163" t="s">
        <v>535</v>
      </c>
      <c r="F6" s="132" t="s">
        <v>495</v>
      </c>
      <c r="G6" s="132" t="s">
        <v>536</v>
      </c>
      <c r="H6" s="132" t="s">
        <v>537</v>
      </c>
      <c r="I6" s="132" t="s">
        <v>520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504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538</v>
      </c>
      <c r="E7" s="132" t="s">
        <v>539</v>
      </c>
      <c r="F7" s="132" t="s">
        <v>495</v>
      </c>
      <c r="G7" s="132" t="s">
        <v>540</v>
      </c>
      <c r="H7" s="132" t="s">
        <v>541</v>
      </c>
      <c r="I7" s="132" t="s">
        <v>520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504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542</v>
      </c>
      <c r="E8" s="132" t="s">
        <v>539</v>
      </c>
      <c r="F8" s="132" t="s">
        <v>495</v>
      </c>
      <c r="G8" s="132" t="s">
        <v>540</v>
      </c>
      <c r="H8" s="132" t="s">
        <v>543</v>
      </c>
      <c r="I8" s="132" t="s">
        <v>520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504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544</v>
      </c>
      <c r="E9" s="132" t="s">
        <v>545</v>
      </c>
      <c r="F9" s="132" t="s">
        <v>495</v>
      </c>
      <c r="G9" s="132" t="s">
        <v>546</v>
      </c>
      <c r="H9" s="132" t="s">
        <v>547</v>
      </c>
      <c r="I9" s="132" t="s">
        <v>520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559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549</v>
      </c>
      <c r="E10" s="132" t="s">
        <v>548</v>
      </c>
      <c r="F10" s="132" t="s">
        <v>495</v>
      </c>
      <c r="G10" s="132" t="s">
        <v>550</v>
      </c>
      <c r="H10" s="132" t="s">
        <v>523</v>
      </c>
      <c r="I10" s="132" t="s">
        <v>520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504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551</v>
      </c>
      <c r="E11" s="132" t="s">
        <v>552</v>
      </c>
      <c r="F11" s="132" t="s">
        <v>495</v>
      </c>
      <c r="G11" s="132" t="s">
        <v>553</v>
      </c>
      <c r="H11" s="132" t="s">
        <v>554</v>
      </c>
      <c r="I11" s="132" t="s">
        <v>520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504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555</v>
      </c>
      <c r="E12" s="132" t="s">
        <v>556</v>
      </c>
      <c r="F12" s="132" t="s">
        <v>495</v>
      </c>
      <c r="G12" s="132" t="s">
        <v>557</v>
      </c>
      <c r="H12" s="132" t="s">
        <v>558</v>
      </c>
      <c r="I12" s="132" t="s">
        <v>520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504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4" t="s">
        <v>572</v>
      </c>
      <c r="C1" s="174" t="s">
        <v>504</v>
      </c>
      <c r="D1" s="175" t="s">
        <v>566</v>
      </c>
      <c r="E1" s="175" t="s">
        <v>559</v>
      </c>
      <c r="F1" s="175" t="s">
        <v>568</v>
      </c>
      <c r="G1" s="175" t="s">
        <v>525</v>
      </c>
      <c r="H1" s="175" t="s">
        <v>567</v>
      </c>
    </row>
    <row r="2" spans="2:11" ht="18.75">
      <c r="B2" s="170" t="s">
        <v>571</v>
      </c>
      <c r="C2" s="171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1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2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2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2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3">
        <f t="shared" ref="H2:H13" si="0">SUM(C2:G2)</f>
        <v>28174385.760000002</v>
      </c>
    </row>
    <row r="3" spans="2:11" ht="18.75">
      <c r="B3" s="170" t="s">
        <v>516</v>
      </c>
      <c r="C3" s="171">
        <f>SUMIFS('CONTROLE DE PROPOSTAS_2026'!L:L,
         'CONTROLE DE PROPOSTAS_2026'!O:O, "EM ABERTO",
         'CONTROLE DE PROPOSTAS_2026'!B:B, "&gt;="&amp;DATE(2026,2,1),
         'CONTROLE DE PROPOSTAS_2026'!B:B, "&lt;="&amp;DATE(2026,2,28))</f>
        <v>449900</v>
      </c>
      <c r="D3" s="172">
        <f>SUMIFS('CONTROLE DE PROPOSTAS_2026'!L:L,
         'CONTROLE DE PROPOSTAS_2026'!O:O, "NEGOCIAÇÃO",
         'CONTROLE DE PROPOSTAS_2026'!B:B, "&gt;="&amp;DATE(2026,2,1),
         'CONTROLE DE PROPOSTAS_2026'!B:B, "&lt;="&amp;DATE(2026,2,28))</f>
        <v>249600</v>
      </c>
      <c r="E3" s="172">
        <f>SUMIFS('CONTROLE DE PROPOSTAS_2026'!L:L,
         'CONTROLE DE PROPOSTAS_2026'!O:O, "PERDIDA",
         'CONTROLE DE PROPOSTAS_2026'!B:B, "&gt;="&amp;DATE(2026,2,1),
         'CONTROLE DE PROPOSTAS_2026'!B:B, "&lt;="&amp;DATE(2026,2,28))</f>
        <v>6257318.7000000002</v>
      </c>
      <c r="F3" s="172">
        <f>SUMIFS('CONTROLE DE PROPOSTAS_2026'!L:L,
         'CONTROLE DE PROPOSTAS_2026'!O:O, "APROVADA",
         'CONTROLE DE PROPOSTAS_2026'!P:P, "&gt;="&amp;DATE(2026,2,1),
         'CONTROLE DE PROPOSTAS_2026'!B:B, "&lt;="&amp;DATE(2026,2,28))</f>
        <v>5948105.2799999993</v>
      </c>
      <c r="G3" s="172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3">
        <f t="shared" si="0"/>
        <v>12904923.98</v>
      </c>
      <c r="J3" s="167"/>
      <c r="K3" s="167"/>
    </row>
    <row r="4" spans="2:11" ht="18.75">
      <c r="B4" s="170" t="s">
        <v>515</v>
      </c>
      <c r="C4" s="171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2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2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2">
        <f>SUMIFS('CONTROLE DE PROPOSTAS_2026'!L:L,
         'CONTROLE DE PROPOSTAS_2026'!O:O, "APROVADA",
         'CONTROLE DE PROPOSTAS_2026'!P:P, "&gt;="&amp;DATE(2026,3,1),
         'CONTROLE DE PROPOSTAS_2026'!B:B, "&lt;="&amp;DATE(2026,3,31))</f>
        <v>6125031.4000000004</v>
      </c>
      <c r="G4" s="172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3">
        <f t="shared" si="0"/>
        <v>20331764.899999999</v>
      </c>
      <c r="J4" s="167"/>
      <c r="K4" s="184"/>
    </row>
    <row r="5" spans="2:11" ht="18.75">
      <c r="B5" s="170" t="s">
        <v>514</v>
      </c>
      <c r="C5" s="171">
        <f>SUMIFS('CONTROLE DE PROPOSTAS_2026'!L:L,
         'CONTROLE DE PROPOSTAS_2026'!O:O, "EM ABERTO",
         'CONTROLE DE PROPOSTAS_2026'!B:B, "&gt;="&amp;DATE(2026,4,1),
         'CONTROLE DE PROPOSTAS_2026'!B:B, "&lt;="&amp;DATE(2026,4,30))</f>
        <v>2453344</v>
      </c>
      <c r="D5" s="172">
        <f>SUMIFS('CONTROLE DE PROPOSTAS_2026'!L:L,
         'CONTROLE DE PROPOSTAS_2026'!O:O, "NEGOCIAÇÃO",
         'CONTROLE DE PROPOSTAS_2026'!B:B, "&gt;="&amp;DATE(2026,4,1),
         'CONTROLE DE PROPOSTAS_2026'!B:B, "&lt;="&amp;DATE(2026,4,30))</f>
        <v>80690</v>
      </c>
      <c r="E5" s="172">
        <f>SUMIFS('CONTROLE DE PROPOSTAS_2026'!L:L,
         'CONTROLE DE PROPOSTAS_2026'!O:O, "PERDIDA",
         'CONTROLE DE PROPOSTAS_2026'!B:B, "&gt;="&amp;DATE(2026,4,1),
         'CONTROLE DE PROPOSTAS_2026'!B:B, "&lt;="&amp;DATE(2026,4,30))</f>
        <v>6901563.46</v>
      </c>
      <c r="F5" s="172">
        <f>SUMIFS('CONTROLE DE PROPOSTAS_2026'!L:L,
         'CONTROLE DE PROPOSTAS_2026'!O:O, "APROVADA",
         'CONTROLE DE PROPOSTAS_2026'!P:P, "&gt;="&amp;DATE(2026,4,1),
         'CONTROLE DE PROPOSTAS_2026'!B:B, "&lt;="&amp;DATE(2026,4,30))</f>
        <v>3753433</v>
      </c>
      <c r="G5" s="172">
        <f>SUMIFS('CONTROLE DE PROPOSTAS_2026'!L:L,
         'CONTROLE DE PROPOSTAS_2026'!O:O, "CANCELADA",
         'CONTROLE DE PROPOSTAS_2026'!B:B, "&gt;="&amp;DATE(2026,4,1),
         'CONTROLE DE PROPOSTAS_2026'!B:B, "&lt;="&amp;DATE(2026,4,30))</f>
        <v>66160</v>
      </c>
      <c r="H5" s="173">
        <f>SUM(C5:G5)</f>
        <v>13255190.460000001</v>
      </c>
      <c r="J5" s="167"/>
      <c r="K5" s="168"/>
    </row>
    <row r="6" spans="2:11" ht="18.75">
      <c r="B6" s="170" t="s">
        <v>513</v>
      </c>
      <c r="C6" s="171">
        <f>SUMIFS('CONTROLE DE PROPOSTAS_2026'!L:L,
         'CONTROLE DE PROPOSTAS_2026'!O:O, "EM ABERTO",
         'CONTROLE DE PROPOSTAS_2026'!B:B, "&gt;="&amp;DATE(2026,5,1),
         'CONTROLE DE PROPOSTAS_2026'!B:B, "&lt;="&amp;DATE(2026,5,31))</f>
        <v>21448721</v>
      </c>
      <c r="D6" s="172">
        <f>SUMIFS('CONTROLE DE PROPOSTAS_2026'!L:L,
         'CONTROLE DE PROPOSTAS_2026'!O:O, "NEGOCIAÇÃO",
         'CONTROLE DE PROPOSTAS_2026'!B:B, "&gt;="&amp;DATE(2026,5,1),
         'CONTROLE DE PROPOSTAS_2026'!B:B, "&lt;="&amp;DATE(2026,5,31))</f>
        <v>0</v>
      </c>
      <c r="E6" s="172">
        <f>SUMIFS('CONTROLE DE PROPOSTAS_2026'!L:L,
         'CONTROLE DE PROPOSTAS_2026'!O:O, "PERDIDA",
         'CONTROLE DE PROPOSTAS_2026'!B:B, "&gt;="&amp;DATE(2026,5,1),
         'CONTROLE DE PROPOSTAS_2026'!B:B, "&lt;="&amp;DATE(2026,5,31))</f>
        <v>4644593</v>
      </c>
      <c r="F6" s="172">
        <f>SUMIFS('CONTROLE DE PROPOSTAS_2026'!L:L,
         'CONTROLE DE PROPOSTAS_2026'!O:O, "APROVADA",
         'CONTROLE DE PROPOSTAS_2026'!P:P, "&gt;="&amp;DATE(2026,5,1),
         'CONTROLE DE PROPOSTAS_2026'!B:B, "&lt;="&amp;DATE(2026,5,31))</f>
        <v>4264417.5999999996</v>
      </c>
      <c r="G6" s="172">
        <f>SUMIFS('CONTROLE DE PROPOSTAS_2026'!L:L,
         'CONTROLE DE PROPOSTAS_2026'!O:O, "CANCELADA",
         'CONTROLE DE PROPOSTAS_2026'!B:B, "&gt;="&amp;DATE(2026,5,1),
         'CONTROLE DE PROPOSTAS_2026'!B:B, "&lt;="&amp;DATE(2026,5,31))</f>
        <v>2660275</v>
      </c>
      <c r="H6" s="173">
        <f t="shared" si="0"/>
        <v>33018006.600000001</v>
      </c>
      <c r="J6" s="167"/>
      <c r="K6" s="168"/>
    </row>
    <row r="7" spans="2:11" ht="18.75">
      <c r="B7" s="170" t="s">
        <v>512</v>
      </c>
      <c r="C7" s="171">
        <f>SUMIFS('CONTROLE DE PROPOSTAS_2026'!L:L,
         'CONTROLE DE PROPOSTAS_2026'!O:O, "EM ABERTO",
         'CONTROLE DE PROPOSTAS_2026'!B:B, "&gt;="&amp;DATE(2026,6,1),
         'CONTROLE DE PROPOSTAS_2026'!B:B, "&lt;="&amp;DATE(2026,6,30))</f>
        <v>8679674</v>
      </c>
      <c r="D7" s="172">
        <f>SUMIFS('CONTROLE DE PROPOSTAS_2026'!L:L,
         'CONTROLE DE PROPOSTAS_2026'!O:O, "NEGOCIAÇÃO",
         'CONTROLE DE PROPOSTAS_2026'!B:B, "&gt;="&amp;DATE(2026,6,1),
         'CONTROLE DE PROPOSTAS_2026'!B:B, "&lt;="&amp;DATE(2026,6,30))</f>
        <v>18015550</v>
      </c>
      <c r="E7" s="172">
        <f>SUMIFS('CONTROLE DE PROPOSTAS_2026'!L:L,
         'CONTROLE DE PROPOSTAS_2026'!O:O, "PERDIDA",
         'CONTROLE DE PROPOSTAS_2026'!B:B, "&gt;="&amp;DATE(2026,6,1),
         'CONTROLE DE PROPOSTAS_2026'!B:B, "&lt;="&amp;DATE(2026,6,30))</f>
        <v>13745306.539999999</v>
      </c>
      <c r="F7" s="172">
        <f>SUMIFS('CONTROLE DE PROPOSTAS_2026'!L:L,
         'CONTROLE DE PROPOSTAS_2026'!O:O, "APROVADA",
         'CONTROLE DE PROPOSTAS_2026'!P:P, "&gt;="&amp;DATE(2026,6,1),
         'CONTROLE DE PROPOSTAS_2026'!B:B, "&lt;="&amp;DATE(2026,6,30))</f>
        <v>5097873.42</v>
      </c>
      <c r="G7" s="172">
        <f>SUMIFS('CONTROLE DE PROPOSTAS_2026'!L:L,
         'CONTROLE DE PROPOSTAS_2026'!O:O, "CANCELADA",
         'CONTROLE DE PROPOSTAS_2026'!B:B, "&gt;="&amp;DATE(2026,6,1),
         'CONTROLE DE PROPOSTAS_2026'!B:B, "&lt;="&amp;DATE(2026,6,30))</f>
        <v>96500</v>
      </c>
      <c r="H7" s="173">
        <f t="shared" si="0"/>
        <v>45634903.960000001</v>
      </c>
      <c r="J7" s="167"/>
      <c r="K7" s="168"/>
    </row>
    <row r="8" spans="2:11" ht="18.75">
      <c r="B8" s="170" t="s">
        <v>511</v>
      </c>
      <c r="C8" s="171">
        <f>SUMIFS('CONTROLE DE PROPOSTAS_2026'!L:L,
         'CONTROLE DE PROPOSTAS_2026'!O:O, "EM ABERTO",
         'CONTROLE DE PROPOSTAS_2026'!B:B, "&gt;="&amp;DATE(2026,7,1),
         'CONTROLE DE PROPOSTAS_2026'!B:B, "&lt;="&amp;DATE(2026,7,31))</f>
        <v>14119029.5</v>
      </c>
      <c r="D8" s="172">
        <f>SUMIFS('CONTROLE DE PROPOSTAS_2026'!L:L,
         'CONTROLE DE PROPOSTAS_2026'!O:O, "NEGOCIAÇÃO",
         'CONTROLE DE PROPOSTAS_2026'!B:B, "&gt;="&amp;DATE(2026,7,1),
         'CONTROLE DE PROPOSTAS_2026'!B:B, "&lt;="&amp;DATE(2026,7,31))</f>
        <v>1519137</v>
      </c>
      <c r="E8" s="172">
        <f>SUMIFS('CONTROLE DE PROPOSTAS_2026'!L:L,
         'CONTROLE DE PROPOSTAS_2026'!O:O, "PERDIDA",
         'CONTROLE DE PROPOSTAS_2026'!B:B, "&gt;="&amp;DATE(2026,7,1),
         'CONTROLE DE PROPOSTAS_2026'!B:B, "&lt;="&amp;DATE(2026,7,31))</f>
        <v>5049772</v>
      </c>
      <c r="F8" s="172">
        <f>SUMIFS('CONTROLE DE PROPOSTAS_2026'!L:L,
         'CONTROLE DE PROPOSTAS_2026'!O:O, "APROVADA",
         'CONTROLE DE PROPOSTAS_2026'!P:P, "&gt;="&amp;DATE(2026,7,1),
         'CONTROLE DE PROPOSTAS_2026'!B:B, "&lt;="&amp;DATE(2026,7,31))</f>
        <v>3450753.19</v>
      </c>
      <c r="G8" s="172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3">
        <f t="shared" si="0"/>
        <v>24138691.690000001</v>
      </c>
      <c r="J8" s="167"/>
      <c r="K8" s="169"/>
    </row>
    <row r="9" spans="2:11" ht="18.75">
      <c r="B9" s="170" t="s">
        <v>510</v>
      </c>
      <c r="C9" s="171">
        <f>SUMIFS('CONTROLE DE PROPOSTAS_2026'!L:L,
         'CONTROLE DE PROPOSTAS_2026'!O:O, "EM ABERTO",
         'CONTROLE DE PROPOSTAS_2026'!B:B, "&gt;="&amp;DATE(2026,8,1),
         'CONTROLE DE PROPOSTAS_2026'!B:B, "&lt;="&amp;DATE(2026,8,31))</f>
        <v>8825850</v>
      </c>
      <c r="D9" s="172">
        <f>SUMIFS('CONTROLE DE PROPOSTAS_2026'!L:L,
         'CONTROLE DE PROPOSTAS_2026'!O:O, "NEGOCIAÇÃO",
         'CONTROLE DE PROPOSTAS_2026'!B:B, "&gt;="&amp;DATE(2026,8,1),
         'CONTROLE DE PROPOSTAS_2026'!B:B, "&lt;="&amp;DATE(2026,8,31))</f>
        <v>220032</v>
      </c>
      <c r="E9" s="172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2">
        <f>SUMIFS('CONTROLE DE PROPOSTAS_2026'!L:L,
         'CONTROLE DE PROPOSTAS_2026'!O:O, "APROVADA",
         'CONTROLE DE PROPOSTAS_2026'!P:P, "&gt;="&amp;DATE(2026,8,1),
         'CONTROLE DE PROPOSTAS_2026'!B:B, "&lt;="&amp;DATE(2026,8,31))</f>
        <v>1974295.6600000001</v>
      </c>
      <c r="G9" s="172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3">
        <f t="shared" si="0"/>
        <v>11020177.66</v>
      </c>
    </row>
    <row r="10" spans="2:11" ht="18.75">
      <c r="B10" s="170" t="s">
        <v>509</v>
      </c>
      <c r="C10" s="171">
        <f>SUMIFS('CONTROLE DE PROPOSTAS_2026'!L:L,
         'CONTROLE DE PROPOSTAS_2026'!O:O, "EM ABERTO",
         'CONTROLE DE PROPOSTAS_2026'!B:B, "&gt;="&amp;DATE(2026,9,1),
         'CONTROLE DE PROPOSTAS_2026'!B:B, "&lt;="&amp;DATE(2026,9,30))</f>
        <v>1398190</v>
      </c>
      <c r="D10" s="172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2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2">
        <f>SUMIFS('CONTROLE DE PROPOSTAS_2026'!L:L,
         'CONTROLE DE PROPOSTAS_2026'!O:O, "APROVADA",
         'CONTROLE DE PROPOSTAS_2026'!P:P, "&gt;="&amp;DATE(2026,9,1),
         'CONTROLE DE PROPOSTAS_2026'!B:B, "&lt;="&amp;DATE(2026,9,30))</f>
        <v>1320976.8</v>
      </c>
      <c r="G10" s="172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3">
        <f t="shared" si="0"/>
        <v>2719166.8</v>
      </c>
    </row>
    <row r="11" spans="2:11" ht="18.75">
      <c r="B11" s="170" t="s">
        <v>508</v>
      </c>
      <c r="C11" s="171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2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2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2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2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3">
        <f t="shared" si="0"/>
        <v>0</v>
      </c>
    </row>
    <row r="12" spans="2:11" ht="18.75">
      <c r="B12" s="170" t="s">
        <v>507</v>
      </c>
      <c r="C12" s="171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2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2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2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2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3">
        <f t="shared" si="0"/>
        <v>0</v>
      </c>
    </row>
    <row r="13" spans="2:11" ht="18.75">
      <c r="B13" s="170" t="s">
        <v>506</v>
      </c>
      <c r="C13" s="171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2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2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2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2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3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331" t="s">
        <v>488</v>
      </c>
      <c r="B1" s="331"/>
      <c r="C1" s="331"/>
      <c r="D1" s="331"/>
      <c r="E1" s="331"/>
      <c r="F1" s="331"/>
    </row>
    <row r="2" spans="1:16381" ht="18.75">
      <c r="A2" s="115" t="s">
        <v>304</v>
      </c>
      <c r="B2" s="109" t="s">
        <v>489</v>
      </c>
      <c r="C2" s="109" t="s">
        <v>490</v>
      </c>
      <c r="D2" s="112" t="s">
        <v>491</v>
      </c>
      <c r="E2" s="110" t="s">
        <v>492</v>
      </c>
      <c r="F2" s="116" t="s">
        <v>493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58850E1A-AA42-42ED-A474-5E11E37B95C5}">
  <ds:schemaRefs/>
</ds:datastoreItem>
</file>

<file path=customXml/itemProps2.xml><?xml version="1.0" encoding="utf-8"?>
<ds:datastoreItem xmlns:ds="http://schemas.openxmlformats.org/officeDocument/2006/customXml" ds:itemID="{E6596FDB-1CD1-4B70-9B18-0D6C890EE2DB}">
  <ds:schemaRefs/>
</ds:datastoreItem>
</file>

<file path=customXml/itemProps3.xml><?xml version="1.0" encoding="utf-8"?>
<ds:datastoreItem xmlns:ds="http://schemas.openxmlformats.org/officeDocument/2006/customXml" ds:itemID="{4CB9B6AB-AEBA-4F52-A4D6-3D2FFA890641}">
  <ds:schemaRefs/>
</ds:datastoreItem>
</file>

<file path=customXml/itemProps4.xml><?xml version="1.0" encoding="utf-8"?>
<ds:datastoreItem xmlns:ds="http://schemas.openxmlformats.org/officeDocument/2006/customXml" ds:itemID="{8D7EEA88-AEF9-4B29-B588-4215162A22D0}">
  <ds:schemaRefs/>
</ds:datastoreItem>
</file>

<file path=customXml/itemProps5.xml><?xml version="1.0" encoding="utf-8"?>
<ds:datastoreItem xmlns:ds="http://schemas.openxmlformats.org/officeDocument/2006/customXml" ds:itemID="{D91DE483-627C-426D-AC0A-C3247A9302F7}">
  <ds:schemaRefs/>
</ds:datastoreItem>
</file>

<file path=customXml/itemProps6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7.xml><?xml version="1.0" encoding="utf-8"?>
<ds:datastoreItem xmlns:ds="http://schemas.openxmlformats.org/officeDocument/2006/customXml" ds:itemID="{0FD8B868-ED02-4443-BADB-757412A1A9E9}">
  <ds:schemaRefs/>
</ds:datastoreItem>
</file>

<file path=customXml/itemProps8.xml><?xml version="1.0" encoding="utf-8"?>
<ds:datastoreItem xmlns:ds="http://schemas.openxmlformats.org/officeDocument/2006/customXml" ds:itemID="{982C09EE-ED66-40C7-8AC6-390086D6DC99}">
  <ds:schemaRefs/>
</ds:datastoreItem>
</file>

<file path=customXml/itemProps9.xml><?xml version="1.0" encoding="utf-8"?>
<ds:datastoreItem xmlns:ds="http://schemas.openxmlformats.org/officeDocument/2006/customXml" ds:itemID="{FD8ED913-2A2D-4EDB-88C2-5FEFB5140ED6}">
  <ds:schemaRefs/>
</ds:datastoreItem>
</file>

<file path=customXml/itemProps10.xml><?xml version="1.0" encoding="utf-8"?>
<ds:datastoreItem xmlns:ds="http://schemas.openxmlformats.org/officeDocument/2006/customXml" ds:itemID="{8FE1CF45-085D-459B-A7B3-D12FEDB00648}">
  <ds:schemaRefs/>
</ds:datastoreItem>
</file>

<file path=customXml/itemProps11.xml><?xml version="1.0" encoding="utf-8"?>
<ds:datastoreItem xmlns:ds="http://schemas.openxmlformats.org/officeDocument/2006/customXml" ds:itemID="{02E51E17-62BE-4FEB-8C10-EAA2DBA36FD7}">
  <ds:schemaRefs/>
</ds:datastoreItem>
</file>

<file path=customXml/itemProps12.xml><?xml version="1.0" encoding="utf-8"?>
<ds:datastoreItem xmlns:ds="http://schemas.openxmlformats.org/officeDocument/2006/customXml" ds:itemID="{3642F137-5C2F-4029-999B-A97C28A972A9}">
  <ds:schemaRefs/>
</ds:datastoreItem>
</file>

<file path=customXml/itemProps13.xml><?xml version="1.0" encoding="utf-8"?>
<ds:datastoreItem xmlns:ds="http://schemas.openxmlformats.org/officeDocument/2006/customXml" ds:itemID="{AADB22AD-C66C-4277-A95F-0602A38CADC0}">
  <ds:schemaRefs/>
</ds:datastoreItem>
</file>

<file path=customXml/itemProps14.xml><?xml version="1.0" encoding="utf-8"?>
<ds:datastoreItem xmlns:ds="http://schemas.openxmlformats.org/officeDocument/2006/customXml" ds:itemID="{0DABB6AA-7CA0-4236-950B-26780B674ADB}">
  <ds:schemaRefs/>
</ds:datastoreItem>
</file>

<file path=customXml/itemProps15.xml><?xml version="1.0" encoding="utf-8"?>
<ds:datastoreItem xmlns:ds="http://schemas.openxmlformats.org/officeDocument/2006/customXml" ds:itemID="{D1B90390-2F67-44D3-B08C-20576C1B3CFF}">
  <ds:schemaRefs/>
</ds:datastoreItem>
</file>

<file path=customXml/itemProps16.xml><?xml version="1.0" encoding="utf-8"?>
<ds:datastoreItem xmlns:ds="http://schemas.openxmlformats.org/officeDocument/2006/customXml" ds:itemID="{3A9BC4CC-CC6D-4628-8EFC-1662F74954AF}">
  <ds:schemaRefs/>
</ds:datastoreItem>
</file>

<file path=customXml/itemProps17.xml><?xml version="1.0" encoding="utf-8"?>
<ds:datastoreItem xmlns:ds="http://schemas.openxmlformats.org/officeDocument/2006/customXml" ds:itemID="{59B9F3B0-B3D7-4F00-813D-4FFBDABA78D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CONTROLE DE PROPOSTAS_2026</vt:lpstr>
      <vt:lpstr>RESUMO ABERTAS_NEGOCIAÇÃO</vt:lpstr>
      <vt:lpstr>ESCOPO PROPOSTAS </vt:lpstr>
      <vt:lpstr>CONTROLE DE PROPOSTAS ENVIADAS</vt:lpstr>
      <vt:lpstr>TOTAL DE VENDA_2026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2026-08-11T11:08:11Z</cp:lastPrinted>
  <dcterms:created xsi:type="dcterms:W3CDTF">2015-06-05T18:19:34Z</dcterms:created>
  <dcterms:modified xsi:type="dcterms:W3CDTF">2026-09-10T16:24:17Z</dcterms:modified>
  <cp:category/>
  <cp:contentStatus/>
</cp:coreProperties>
</file>