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2B98A6B7-F58F-4D5C-B9AB-B543826473B1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9" l="1"/>
  <c r="K176" i="17"/>
  <c r="L406" i="17"/>
  <c r="N407" i="17"/>
  <c r="N148" i="17"/>
  <c r="L240" i="17"/>
  <c r="K240" i="17"/>
  <c r="L324" i="17"/>
  <c r="N325" i="17"/>
  <c r="L227" i="17"/>
  <c r="K227" i="17"/>
  <c r="L206" i="17"/>
  <c r="K369" i="17"/>
  <c r="L219" i="17"/>
  <c r="L314" i="17"/>
  <c r="L212" i="17"/>
  <c r="K212" i="17"/>
  <c r="L239" i="17"/>
  <c r="K239" i="17"/>
  <c r="L237" i="17"/>
  <c r="K237" i="17"/>
  <c r="L181" i="17"/>
  <c r="K181" i="17"/>
  <c r="N181" i="17"/>
  <c r="L233" i="17"/>
  <c r="K225" i="17"/>
  <c r="N337" i="17"/>
  <c r="L205" i="17"/>
  <c r="K205" i="17"/>
  <c r="K260" i="17"/>
  <c r="N267" i="17"/>
  <c r="N389" i="17"/>
  <c r="N310" i="17"/>
  <c r="N224" i="17"/>
  <c r="N215" i="17"/>
  <c r="N393" i="17"/>
  <c r="N182" i="17"/>
  <c r="G55" i="25"/>
  <c r="F55" i="25"/>
  <c r="E55" i="25"/>
  <c r="D55" i="25"/>
  <c r="C55" i="25"/>
  <c r="N197" i="17"/>
  <c r="L365" i="17"/>
  <c r="K276" i="17"/>
  <c r="N264" i="17"/>
  <c r="L363" i="17"/>
  <c r="K363" i="17"/>
  <c r="L309" i="17"/>
  <c r="N309" i="17"/>
  <c r="L346" i="17"/>
  <c r="N346" i="17"/>
  <c r="L353" i="17"/>
  <c r="N327" i="17"/>
  <c r="L248" i="17"/>
  <c r="K248" i="17"/>
  <c r="L292" i="17"/>
  <c r="L107" i="17"/>
  <c r="K107" i="17"/>
  <c r="N120" i="17"/>
  <c r="N255" i="17"/>
  <c r="H55" i="25" l="1"/>
  <c r="L270" i="17"/>
  <c r="K196" i="17"/>
  <c r="N254" i="17"/>
  <c r="K266" i="17"/>
  <c r="K232" i="17"/>
  <c r="L241" i="17"/>
  <c r="N241" i="17" s="1"/>
  <c r="N244" i="17"/>
  <c r="K242" i="17"/>
  <c r="N343" i="17"/>
  <c r="N230" i="17"/>
  <c r="L208" i="17"/>
  <c r="L332" i="17"/>
  <c r="N14" i="17" l="1"/>
  <c r="L214" i="17"/>
  <c r="L207" i="17"/>
  <c r="K207" i="17"/>
  <c r="N218" i="17"/>
  <c r="L222" i="17" l="1"/>
  <c r="K222" i="17"/>
  <c r="N210" i="17"/>
  <c r="N211" i="17"/>
  <c r="N132" i="17"/>
  <c r="N190" i="17"/>
  <c r="K288" i="17"/>
  <c r="N179" i="17"/>
  <c r="L177" i="17"/>
  <c r="L167" i="17"/>
  <c r="L158" i="17"/>
  <c r="N31" i="17"/>
  <c r="N118" i="17"/>
  <c r="L376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57" i="17"/>
  <c r="L57" i="17"/>
  <c r="L135" i="17"/>
  <c r="K381" i="17"/>
  <c r="K370" i="17"/>
  <c r="K305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28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280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261" i="17"/>
  <c r="N58" i="17"/>
  <c r="N59" i="17"/>
  <c r="D24" i="25" s="1"/>
  <c r="N60" i="17"/>
  <c r="N72" i="17"/>
  <c r="N62" i="17"/>
  <c r="N250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305" i="17"/>
  <c r="N101" i="17"/>
  <c r="N102" i="17"/>
  <c r="N103" i="17"/>
  <c r="N104" i="17"/>
  <c r="N105" i="17"/>
  <c r="N251" i="17"/>
  <c r="N260" i="17"/>
  <c r="N108" i="17"/>
  <c r="N109" i="17"/>
  <c r="N110" i="17"/>
  <c r="N112" i="17"/>
  <c r="N113" i="17"/>
  <c r="N114" i="17"/>
  <c r="N115" i="17"/>
  <c r="N116" i="17"/>
  <c r="N370" i="17"/>
  <c r="N381" i="17"/>
  <c r="N117" i="17"/>
  <c r="N122" i="17"/>
  <c r="N123" i="17"/>
  <c r="N124" i="17"/>
  <c r="N125" i="17"/>
  <c r="N126" i="17"/>
  <c r="N127" i="17"/>
  <c r="N57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372" i="17"/>
  <c r="D27" i="25" s="1"/>
  <c r="N143" i="17"/>
  <c r="N144" i="17"/>
  <c r="N145" i="17"/>
  <c r="N147" i="17"/>
  <c r="N146" i="17"/>
  <c r="N276" i="17"/>
  <c r="N149" i="17"/>
  <c r="N150" i="17"/>
  <c r="N151" i="17"/>
  <c r="N152" i="17"/>
  <c r="N153" i="17"/>
  <c r="N154" i="17"/>
  <c r="N155" i="17"/>
  <c r="N156" i="17"/>
  <c r="N157" i="17"/>
  <c r="N158" i="17"/>
  <c r="N160" i="17"/>
  <c r="N376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315" i="17"/>
  <c r="N177" i="17"/>
  <c r="N178" i="17"/>
  <c r="N359" i="17"/>
  <c r="N387" i="17"/>
  <c r="N183" i="17"/>
  <c r="N184" i="17"/>
  <c r="N185" i="17"/>
  <c r="N186" i="17"/>
  <c r="N187" i="17"/>
  <c r="N188" i="17"/>
  <c r="N189" i="17"/>
  <c r="N191" i="17"/>
  <c r="N192" i="17"/>
  <c r="N193" i="17"/>
  <c r="N283" i="17"/>
  <c r="N329" i="17"/>
  <c r="N288" i="17"/>
  <c r="N198" i="17"/>
  <c r="N199" i="17"/>
  <c r="N200" i="17"/>
  <c r="N398" i="17"/>
  <c r="D18" i="25" s="1"/>
  <c r="N202" i="17"/>
  <c r="N204" i="17"/>
  <c r="N222" i="17"/>
  <c r="N332" i="17"/>
  <c r="N207" i="17"/>
  <c r="N208" i="17"/>
  <c r="N209" i="17"/>
  <c r="N386" i="17"/>
  <c r="N366" i="17"/>
  <c r="N214" i="17"/>
  <c r="N216" i="17"/>
  <c r="N217" i="17"/>
  <c r="N339" i="17"/>
  <c r="N220" i="17"/>
  <c r="N350" i="17"/>
  <c r="N265" i="17"/>
  <c r="N223" i="17"/>
  <c r="N349" i="17"/>
  <c r="N226" i="17"/>
  <c r="N402" i="17"/>
  <c r="N228" i="17"/>
  <c r="N229" i="17"/>
  <c r="N231" i="17"/>
  <c r="N195" i="17"/>
  <c r="N234" i="17"/>
  <c r="N235" i="17"/>
  <c r="N236" i="17"/>
  <c r="N232" i="17"/>
  <c r="N238" i="17"/>
  <c r="N275" i="17"/>
  <c r="N352" i="17"/>
  <c r="N242" i="17"/>
  <c r="N243" i="17"/>
  <c r="N245" i="17"/>
  <c r="N246" i="17"/>
  <c r="N247" i="17"/>
  <c r="N375" i="17"/>
  <c r="N266" i="17"/>
  <c r="N357" i="17"/>
  <c r="N253" i="17"/>
  <c r="N317" i="17"/>
  <c r="N256" i="17"/>
  <c r="N258" i="17"/>
  <c r="N259" i="17"/>
  <c r="N107" i="17"/>
  <c r="N291" i="17"/>
  <c r="N262" i="17"/>
  <c r="N284" i="17"/>
  <c r="N16" i="17"/>
  <c r="N194" i="17"/>
  <c r="N196" i="17"/>
  <c r="N362" i="17"/>
  <c r="N368" i="17"/>
  <c r="N270" i="17"/>
  <c r="N320" i="17"/>
  <c r="N298" i="17"/>
  <c r="N273" i="17"/>
  <c r="N274" i="17"/>
  <c r="N360" i="17"/>
  <c r="N277" i="17"/>
  <c r="N278" i="17"/>
  <c r="N390" i="17"/>
  <c r="N323" i="17"/>
  <c r="N281" i="17"/>
  <c r="N328" i="17"/>
  <c r="N161" i="17"/>
  <c r="N354" i="17"/>
  <c r="N285" i="17"/>
  <c r="N356" i="17"/>
  <c r="N333" i="17"/>
  <c r="N396" i="17"/>
  <c r="N289" i="17"/>
  <c r="N353" i="17"/>
  <c r="N292" i="17"/>
  <c r="N248" i="17"/>
  <c r="N304" i="17"/>
  <c r="N365" i="17"/>
  <c r="N399" i="17"/>
  <c r="N382" i="17"/>
  <c r="N300" i="17"/>
  <c r="N301" i="17"/>
  <c r="N201" i="17"/>
  <c r="N303" i="17"/>
  <c r="N380" i="17"/>
  <c r="N314" i="17"/>
  <c r="N299" i="17"/>
  <c r="N363" i="17"/>
  <c r="N290" i="17"/>
  <c r="N293" i="17"/>
  <c r="N311" i="17"/>
  <c r="N287" i="17"/>
  <c r="N312" i="17"/>
  <c r="N313" i="17"/>
  <c r="N394" i="17"/>
  <c r="N63" i="17"/>
  <c r="N100" i="17"/>
  <c r="N106" i="17"/>
  <c r="N119" i="17"/>
  <c r="N257" i="17"/>
  <c r="N316" i="17"/>
  <c r="N361" i="17"/>
  <c r="N364" i="17"/>
  <c r="N307" i="17"/>
  <c r="N142" i="17"/>
  <c r="N345" i="17"/>
  <c r="N326" i="17"/>
  <c r="N252" i="17"/>
  <c r="N294" i="17"/>
  <c r="N205" i="17"/>
  <c r="N347" i="17"/>
  <c r="N351" i="17"/>
  <c r="N319" i="17"/>
  <c r="N377" i="17"/>
  <c r="N225" i="17"/>
  <c r="N348" i="17"/>
  <c r="N340" i="17"/>
  <c r="N331" i="17"/>
  <c r="N219" i="17"/>
  <c r="N306" i="17"/>
  <c r="N341" i="17"/>
  <c r="N36" i="17"/>
  <c r="N233" i="17"/>
  <c r="N203" i="17"/>
  <c r="N403" i="17"/>
  <c r="N279" i="17"/>
  <c r="N272" i="17"/>
  <c r="N392" i="17"/>
  <c r="N237" i="17"/>
  <c r="N271" i="17"/>
  <c r="N239" i="17"/>
  <c r="N212" i="17"/>
  <c r="N121" i="17"/>
  <c r="N176" i="17"/>
  <c r="N371" i="17"/>
  <c r="N367" i="17"/>
  <c r="N358" i="17"/>
  <c r="N269" i="17"/>
  <c r="N128" i="17"/>
  <c r="N321" i="17"/>
  <c r="N401" i="17"/>
  <c r="N408" i="17"/>
  <c r="N322" i="17"/>
  <c r="N338" i="17"/>
  <c r="N409" i="17"/>
  <c r="N221" i="17"/>
  <c r="N263" i="17"/>
  <c r="N369" i="17"/>
  <c r="N308" i="17"/>
  <c r="N180" i="17"/>
  <c r="N400" i="17"/>
  <c r="N373" i="17"/>
  <c r="N374" i="17"/>
  <c r="N395" i="17"/>
  <c r="N383" i="17"/>
  <c r="N391" i="17"/>
  <c r="N227" i="17"/>
  <c r="N379" i="17"/>
  <c r="N411" i="17"/>
  <c r="N330" i="17"/>
  <c r="N342" i="17"/>
  <c r="N388" i="17"/>
  <c r="N206" i="17"/>
  <c r="N385" i="17"/>
  <c r="N240" i="17"/>
  <c r="N318" i="17"/>
  <c r="N295" i="17"/>
  <c r="N335" i="17"/>
  <c r="N336" i="17"/>
  <c r="N297" i="17"/>
  <c r="N282" i="17"/>
  <c r="N334" i="17"/>
  <c r="N324" i="17"/>
  <c r="N213" i="17"/>
  <c r="N249" i="17"/>
  <c r="N397" i="17"/>
  <c r="N412" i="17"/>
  <c r="N413" i="17"/>
  <c r="N268" i="17"/>
  <c r="N384" i="17"/>
  <c r="N404" i="17"/>
  <c r="N405" i="17"/>
  <c r="N302" i="17"/>
  <c r="N378" i="17"/>
  <c r="N406" i="17"/>
  <c r="N410" i="17"/>
  <c r="N355" i="17"/>
  <c r="N344" i="17"/>
  <c r="N414" i="17"/>
  <c r="N296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5" i="19" l="1"/>
  <c r="C16" i="19"/>
  <c r="A14" i="24"/>
  <c r="H13" i="27"/>
  <c r="H12" i="27"/>
  <c r="H10" i="27"/>
  <c r="H36" i="25"/>
  <c r="H11" i="27"/>
  <c r="D3" i="19"/>
  <c r="D4" i="19" s="1"/>
  <c r="D5" i="19" s="1"/>
  <c r="D6" i="19" s="1"/>
  <c r="D7" i="19" s="1"/>
  <c r="D8" i="19" s="1"/>
  <c r="D9" i="19" s="1"/>
  <c r="D10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sharedStrings.xml><?xml version="1.0" encoding="utf-8"?>
<sst xmlns="http://schemas.openxmlformats.org/spreadsheetml/2006/main" count="4418" uniqueCount="1744">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</sst>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1091831110345397E-2"/>
                  <c:y val="-4.3688297886978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16184499.929999998</c:v>
                </c:pt>
                <c:pt idx="7">
                  <c:v>16942452.789999999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2118072.5299999998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757952.86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7" totalsRowShown="0" headerRowDxfId="76" dataDxfId="75" tableBorderDxfId="74" headerRowCellStyle="Normal" dataCellStyle="Normal">
  <autoFilter ref="A1:T497" xr:uid="{D39B971D-BAB4-4D6B-9B39-3EBCE0A9E872}">
    <filterColumn colId="14">
      <filters>
        <filter val="NEGOCIAÇÃO"/>
      </filters>
    </filterColumn>
  </autoFilter>
  <sortState xmlns:xlrd2="http://schemas.microsoft.com/office/spreadsheetml/2017/richdata2" ref="A16:T416">
    <sortCondition descending="1" ref="L1:L497"/>
  </sortState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16942452.789999999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416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126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136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101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4"/>
  <sheetViews>
    <sheetView tabSelected="1" topLeftCell="A142" zoomScale="85" zoomScaleNormal="85" zoomScaleSheetLayoutView="90" workbookViewId="0">
      <pane xSplit="4" topLeftCell="H1" activePane="topRight" state="frozen"/>
      <selection pane="topRight" activeCell="C1" sqref="C1:O402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 hidden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 hidden="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 hidden="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 hidden="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 hidden="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 hidden="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 hidden="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 hidden="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 hidden="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 hidden="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 hidden="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 hidden="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 hidden="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 hidden="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 hidden="1">
      <c r="A16" s="144">
        <v>249</v>
      </c>
      <c r="B16" s="214">
        <v>46156</v>
      </c>
      <c r="C16" s="214" t="s">
        <v>1347</v>
      </c>
      <c r="D16" s="215" t="s">
        <v>1348</v>
      </c>
      <c r="E16" s="215" t="s">
        <v>497</v>
      </c>
      <c r="F16" s="215" t="s">
        <v>647</v>
      </c>
      <c r="G16" s="215" t="s">
        <v>1349</v>
      </c>
      <c r="H16" s="146" t="s">
        <v>522</v>
      </c>
      <c r="I16" s="214">
        <v>46160</v>
      </c>
      <c r="J16" s="214">
        <v>46195</v>
      </c>
      <c r="K16" s="216">
        <v>200</v>
      </c>
      <c r="L16" s="184">
        <v>11117404</v>
      </c>
      <c r="M16" s="185">
        <v>0.25</v>
      </c>
      <c r="N16" s="180">
        <f>IFERROR(Tabela225[[#This Row],[VALOR  (R$)]]/Tabela225[[#This Row],[PRAZO
EXECUÇÃO]],0)</f>
        <v>55587.02</v>
      </c>
      <c r="O16" s="211" t="s">
        <v>506</v>
      </c>
      <c r="P16" s="214"/>
      <c r="Q16" s="215"/>
      <c r="R16" s="146">
        <v>2026</v>
      </c>
      <c r="S16" s="214"/>
      <c r="T16" s="146"/>
      <c r="U16" s="132"/>
    </row>
    <row r="17" spans="1:21" hidden="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 hidden="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 hidden="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 hidden="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 hidden="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 hidden="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 hidden="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 hidden="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 hidden="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 hidden="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 hidden="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 hidden="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 hidden="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 hidden="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 hidden="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 hidden="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 hidden="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 hidden="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 hidden="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 hidden="1">
      <c r="A36" s="144">
        <v>327</v>
      </c>
      <c r="B36" s="145">
        <v>46195</v>
      </c>
      <c r="C36" s="214" t="s">
        <v>1558</v>
      </c>
      <c r="D36" s="146" t="s">
        <v>469</v>
      </c>
      <c r="E36" s="146" t="s">
        <v>497</v>
      </c>
      <c r="F36" s="146" t="s">
        <v>1559</v>
      </c>
      <c r="G36" s="146" t="s">
        <v>1560</v>
      </c>
      <c r="H36" s="146" t="s">
        <v>522</v>
      </c>
      <c r="I36" s="145">
        <v>46197</v>
      </c>
      <c r="J36" s="145">
        <v>46196</v>
      </c>
      <c r="K36" s="144">
        <v>100</v>
      </c>
      <c r="L36" s="180">
        <v>7361011.54</v>
      </c>
      <c r="M36" s="178">
        <v>0.2</v>
      </c>
      <c r="N36" s="180">
        <f>IFERROR(Tabela225[[#This Row],[VALOR  (R$)]]/Tabela225[[#This Row],[PRAZO
EXECUÇÃO]],0)</f>
        <v>73610.115399999995</v>
      </c>
      <c r="O36" s="211" t="s">
        <v>506</v>
      </c>
      <c r="P36" s="145"/>
      <c r="Q36" s="146"/>
      <c r="R36" s="146"/>
      <c r="S36" s="145"/>
      <c r="T36" s="146"/>
      <c r="U36" s="132"/>
    </row>
    <row r="37" spans="1:21" hidden="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 hidden="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 hidden="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 hidden="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 hidden="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 hidden="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 hidden="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 hidden="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 hidden="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 hidden="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 hidden="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 hidden="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 hidden="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 hidden="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 hidden="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 hidden="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 hidden="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 hidden="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 hidden="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 hidden="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 hidden="1">
      <c r="A57" s="144">
        <v>114</v>
      </c>
      <c r="B57" s="145">
        <v>46086</v>
      </c>
      <c r="C57" s="146" t="s">
        <v>985</v>
      </c>
      <c r="D57" s="146" t="s">
        <v>604</v>
      </c>
      <c r="E57" s="146" t="s">
        <v>619</v>
      </c>
      <c r="F57" s="146" t="s">
        <v>986</v>
      </c>
      <c r="G57" s="146" t="s">
        <v>987</v>
      </c>
      <c r="H57" s="146" t="s">
        <v>522</v>
      </c>
      <c r="I57" s="145">
        <v>46091</v>
      </c>
      <c r="J57" s="145">
        <v>46094</v>
      </c>
      <c r="K57" s="144">
        <f>(22*4)+(19*4)</f>
        <v>164</v>
      </c>
      <c r="L57" s="180">
        <f>(495000*4)+(435000*4)+(228000*4)+95340+95139+92947+93070+106560+105840+100050+100050</f>
        <v>5420996</v>
      </c>
      <c r="M57" s="178">
        <v>0.26</v>
      </c>
      <c r="N57" s="180">
        <f>IFERROR(Tabela225[[#This Row],[VALOR  (R$)]]/Tabela225[[#This Row],[PRAZO
EXECUÇÃO]],0)</f>
        <v>33054.853658536587</v>
      </c>
      <c r="O57" s="211" t="s">
        <v>506</v>
      </c>
      <c r="P57" s="145"/>
      <c r="Q57" s="146"/>
      <c r="R57" s="146"/>
      <c r="S57" s="145"/>
      <c r="T57" s="146"/>
      <c r="U57" s="132"/>
    </row>
    <row r="58" spans="1:21" hidden="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 hidden="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 hidden="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 hidden="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 hidden="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 hidden="1">
      <c r="A63" s="144">
        <v>300</v>
      </c>
      <c r="B63" s="145">
        <v>46182</v>
      </c>
      <c r="C63" s="214" t="s">
        <v>1496</v>
      </c>
      <c r="D63" s="146" t="s">
        <v>1497</v>
      </c>
      <c r="E63" s="146" t="s">
        <v>497</v>
      </c>
      <c r="F63" s="146" t="s">
        <v>1544</v>
      </c>
      <c r="G63" s="146" t="s">
        <v>1498</v>
      </c>
      <c r="H63" s="146" t="s">
        <v>522</v>
      </c>
      <c r="I63" s="145">
        <v>46191</v>
      </c>
      <c r="J63" s="145">
        <v>46191</v>
      </c>
      <c r="K63" s="144">
        <v>120</v>
      </c>
      <c r="L63" s="180">
        <v>5402514.4400000004</v>
      </c>
      <c r="M63" s="178">
        <v>0.25</v>
      </c>
      <c r="N63" s="180">
        <f>IFERROR(Tabela225[[#This Row],[VALOR  (R$)]]/Tabela225[[#This Row],[PRAZO
EXECUÇÃO]],0)</f>
        <v>45020.953666666668</v>
      </c>
      <c r="O63" s="211" t="s">
        <v>506</v>
      </c>
      <c r="P63" s="145"/>
      <c r="Q63" s="146"/>
      <c r="R63" s="146"/>
      <c r="S63" s="145"/>
      <c r="T63" s="146"/>
      <c r="U63" s="132"/>
    </row>
    <row r="64" spans="1:21" hidden="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 hidden="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 hidden="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 hidden="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 hidden="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 hidden="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 hidden="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 hidden="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573</v>
      </c>
      <c r="P71" s="145"/>
      <c r="Q71" s="146"/>
      <c r="R71" s="146"/>
      <c r="S71" s="145"/>
      <c r="T71" s="146"/>
      <c r="U71" s="132"/>
    </row>
    <row r="72" spans="1:21" hidden="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 hidden="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 hidden="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 hidden="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635</v>
      </c>
      <c r="P75" s="145">
        <v>46237</v>
      </c>
      <c r="Q75" s="146"/>
      <c r="R75" s="146"/>
      <c r="S75" s="145"/>
      <c r="T75" s="146" t="s">
        <v>1080</v>
      </c>
      <c r="U75" s="132"/>
    </row>
    <row r="76" spans="1:21" hidden="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 hidden="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 hidden="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 hidden="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 hidden="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 hidden="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 hidden="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 hidden="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 hidden="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 hidden="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 hidden="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 hidden="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 hidden="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 hidden="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 hidden="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 hidden="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 hidden="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 hidden="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 hidden="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 hidden="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 hidden="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 hidden="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 hidden="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 hidden="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 hidden="1">
      <c r="A100" s="144">
        <v>301</v>
      </c>
      <c r="B100" s="145">
        <v>46182</v>
      </c>
      <c r="C100" s="214" t="s">
        <v>1499</v>
      </c>
      <c r="D100" s="146" t="s">
        <v>1497</v>
      </c>
      <c r="E100" s="146" t="s">
        <v>497</v>
      </c>
      <c r="F100" s="146" t="s">
        <v>1040</v>
      </c>
      <c r="G100" s="146" t="s">
        <v>1498</v>
      </c>
      <c r="H100" s="146" t="s">
        <v>522</v>
      </c>
      <c r="I100" s="145">
        <v>46191</v>
      </c>
      <c r="J100" s="145">
        <v>46191</v>
      </c>
      <c r="K100" s="144">
        <v>120</v>
      </c>
      <c r="L100" s="180">
        <v>5397584.4400000004</v>
      </c>
      <c r="M100" s="178">
        <v>0.25</v>
      </c>
      <c r="N100" s="180">
        <f>IFERROR(Tabela225[[#This Row],[VALOR  (R$)]]/Tabela225[[#This Row],[PRAZO
EXECUÇÃO]],0)</f>
        <v>44979.87033333334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 hidden="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 hidden="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 hidden="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 hidden="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 hidden="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 hidden="1">
      <c r="A106" s="144">
        <v>302</v>
      </c>
      <c r="B106" s="145">
        <v>46182</v>
      </c>
      <c r="C106" s="214" t="s">
        <v>1500</v>
      </c>
      <c r="D106" s="146" t="s">
        <v>1497</v>
      </c>
      <c r="E106" s="146" t="s">
        <v>497</v>
      </c>
      <c r="F106" s="146" t="s">
        <v>1501</v>
      </c>
      <c r="G106" s="146" t="s">
        <v>1498</v>
      </c>
      <c r="H106" s="146" t="s">
        <v>522</v>
      </c>
      <c r="I106" s="145">
        <v>46191</v>
      </c>
      <c r="J106" s="145">
        <v>46191</v>
      </c>
      <c r="K106" s="144">
        <v>120</v>
      </c>
      <c r="L106" s="180">
        <v>5391984.4400000004</v>
      </c>
      <c r="M106" s="178">
        <v>0.25</v>
      </c>
      <c r="N106" s="180">
        <f>IFERROR(Tabela225[[#This Row],[VALOR  (R$)]]/Tabela225[[#This Row],[PRAZO
EXECUÇÃO]],0)</f>
        <v>44933.203666666668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 hidden="1">
      <c r="A107" s="144">
        <v>245</v>
      </c>
      <c r="B107" s="214">
        <v>46155</v>
      </c>
      <c r="C107" s="214" t="s">
        <v>1334</v>
      </c>
      <c r="D107" s="215" t="s">
        <v>486</v>
      </c>
      <c r="E107" s="215" t="s">
        <v>619</v>
      </c>
      <c r="F107" s="215" t="s">
        <v>1414</v>
      </c>
      <c r="G107" s="215" t="s">
        <v>1335</v>
      </c>
      <c r="H107" s="146" t="s">
        <v>522</v>
      </c>
      <c r="I107" s="214">
        <v>46167</v>
      </c>
      <c r="J107" s="214">
        <v>46167</v>
      </c>
      <c r="K107" s="216">
        <f>15*8</f>
        <v>120</v>
      </c>
      <c r="L107" s="184">
        <f>169990*8</f>
        <v>1359920</v>
      </c>
      <c r="M107" s="185">
        <v>0.23</v>
      </c>
      <c r="N107" s="180">
        <f>IFERROR(Tabela225[[#This Row],[VALOR  (R$)]]/Tabela225[[#This Row],[PRAZO
EXECUÇÃO]],0)</f>
        <v>11332.666666666666</v>
      </c>
      <c r="O107" s="211" t="s">
        <v>635</v>
      </c>
      <c r="P107" s="214">
        <v>46192</v>
      </c>
      <c r="Q107" s="215"/>
      <c r="R107" s="145">
        <v>46251</v>
      </c>
      <c r="S107" s="214"/>
      <c r="T107" s="146" t="s">
        <v>1082</v>
      </c>
      <c r="U107" s="132"/>
    </row>
    <row r="108" spans="1:21" hidden="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 hidden="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 hidden="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 hidden="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 hidden="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 hidden="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 hidden="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 hidden="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 hidden="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 hidden="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 hidden="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 hidden="1">
      <c r="A119" s="144">
        <v>303</v>
      </c>
      <c r="B119" s="145">
        <v>46182</v>
      </c>
      <c r="C119" s="214" t="s">
        <v>1502</v>
      </c>
      <c r="D119" s="146" t="s">
        <v>1497</v>
      </c>
      <c r="E119" s="146" t="s">
        <v>497</v>
      </c>
      <c r="F119" s="146" t="s">
        <v>1503</v>
      </c>
      <c r="G119" s="146" t="s">
        <v>1498</v>
      </c>
      <c r="H119" s="146" t="s">
        <v>522</v>
      </c>
      <c r="I119" s="145">
        <v>46191</v>
      </c>
      <c r="J119" s="145">
        <v>46191</v>
      </c>
      <c r="K119" s="144">
        <v>120</v>
      </c>
      <c r="L119" s="180">
        <v>5338564.4400000004</v>
      </c>
      <c r="M119" s="178">
        <v>0.25</v>
      </c>
      <c r="N119" s="180">
        <f>IFERROR(Tabela225[[#This Row],[VALOR  (R$)]]/Tabela225[[#This Row],[PRAZO
EXECUÇÃO]],0)</f>
        <v>44488.037000000004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 hidden="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 hidden="1">
      <c r="A121" s="144">
        <v>339</v>
      </c>
      <c r="B121" s="145">
        <v>46202</v>
      </c>
      <c r="C121" s="214" t="s">
        <v>1589</v>
      </c>
      <c r="D121" s="146" t="s">
        <v>1430</v>
      </c>
      <c r="E121" s="146" t="s">
        <v>497</v>
      </c>
      <c r="F121" s="146" t="s">
        <v>1428</v>
      </c>
      <c r="G121" s="146" t="s">
        <v>1590</v>
      </c>
      <c r="H121" s="146" t="s">
        <v>522</v>
      </c>
      <c r="I121" s="145">
        <v>46202</v>
      </c>
      <c r="J121" s="145">
        <v>46202</v>
      </c>
      <c r="K121" s="144">
        <v>365</v>
      </c>
      <c r="L121" s="180">
        <v>4950000</v>
      </c>
      <c r="M121" s="178">
        <v>0.2</v>
      </c>
      <c r="N121" s="180">
        <f>IFERROR(Tabela225[[#This Row],[VALOR  (R$)]]/Tabela225[[#This Row],[PRAZO
EXECUÇÃO]],0)</f>
        <v>13561.643835616438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 hidden="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 hidden="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65826</v>
      </c>
      <c r="M123" s="182">
        <v>0.25</v>
      </c>
      <c r="N123" s="180">
        <f>IFERROR(Tabela225[[#This Row],[VALOR  (R$)]]/Tabela225[[#This Row],[PRAZO
EXECUÇÃO]],0)</f>
        <v>9403.7142857142862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 hidden="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 hidden="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 hidden="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 hidden="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 hidden="1">
      <c r="A128" s="144">
        <v>345</v>
      </c>
      <c r="B128" s="145">
        <v>46204</v>
      </c>
      <c r="C128" s="214" t="s">
        <v>1602</v>
      </c>
      <c r="D128" s="146" t="s">
        <v>1430</v>
      </c>
      <c r="E128" s="146" t="s">
        <v>497</v>
      </c>
      <c r="F128" s="146" t="s">
        <v>1428</v>
      </c>
      <c r="G128" s="146" t="s">
        <v>1603</v>
      </c>
      <c r="H128" s="146" t="s">
        <v>522</v>
      </c>
      <c r="I128" s="145">
        <v>46204</v>
      </c>
      <c r="J128" s="145">
        <v>46204</v>
      </c>
      <c r="K128" s="144">
        <v>365</v>
      </c>
      <c r="L128" s="180">
        <v>4690000</v>
      </c>
      <c r="M128" s="178">
        <v>0.2</v>
      </c>
      <c r="N128" s="180">
        <f>IFERROR(Tabela225[[#This Row],[VALOR  (R$)]]/Tabela225[[#This Row],[PRAZO
EXECUÇÃO]],0)</f>
        <v>12849.315068493152</v>
      </c>
      <c r="O128" s="211" t="s">
        <v>573</v>
      </c>
      <c r="P128" s="145"/>
      <c r="Q128" s="146"/>
      <c r="R128" s="146"/>
      <c r="S128" s="145"/>
      <c r="T128" s="146"/>
      <c r="U128" s="132"/>
    </row>
    <row r="129" spans="1:21" hidden="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 hidden="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 hidden="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 hidden="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 hidden="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 hidden="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 hidden="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 hidden="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 hidden="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 hidden="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 hidden="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 hidden="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 hidden="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309</v>
      </c>
      <c r="B142" s="145">
        <v>46183</v>
      </c>
      <c r="C142" s="214" t="s">
        <v>1514</v>
      </c>
      <c r="D142" s="146" t="s">
        <v>604</v>
      </c>
      <c r="E142" s="146" t="s">
        <v>619</v>
      </c>
      <c r="F142" s="146" t="s">
        <v>1515</v>
      </c>
      <c r="G142" s="146" t="s">
        <v>1516</v>
      </c>
      <c r="H142" s="146" t="s">
        <v>522</v>
      </c>
      <c r="I142" s="145">
        <v>46183</v>
      </c>
      <c r="J142" s="145">
        <v>46183</v>
      </c>
      <c r="K142" s="144">
        <v>198</v>
      </c>
      <c r="L142" s="180">
        <v>3302414</v>
      </c>
      <c r="M142" s="178">
        <v>0.25</v>
      </c>
      <c r="N142" s="180">
        <f>IFERROR(Tabela225[[#This Row],[VALOR  (R$)]]/Tabela225[[#This Row],[PRAZO
EXECUÇÃO]],0)</f>
        <v>16678.858585858587</v>
      </c>
      <c r="O142" s="211" t="s">
        <v>692</v>
      </c>
      <c r="P142" s="145"/>
      <c r="Q142" s="146"/>
      <c r="R142" s="146"/>
      <c r="S142" s="145"/>
      <c r="T142" s="146"/>
      <c r="U142" s="132"/>
    </row>
    <row r="143" spans="1:21" hidden="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 hidden="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 hidden="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 hidden="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 hidden="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 hidden="1">
      <c r="A148" s="144">
        <v>384</v>
      </c>
      <c r="B148" s="145">
        <v>46225</v>
      </c>
      <c r="C148" s="145" t="s">
        <v>1702</v>
      </c>
      <c r="D148" s="146" t="s">
        <v>1701</v>
      </c>
      <c r="E148" s="146" t="s">
        <v>497</v>
      </c>
      <c r="F148" s="146" t="s">
        <v>1703</v>
      </c>
      <c r="G148" s="146" t="s">
        <v>1704</v>
      </c>
      <c r="H148" s="146" t="s">
        <v>522</v>
      </c>
      <c r="I148" s="145">
        <v>46227</v>
      </c>
      <c r="J148" s="145">
        <v>46233</v>
      </c>
      <c r="K148" s="144">
        <v>16</v>
      </c>
      <c r="L148" s="180">
        <v>2133990</v>
      </c>
      <c r="M148" s="178">
        <v>0.27</v>
      </c>
      <c r="N148" s="180">
        <f>IFERROR(Tabela225[[#This Row],[VALOR  (R$)]]/Tabela225[[#This Row],[PRAZO
EXECUÇÃO]],0)</f>
        <v>133374.375</v>
      </c>
      <c r="O148" s="211" t="s">
        <v>506</v>
      </c>
      <c r="P148" s="145"/>
      <c r="Q148" s="146"/>
      <c r="R148" s="146"/>
      <c r="S148" s="145"/>
      <c r="T148" s="146"/>
      <c r="U148" s="132"/>
    </row>
    <row r="149" spans="1:21" hidden="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 hidden="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 hidden="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 hidden="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 hidden="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 hidden="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 hidden="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 hidden="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 hidden="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 hidden="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 hidden="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 hidden="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 hidden="1">
      <c r="A161" s="144">
        <v>268</v>
      </c>
      <c r="B161" s="145">
        <v>46163</v>
      </c>
      <c r="C161" s="214" t="s">
        <v>1403</v>
      </c>
      <c r="D161" s="146" t="s">
        <v>604</v>
      </c>
      <c r="E161" s="146" t="s">
        <v>619</v>
      </c>
      <c r="F161" s="146" t="s">
        <v>1404</v>
      </c>
      <c r="G161" s="146" t="s">
        <v>1405</v>
      </c>
      <c r="H161" s="146" t="s">
        <v>522</v>
      </c>
      <c r="I161" s="145">
        <v>46164</v>
      </c>
      <c r="J161" s="145" t="s">
        <v>1451</v>
      </c>
      <c r="K161" s="144">
        <v>108</v>
      </c>
      <c r="L161" s="180">
        <v>1975080</v>
      </c>
      <c r="M161" s="178">
        <v>0.3</v>
      </c>
      <c r="N161" s="180">
        <f>IFERROR(Tabela225[[#This Row],[VALOR  (R$)]]/Tabela225[[#This Row],[PRAZO
EXECUÇÃO]],0)</f>
        <v>18287.777777777777</v>
      </c>
      <c r="O161" s="211" t="s">
        <v>506</v>
      </c>
      <c r="P161" s="145"/>
      <c r="Q161" s="146"/>
      <c r="R161" s="146"/>
      <c r="S161" s="145"/>
      <c r="T161" s="146"/>
      <c r="U161" s="132"/>
    </row>
    <row r="162" spans="1:21" hidden="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 hidden="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 hidden="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 hidden="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 hidden="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 hidden="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 hidden="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 hidden="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 hidden="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 hidden="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 hidden="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 hidden="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 hidden="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 hidden="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340</v>
      </c>
      <c r="B176" s="145">
        <v>46203</v>
      </c>
      <c r="C176" s="214" t="s">
        <v>1591</v>
      </c>
      <c r="D176" s="146" t="s">
        <v>469</v>
      </c>
      <c r="E176" s="146" t="s">
        <v>497</v>
      </c>
      <c r="F176" s="146" t="s">
        <v>1014</v>
      </c>
      <c r="G176" s="146" t="s">
        <v>1592</v>
      </c>
      <c r="H176" s="146" t="s">
        <v>522</v>
      </c>
      <c r="I176" s="145">
        <v>46213</v>
      </c>
      <c r="J176" s="145">
        <v>46213</v>
      </c>
      <c r="K176" s="144">
        <f>12*11</f>
        <v>132</v>
      </c>
      <c r="L176" s="180">
        <v>1582529</v>
      </c>
      <c r="M176" s="178">
        <v>0.25</v>
      </c>
      <c r="N176" s="180">
        <f>IFERROR(Tabela225[[#This Row],[VALOR  (R$)]]/Tabela225[[#This Row],[PRAZO
EXECUÇÃO]],0)</f>
        <v>11988.85606060606</v>
      </c>
      <c r="O176" s="211" t="s">
        <v>692</v>
      </c>
      <c r="P176" s="145"/>
      <c r="Q176" s="146"/>
      <c r="R176" s="146"/>
      <c r="S176" s="145"/>
      <c r="T176" s="146"/>
      <c r="U176" s="132"/>
    </row>
    <row r="177" spans="1:21" hidden="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 hidden="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 hidden="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 hidden="1">
      <c r="A180" s="144">
        <v>356</v>
      </c>
      <c r="B180" s="145">
        <v>46210</v>
      </c>
      <c r="C180" s="214" t="s">
        <v>1626</v>
      </c>
      <c r="D180" s="146" t="s">
        <v>841</v>
      </c>
      <c r="E180" s="146" t="s">
        <v>497</v>
      </c>
      <c r="F180" s="146" t="s">
        <v>839</v>
      </c>
      <c r="G180" s="146" t="s">
        <v>1627</v>
      </c>
      <c r="H180" s="146" t="s">
        <v>522</v>
      </c>
      <c r="I180" s="145">
        <v>46213</v>
      </c>
      <c r="J180" s="145">
        <v>46217</v>
      </c>
      <c r="K180" s="144">
        <v>7</v>
      </c>
      <c r="L180" s="180">
        <v>1580812</v>
      </c>
      <c r="M180" s="178">
        <v>0.23</v>
      </c>
      <c r="N180" s="180">
        <f>IFERROR(Tabela225[[#This Row],[VALOR  (R$)]]/Tabela225[[#This Row],[PRAZO
EXECUÇÃO]],0)</f>
        <v>225830.28571428571</v>
      </c>
      <c r="O180" s="211" t="s">
        <v>506</v>
      </c>
      <c r="P180" s="145"/>
      <c r="Q180" s="146"/>
      <c r="R180" s="146"/>
      <c r="S180" s="145"/>
      <c r="T180" s="146"/>
      <c r="U180" s="132"/>
    </row>
    <row r="181" spans="1:21" hidden="1">
      <c r="A181" s="144">
        <v>331</v>
      </c>
      <c r="B181" s="145">
        <v>46198</v>
      </c>
      <c r="C181" s="145" t="s">
        <v>1576</v>
      </c>
      <c r="D181" s="146" t="s">
        <v>486</v>
      </c>
      <c r="E181" s="146" t="s">
        <v>619</v>
      </c>
      <c r="F181" s="146" t="s">
        <v>1548</v>
      </c>
      <c r="G181" s="146" t="s">
        <v>1553</v>
      </c>
      <c r="H181" s="146" t="s">
        <v>522</v>
      </c>
      <c r="I181" s="145" t="s">
        <v>1577</v>
      </c>
      <c r="J181" s="145">
        <v>46199</v>
      </c>
      <c r="K181" s="144">
        <f>12*8</f>
        <v>96</v>
      </c>
      <c r="L181" s="180">
        <f>145900*8</f>
        <v>1167200</v>
      </c>
      <c r="M181" s="178">
        <v>0.23619999999999999</v>
      </c>
      <c r="N181" s="180">
        <f>IFERROR(Tabela225[[#This Row],[VALOR  (R$)]]/Tabela225[[#This Row],[PRAZO
EXECUÇÃO]],0)</f>
        <v>12158.333333333334</v>
      </c>
      <c r="O181" s="211" t="s">
        <v>573</v>
      </c>
      <c r="P181" s="145"/>
      <c r="Q181" s="146"/>
      <c r="R181" s="146"/>
      <c r="S181" s="145"/>
      <c r="T181" s="146"/>
      <c r="U181" s="132"/>
    </row>
    <row r="182" spans="1:21" hidden="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146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 hidden="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 hidden="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 hidden="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 hidden="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 hidden="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 hidden="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 hidden="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 hidden="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 hidden="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 hidden="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 hidden="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 hidden="1">
      <c r="A194" s="144">
        <v>250</v>
      </c>
      <c r="B194" s="214">
        <v>46157</v>
      </c>
      <c r="C194" s="214" t="s">
        <v>1350</v>
      </c>
      <c r="D194" s="215" t="s">
        <v>604</v>
      </c>
      <c r="E194" s="215" t="s">
        <v>619</v>
      </c>
      <c r="F194" s="215" t="s">
        <v>1351</v>
      </c>
      <c r="G194" s="215" t="s">
        <v>1352</v>
      </c>
      <c r="H194" s="146" t="s">
        <v>522</v>
      </c>
      <c r="I194" s="214">
        <v>46157</v>
      </c>
      <c r="J194" s="214">
        <v>46161</v>
      </c>
      <c r="K194" s="216">
        <v>60</v>
      </c>
      <c r="L194" s="184">
        <v>1094037.8</v>
      </c>
      <c r="M194" s="185">
        <v>0.26</v>
      </c>
      <c r="N194" s="180">
        <f>IFERROR(Tabela225[[#This Row],[VALOR  (R$)]]/Tabela225[[#This Row],[PRAZO
EXECUÇÃO]],0)</f>
        <v>18233.963333333333</v>
      </c>
      <c r="O194" s="211" t="s">
        <v>506</v>
      </c>
      <c r="P194" s="214"/>
      <c r="Q194" s="215"/>
      <c r="R194" s="146">
        <v>2027</v>
      </c>
      <c r="S194" s="214"/>
      <c r="T194" s="146"/>
      <c r="U194" s="132"/>
    </row>
    <row r="195" spans="1:21" hidden="1">
      <c r="A195" s="144">
        <v>218</v>
      </c>
      <c r="B195" s="214">
        <v>46147</v>
      </c>
      <c r="C195" s="214" t="s">
        <v>1265</v>
      </c>
      <c r="D195" s="215" t="s">
        <v>604</v>
      </c>
      <c r="E195" s="215" t="s">
        <v>619</v>
      </c>
      <c r="F195" s="215" t="s">
        <v>1266</v>
      </c>
      <c r="G195" s="215" t="s">
        <v>1267</v>
      </c>
      <c r="H195" s="146" t="s">
        <v>522</v>
      </c>
      <c r="I195" s="214">
        <v>46147</v>
      </c>
      <c r="J195" s="214">
        <v>46149</v>
      </c>
      <c r="K195" s="216">
        <v>90</v>
      </c>
      <c r="L195" s="180">
        <v>914102.2</v>
      </c>
      <c r="M195" s="185">
        <v>0.26</v>
      </c>
      <c r="N195" s="180">
        <f>IFERROR(Tabela225[[#This Row],[VALOR  (R$)]]/Tabela225[[#This Row],[PRAZO
EXECUÇÃO]],0)</f>
        <v>10156.691111111111</v>
      </c>
      <c r="O195" s="211" t="s">
        <v>506</v>
      </c>
      <c r="P195" s="214"/>
      <c r="Q195" s="215"/>
      <c r="R195" s="146"/>
      <c r="S195" s="214"/>
      <c r="T195" s="146"/>
      <c r="U195" s="132"/>
    </row>
    <row r="196" spans="1:21" hidden="1">
      <c r="A196" s="144">
        <v>251</v>
      </c>
      <c r="B196" s="214">
        <v>46160</v>
      </c>
      <c r="C196" s="214" t="s">
        <v>1356</v>
      </c>
      <c r="D196" s="146" t="s">
        <v>486</v>
      </c>
      <c r="E196" s="215" t="s">
        <v>619</v>
      </c>
      <c r="F196" s="215" t="s">
        <v>1357</v>
      </c>
      <c r="G196" s="215" t="s">
        <v>1358</v>
      </c>
      <c r="H196" s="146" t="s">
        <v>522</v>
      </c>
      <c r="I196" s="214">
        <v>46160</v>
      </c>
      <c r="J196" s="214">
        <v>46161</v>
      </c>
      <c r="K196" s="216">
        <f>15*4+9</f>
        <v>69</v>
      </c>
      <c r="L196" s="184">
        <v>859238</v>
      </c>
      <c r="M196" s="185">
        <v>0.25</v>
      </c>
      <c r="N196" s="180">
        <f>IFERROR(Tabela225[[#This Row],[VALOR  (R$)]]/Tabela225[[#This Row],[PRAZO
EXECUÇÃO]],0)</f>
        <v>12452.72463768116</v>
      </c>
      <c r="O196" s="211" t="s">
        <v>506</v>
      </c>
      <c r="P196" s="214"/>
      <c r="Q196" s="215"/>
      <c r="R196" s="145">
        <v>46251</v>
      </c>
      <c r="S196" s="214"/>
      <c r="T196" s="146"/>
      <c r="U196" s="132"/>
    </row>
    <row r="197" spans="1:21" hidden="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 hidden="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 hidden="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 hidden="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 hidden="1">
      <c r="A201" s="144">
        <v>287</v>
      </c>
      <c r="B201" s="145">
        <v>46170</v>
      </c>
      <c r="C201" s="214" t="s">
        <v>1454</v>
      </c>
      <c r="D201" s="146" t="s">
        <v>489</v>
      </c>
      <c r="E201" s="146" t="s">
        <v>619</v>
      </c>
      <c r="F201" s="146" t="s">
        <v>1125</v>
      </c>
      <c r="G201" s="146" t="s">
        <v>1455</v>
      </c>
      <c r="H201" s="146" t="s">
        <v>522</v>
      </c>
      <c r="I201" s="145">
        <v>46175</v>
      </c>
      <c r="J201" s="145">
        <v>46175</v>
      </c>
      <c r="K201" s="144">
        <v>60</v>
      </c>
      <c r="L201" s="180">
        <v>857430</v>
      </c>
      <c r="M201" s="178">
        <v>0.28000000000000003</v>
      </c>
      <c r="N201" s="180">
        <f>IFERROR(Tabela225[[#This Row],[VALOR  (R$)]]/Tabela225[[#This Row],[PRAZO
EXECUÇÃO]],0)</f>
        <v>14290.5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 hidden="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 hidden="1">
      <c r="A203" s="144">
        <v>329</v>
      </c>
      <c r="B203" s="145">
        <v>46196</v>
      </c>
      <c r="C203" s="214" t="s">
        <v>1564</v>
      </c>
      <c r="D203" s="146" t="s">
        <v>1362</v>
      </c>
      <c r="E203" s="146" t="s">
        <v>497</v>
      </c>
      <c r="F203" s="146" t="s">
        <v>1363</v>
      </c>
      <c r="G203" s="146" t="s">
        <v>1565</v>
      </c>
      <c r="H203" s="146" t="s">
        <v>522</v>
      </c>
      <c r="I203" s="145">
        <v>46199</v>
      </c>
      <c r="J203" s="145">
        <v>46204</v>
      </c>
      <c r="K203" s="144">
        <v>15</v>
      </c>
      <c r="L203" s="180">
        <v>798819</v>
      </c>
      <c r="M203" s="178">
        <v>0.3</v>
      </c>
      <c r="N203" s="180">
        <f>IFERROR(Tabela225[[#This Row],[VALOR  (R$)]]/Tabela225[[#This Row],[PRAZO
EXECUÇÃO]],0)</f>
        <v>53254.6</v>
      </c>
      <c r="O203" s="211" t="s">
        <v>506</v>
      </c>
      <c r="P203" s="145"/>
      <c r="Q203" s="146"/>
      <c r="R203" s="146"/>
      <c r="S203" s="145"/>
      <c r="T203" s="146"/>
      <c r="U203" s="132"/>
    </row>
    <row r="204" spans="1:21" hidden="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 hidden="1">
      <c r="A205" s="144">
        <v>314</v>
      </c>
      <c r="B205" s="145">
        <v>46188</v>
      </c>
      <c r="C205" s="214" t="s">
        <v>1527</v>
      </c>
      <c r="D205" s="146" t="s">
        <v>486</v>
      </c>
      <c r="E205" s="146" t="s">
        <v>619</v>
      </c>
      <c r="F205" s="146" t="s">
        <v>1528</v>
      </c>
      <c r="G205" s="146" t="s">
        <v>901</v>
      </c>
      <c r="H205" s="146" t="s">
        <v>522</v>
      </c>
      <c r="I205" s="145">
        <v>46189</v>
      </c>
      <c r="J205" s="145">
        <v>46189</v>
      </c>
      <c r="K205" s="144">
        <f>17*4</f>
        <v>68</v>
      </c>
      <c r="L205" s="180">
        <f>198700*4</f>
        <v>794800</v>
      </c>
      <c r="M205" s="178">
        <v>0.23</v>
      </c>
      <c r="N205" s="180">
        <f>IFERROR(Tabela225[[#This Row],[VALOR  (R$)]]/Tabela225[[#This Row],[PRAZO
EXECUÇÃO]],0)</f>
        <v>11688.235294117647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 hidden="1">
      <c r="A206" s="144">
        <v>369</v>
      </c>
      <c r="B206" s="145">
        <v>46219</v>
      </c>
      <c r="C206" s="214" t="s">
        <v>1658</v>
      </c>
      <c r="D206" s="146" t="s">
        <v>1659</v>
      </c>
      <c r="E206" s="146" t="s">
        <v>497</v>
      </c>
      <c r="F206" s="146" t="s">
        <v>1660</v>
      </c>
      <c r="G206" s="146" t="s">
        <v>1661</v>
      </c>
      <c r="H206" s="146" t="s">
        <v>522</v>
      </c>
      <c r="I206" s="145">
        <v>46219</v>
      </c>
      <c r="J206" s="145">
        <v>46219</v>
      </c>
      <c r="K206" s="144">
        <v>10</v>
      </c>
      <c r="L206" s="180">
        <f>146120+648155</f>
        <v>794275</v>
      </c>
      <c r="M206" s="178">
        <v>0.3</v>
      </c>
      <c r="N206" s="180">
        <f>IFERROR(Tabela225[[#This Row],[VALOR  (R$)]]/Tabela225[[#This Row],[PRAZO
EXECUÇÃO]],0)</f>
        <v>79427.5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 hidden="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 hidden="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 hidden="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 hidden="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 hidden="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 t="s">
        <v>1082</v>
      </c>
      <c r="U211" s="132"/>
    </row>
    <row r="212" spans="1:21" hidden="1">
      <c r="A212" s="144">
        <v>338</v>
      </c>
      <c r="B212" s="145">
        <v>46202</v>
      </c>
      <c r="C212" s="214" t="s">
        <v>1586</v>
      </c>
      <c r="D212" s="146" t="s">
        <v>486</v>
      </c>
      <c r="E212" s="146" t="s">
        <v>619</v>
      </c>
      <c r="F212" s="146" t="s">
        <v>1587</v>
      </c>
      <c r="G212" s="146" t="s">
        <v>1588</v>
      </c>
      <c r="H212" s="146" t="s">
        <v>522</v>
      </c>
      <c r="I212" s="145">
        <v>47298</v>
      </c>
      <c r="J212" s="145">
        <v>46202</v>
      </c>
      <c r="K212" s="144">
        <f>16*4</f>
        <v>64</v>
      </c>
      <c r="L212" s="180">
        <f>185300*4</f>
        <v>741200</v>
      </c>
      <c r="M212" s="178">
        <v>0.24</v>
      </c>
      <c r="N212" s="180">
        <f>IFERROR(Tabela225[[#This Row],[VALOR  (R$)]]/Tabela225[[#This Row],[PRAZO
EXECUÇÃO]],0)</f>
        <v>11581.25</v>
      </c>
      <c r="O212" s="211" t="s">
        <v>506</v>
      </c>
      <c r="P212" s="145"/>
      <c r="Q212" s="146"/>
      <c r="R212" s="146"/>
      <c r="S212" s="145"/>
      <c r="T212" s="146"/>
      <c r="U212" s="132"/>
    </row>
    <row r="213" spans="1:21">
      <c r="A213" s="144">
        <v>380</v>
      </c>
      <c r="B213" s="145">
        <v>46223</v>
      </c>
      <c r="C213" s="214" t="s">
        <v>1688</v>
      </c>
      <c r="D213" s="146" t="s">
        <v>469</v>
      </c>
      <c r="E213" s="146" t="s">
        <v>619</v>
      </c>
      <c r="F213" s="146" t="s">
        <v>745</v>
      </c>
      <c r="G213" s="146" t="s">
        <v>1689</v>
      </c>
      <c r="H213" s="146" t="s">
        <v>522</v>
      </c>
      <c r="I213" s="145">
        <v>46227</v>
      </c>
      <c r="J213" s="145">
        <v>46227</v>
      </c>
      <c r="K213" s="144">
        <v>50</v>
      </c>
      <c r="L213" s="180">
        <v>675700</v>
      </c>
      <c r="M213" s="178">
        <v>0.25</v>
      </c>
      <c r="N213" s="180">
        <f>IFERROR(Tabela225[[#This Row],[VALOR  (R$)]]/Tabela225[[#This Row],[PRAZO
EXECUÇÃO]],0)</f>
        <v>13514</v>
      </c>
      <c r="O213" s="211" t="s">
        <v>692</v>
      </c>
      <c r="P213" s="145"/>
      <c r="Q213" s="146"/>
      <c r="R213" s="146"/>
      <c r="S213" s="145"/>
      <c r="T213" s="146"/>
      <c r="U213" s="132"/>
    </row>
    <row r="214" spans="1:21" hidden="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 hidden="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146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 t="s">
        <v>1082</v>
      </c>
      <c r="U215" s="132"/>
    </row>
    <row r="216" spans="1:21" hidden="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 hidden="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 hidden="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 t="s">
        <v>1082</v>
      </c>
      <c r="U218" s="132"/>
    </row>
    <row r="219" spans="1:21" hidden="1">
      <c r="A219" s="144">
        <v>324</v>
      </c>
      <c r="B219" s="145">
        <v>46195</v>
      </c>
      <c r="C219" s="214" t="s">
        <v>1552</v>
      </c>
      <c r="D219" s="146" t="s">
        <v>486</v>
      </c>
      <c r="E219" s="146" t="s">
        <v>619</v>
      </c>
      <c r="F219" s="146" t="s">
        <v>1051</v>
      </c>
      <c r="G219" s="146" t="s">
        <v>1553</v>
      </c>
      <c r="H219" s="146" t="s">
        <v>522</v>
      </c>
      <c r="I219" s="145">
        <v>46195</v>
      </c>
      <c r="J219" s="145">
        <v>46195</v>
      </c>
      <c r="K219" s="144">
        <v>96</v>
      </c>
      <c r="L219" s="180">
        <f>115000*8</f>
        <v>920000</v>
      </c>
      <c r="M219" s="178">
        <v>0.2</v>
      </c>
      <c r="N219" s="180">
        <f>IFERROR(Tabela225[[#This Row],[VALOR  (R$)]]/Tabela225[[#This Row],[PRAZO
EXECUÇÃO]],0)</f>
        <v>9583.3333333333339</v>
      </c>
      <c r="O219" s="211" t="s">
        <v>635</v>
      </c>
      <c r="P219" s="145">
        <v>46206</v>
      </c>
      <c r="Q219" s="146"/>
      <c r="R219" s="146"/>
      <c r="S219" s="145"/>
      <c r="T219" s="146"/>
      <c r="U219" s="132"/>
    </row>
    <row r="220" spans="1:21" hidden="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 hidden="1">
      <c r="A221" s="144">
        <v>352</v>
      </c>
      <c r="B221" s="145">
        <v>46209</v>
      </c>
      <c r="C221" s="214" t="s">
        <v>1618</v>
      </c>
      <c r="D221" s="146" t="s">
        <v>604</v>
      </c>
      <c r="E221" s="146" t="s">
        <v>619</v>
      </c>
      <c r="F221" s="146" t="s">
        <v>1043</v>
      </c>
      <c r="G221" s="146" t="s">
        <v>1619</v>
      </c>
      <c r="H221" s="146" t="s">
        <v>522</v>
      </c>
      <c r="I221" s="145">
        <v>46212</v>
      </c>
      <c r="J221" s="145">
        <v>46211</v>
      </c>
      <c r="K221" s="144">
        <v>12</v>
      </c>
      <c r="L221" s="180">
        <v>674252</v>
      </c>
      <c r="M221" s="178">
        <v>0.3</v>
      </c>
      <c r="N221" s="180">
        <f>IFERROR(Tabela225[[#This Row],[VALOR  (R$)]]/Tabela225[[#This Row],[PRAZO
EXECUÇÃO]],0)</f>
        <v>56187.666666666664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 hidden="1">
      <c r="A222" s="144">
        <v>190</v>
      </c>
      <c r="B222" s="145">
        <v>46134</v>
      </c>
      <c r="C222" s="145" t="s">
        <v>1195</v>
      </c>
      <c r="D222" s="146" t="s">
        <v>486</v>
      </c>
      <c r="E222" s="146" t="s">
        <v>619</v>
      </c>
      <c r="F222" s="146" t="s">
        <v>1196</v>
      </c>
      <c r="G222" s="146" t="s">
        <v>1197</v>
      </c>
      <c r="H222" s="146" t="s">
        <v>522</v>
      </c>
      <c r="I222" s="145">
        <v>46136</v>
      </c>
      <c r="J222" s="145">
        <v>46135</v>
      </c>
      <c r="K222" s="144">
        <f>18*3</f>
        <v>54</v>
      </c>
      <c r="L222" s="180">
        <f>219900*3</f>
        <v>659700</v>
      </c>
      <c r="M222" s="178">
        <v>0.23</v>
      </c>
      <c r="N222" s="180">
        <f>IFERROR(Tabela225[[#This Row],[VALOR  (R$)]]/Tabela225[[#This Row],[PRAZO
EXECUÇÃO]],0)</f>
        <v>12216.666666666666</v>
      </c>
      <c r="O222" s="211" t="s">
        <v>506</v>
      </c>
      <c r="P222" s="145"/>
      <c r="Q222" s="146"/>
      <c r="R222" s="146"/>
      <c r="S222" s="145"/>
      <c r="T222" s="146"/>
      <c r="U222" s="132"/>
    </row>
    <row r="223" spans="1:21" s="217" customFormat="1" hidden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 hidden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 t="s">
        <v>1082</v>
      </c>
    </row>
    <row r="225" spans="1:20" s="217" customFormat="1" hidden="1">
      <c r="A225" s="144">
        <v>320</v>
      </c>
      <c r="B225" s="145">
        <v>46190</v>
      </c>
      <c r="C225" s="214" t="s">
        <v>1541</v>
      </c>
      <c r="D225" s="146" t="s">
        <v>604</v>
      </c>
      <c r="E225" s="146" t="s">
        <v>619</v>
      </c>
      <c r="F225" s="146" t="s">
        <v>1542</v>
      </c>
      <c r="G225" s="146" t="s">
        <v>1543</v>
      </c>
      <c r="H225" s="146" t="s">
        <v>522</v>
      </c>
      <c r="I225" s="145">
        <v>46190</v>
      </c>
      <c r="J225" s="145">
        <v>46190</v>
      </c>
      <c r="K225" s="144">
        <f>12*3</f>
        <v>36</v>
      </c>
      <c r="L225" s="180">
        <v>610884</v>
      </c>
      <c r="M225" s="178">
        <v>0.26</v>
      </c>
      <c r="N225" s="180">
        <f>IFERROR(Tabela225[[#This Row],[VALOR  (R$)]]/Tabela225[[#This Row],[PRAZO
EXECUÇÃO]],0)</f>
        <v>16969</v>
      </c>
      <c r="O225" s="211" t="s">
        <v>506</v>
      </c>
      <c r="P225" s="145"/>
      <c r="Q225" s="146"/>
      <c r="R225" s="146"/>
      <c r="S225" s="145"/>
      <c r="T225" s="146"/>
    </row>
    <row r="226" spans="1:20" s="217" customFormat="1" hidden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 hidden="1">
      <c r="A227" s="144">
        <v>363</v>
      </c>
      <c r="B227" s="145">
        <v>46218</v>
      </c>
      <c r="C227" s="214" t="s">
        <v>1644</v>
      </c>
      <c r="D227" s="146" t="s">
        <v>486</v>
      </c>
      <c r="E227" s="146" t="s">
        <v>619</v>
      </c>
      <c r="F227" s="146" t="s">
        <v>1645</v>
      </c>
      <c r="G227" s="146" t="s">
        <v>1646</v>
      </c>
      <c r="H227" s="146" t="s">
        <v>522</v>
      </c>
      <c r="I227" s="145">
        <v>46218</v>
      </c>
      <c r="J227" s="145">
        <v>46219</v>
      </c>
      <c r="K227" s="144">
        <f>18*3</f>
        <v>54</v>
      </c>
      <c r="L227" s="180">
        <f>198200*3</f>
        <v>594600</v>
      </c>
      <c r="M227" s="178">
        <v>0.22</v>
      </c>
      <c r="N227" s="180">
        <f>IFERROR(Tabela225[[#This Row],[VALOR  (R$)]]/Tabela225[[#This Row],[PRAZO
EXECUÇÃO]],0)</f>
        <v>11011.111111111111</v>
      </c>
      <c r="O227" s="211" t="s">
        <v>506</v>
      </c>
      <c r="P227" s="145"/>
      <c r="Q227" s="146"/>
      <c r="R227" s="145">
        <v>46258</v>
      </c>
      <c r="S227" s="145"/>
      <c r="T227" s="146"/>
    </row>
    <row r="228" spans="1:20" s="217" customFormat="1" hidden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 hidden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 hidden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 hidden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 hidden="1">
      <c r="A232" s="144">
        <v>222</v>
      </c>
      <c r="B232" s="214">
        <v>46147</v>
      </c>
      <c r="C232" s="214" t="s">
        <v>1277</v>
      </c>
      <c r="D232" s="215" t="s">
        <v>1278</v>
      </c>
      <c r="E232" s="215" t="s">
        <v>497</v>
      </c>
      <c r="F232" s="215" t="s">
        <v>1266</v>
      </c>
      <c r="G232" s="215" t="s">
        <v>1279</v>
      </c>
      <c r="H232" s="146" t="s">
        <v>522</v>
      </c>
      <c r="I232" s="214">
        <v>46148</v>
      </c>
      <c r="J232" s="214">
        <v>46153</v>
      </c>
      <c r="K232" s="216">
        <f>7*11</f>
        <v>77</v>
      </c>
      <c r="L232" s="184">
        <v>590590</v>
      </c>
      <c r="M232" s="185">
        <v>0.23</v>
      </c>
      <c r="N232" s="180">
        <f>IFERROR(Tabela225[[#This Row],[VALOR  (R$)]]/Tabela225[[#This Row],[PRAZO
EXECUÇÃO]],0)</f>
        <v>7670</v>
      </c>
      <c r="O232" s="211" t="s">
        <v>506</v>
      </c>
      <c r="P232" s="214"/>
      <c r="Q232" s="215"/>
      <c r="R232" s="146"/>
      <c r="S232" s="214"/>
      <c r="T232" s="146"/>
    </row>
    <row r="233" spans="1:20" s="217" customFormat="1" hidden="1">
      <c r="A233" s="144">
        <v>328</v>
      </c>
      <c r="B233" s="145">
        <v>46196</v>
      </c>
      <c r="C233" s="214" t="s">
        <v>1561</v>
      </c>
      <c r="D233" s="146" t="s">
        <v>489</v>
      </c>
      <c r="E233" s="146" t="s">
        <v>497</v>
      </c>
      <c r="F233" s="146" t="s">
        <v>1562</v>
      </c>
      <c r="G233" s="146" t="s">
        <v>1563</v>
      </c>
      <c r="H233" s="146" t="s">
        <v>522</v>
      </c>
      <c r="I233" s="145">
        <v>46197</v>
      </c>
      <c r="J233" s="145">
        <v>46197</v>
      </c>
      <c r="K233" s="144">
        <v>40</v>
      </c>
      <c r="L233" s="180">
        <f>290945*2</f>
        <v>581890</v>
      </c>
      <c r="M233" s="178">
        <v>0.3</v>
      </c>
      <c r="N233" s="180">
        <f>IFERROR(Tabela225[[#This Row],[VALOR  (R$)]]/Tabela225[[#This Row],[PRAZO
EXECUÇÃO]],0)</f>
        <v>14547.25</v>
      </c>
      <c r="O233" s="211" t="s">
        <v>506</v>
      </c>
      <c r="P233" s="145"/>
      <c r="Q233" s="146"/>
      <c r="R233" s="146"/>
      <c r="S233" s="145"/>
      <c r="T233" s="146"/>
    </row>
    <row r="234" spans="1:20" s="217" customFormat="1" hidden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 t="s">
        <v>1082</v>
      </c>
    </row>
    <row r="235" spans="1:20" s="217" customFormat="1" hidden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 hidden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 hidden="1">
      <c r="A237" s="144">
        <v>335</v>
      </c>
      <c r="B237" s="145">
        <v>46202</v>
      </c>
      <c r="C237" s="214" t="s">
        <v>1578</v>
      </c>
      <c r="D237" s="146" t="s">
        <v>486</v>
      </c>
      <c r="E237" s="146" t="s">
        <v>619</v>
      </c>
      <c r="F237" s="146" t="s">
        <v>1579</v>
      </c>
      <c r="G237" s="146" t="s">
        <v>1580</v>
      </c>
      <c r="H237" s="146" t="s">
        <v>522</v>
      </c>
      <c r="I237" s="145">
        <v>46202</v>
      </c>
      <c r="J237" s="145">
        <v>46202</v>
      </c>
      <c r="K237" s="144">
        <f>13*3</f>
        <v>39</v>
      </c>
      <c r="L237" s="180">
        <f>189900*3</f>
        <v>569700</v>
      </c>
      <c r="M237" s="178">
        <v>0.24</v>
      </c>
      <c r="N237" s="180">
        <f>IFERROR(Tabela225[[#This Row],[VALOR  (R$)]]/Tabela225[[#This Row],[PRAZO
EXECUÇÃO]],0)</f>
        <v>14607.692307692309</v>
      </c>
      <c r="O237" s="211" t="s">
        <v>506</v>
      </c>
      <c r="P237" s="145"/>
      <c r="Q237" s="146"/>
      <c r="R237" s="146"/>
      <c r="S237" s="145"/>
      <c r="T237" s="146"/>
    </row>
    <row r="238" spans="1:20" s="217" customFormat="1" hidden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 hidden="1">
      <c r="A239" s="144">
        <v>337</v>
      </c>
      <c r="B239" s="145">
        <v>46202</v>
      </c>
      <c r="C239" s="214" t="s">
        <v>1584</v>
      </c>
      <c r="D239" s="146" t="s">
        <v>486</v>
      </c>
      <c r="E239" s="146" t="s">
        <v>619</v>
      </c>
      <c r="F239" s="146" t="s">
        <v>854</v>
      </c>
      <c r="G239" s="146" t="s">
        <v>1585</v>
      </c>
      <c r="H239" s="146" t="s">
        <v>522</v>
      </c>
      <c r="I239" s="145">
        <v>46202</v>
      </c>
      <c r="J239" s="145">
        <v>46202</v>
      </c>
      <c r="K239" s="144">
        <f>13*3</f>
        <v>39</v>
      </c>
      <c r="L239" s="180">
        <f>169900*3</f>
        <v>509700</v>
      </c>
      <c r="M239" s="178">
        <v>0.2359</v>
      </c>
      <c r="N239" s="180">
        <f>IFERROR(Tabela225[[#This Row],[VALOR  (R$)]]/Tabela225[[#This Row],[PRAZO
EXECUÇÃO]],0)</f>
        <v>13069.23076923077</v>
      </c>
      <c r="O239" s="211" t="s">
        <v>506</v>
      </c>
      <c r="P239" s="145"/>
      <c r="Q239" s="146"/>
      <c r="R239" s="146"/>
      <c r="S239" s="145"/>
      <c r="T239" s="146"/>
    </row>
    <row r="240" spans="1:20" s="217" customFormat="1" hidden="1">
      <c r="A240" s="144">
        <v>371</v>
      </c>
      <c r="B240" s="145">
        <v>46220</v>
      </c>
      <c r="C240" s="214" t="s">
        <v>1666</v>
      </c>
      <c r="D240" s="146" t="s">
        <v>1667</v>
      </c>
      <c r="E240" s="146" t="s">
        <v>497</v>
      </c>
      <c r="F240" s="146" t="s">
        <v>1668</v>
      </c>
      <c r="G240" s="146" t="s">
        <v>1669</v>
      </c>
      <c r="H240" s="146" t="s">
        <v>522</v>
      </c>
      <c r="I240" s="145">
        <v>46225</v>
      </c>
      <c r="J240" s="145">
        <v>46225</v>
      </c>
      <c r="K240" s="144">
        <f>8*4</f>
        <v>32</v>
      </c>
      <c r="L240" s="180">
        <f>124360*4</f>
        <v>497440</v>
      </c>
      <c r="M240" s="178">
        <v>0.25</v>
      </c>
      <c r="N240" s="180">
        <f>IFERROR(Tabela225[[#This Row],[VALOR  (R$)]]/Tabela225[[#This Row],[PRAZO
EXECUÇÃO]],0)</f>
        <v>15545</v>
      </c>
      <c r="O240" s="211" t="s">
        <v>506</v>
      </c>
      <c r="P240" s="145"/>
      <c r="Q240" s="146"/>
      <c r="R240" s="146"/>
      <c r="S240" s="145"/>
      <c r="T240" s="146"/>
    </row>
    <row r="241" spans="1:20" s="217" customFormat="1" hidden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 t="s">
        <v>1082</v>
      </c>
    </row>
    <row r="242" spans="1:20" s="217" customFormat="1" hidden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 hidden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 hidden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 hidden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 hidden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 hidden="1">
      <c r="A247" s="144">
        <v>232</v>
      </c>
      <c r="B247" s="214">
        <v>46149</v>
      </c>
      <c r="C247" s="214" t="s">
        <v>1305</v>
      </c>
      <c r="D247" s="215" t="s">
        <v>1742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 t="s">
        <v>1082</v>
      </c>
    </row>
    <row r="248" spans="1:20" s="217" customFormat="1" hidden="1">
      <c r="A248" s="144">
        <v>278</v>
      </c>
      <c r="B248" s="145">
        <v>46169</v>
      </c>
      <c r="C248" s="214" t="s">
        <v>1431</v>
      </c>
      <c r="D248" s="146" t="s">
        <v>486</v>
      </c>
      <c r="E248" s="146" t="s">
        <v>619</v>
      </c>
      <c r="F248" s="146" t="s">
        <v>1432</v>
      </c>
      <c r="G248" s="146" t="s">
        <v>1433</v>
      </c>
      <c r="H248" s="146" t="s">
        <v>522</v>
      </c>
      <c r="I248" s="145">
        <v>46170</v>
      </c>
      <c r="J248" s="145">
        <v>46169</v>
      </c>
      <c r="K248" s="144">
        <f>12*4</f>
        <v>48</v>
      </c>
      <c r="L248" s="180">
        <f>149900*4</f>
        <v>599600</v>
      </c>
      <c r="M248" s="178">
        <v>0.23</v>
      </c>
      <c r="N248" s="180">
        <f>IFERROR(Tabela225[[#This Row],[VALOR  (R$)]]/Tabela225[[#This Row],[PRAZO
EXECUÇÃO]],0)</f>
        <v>12491.666666666666</v>
      </c>
      <c r="O248" s="211" t="s">
        <v>635</v>
      </c>
      <c r="P248" s="145">
        <v>46191</v>
      </c>
      <c r="Q248" s="146"/>
      <c r="R248" s="146"/>
      <c r="S248" s="145"/>
      <c r="T248" s="146" t="s">
        <v>1082</v>
      </c>
    </row>
    <row r="249" spans="1:20" s="217" customFormat="1">
      <c r="A249" s="144">
        <v>381</v>
      </c>
      <c r="B249" s="145">
        <v>46223</v>
      </c>
      <c r="C249" s="214" t="s">
        <v>1690</v>
      </c>
      <c r="D249" s="146" t="s">
        <v>469</v>
      </c>
      <c r="E249" s="146" t="s">
        <v>619</v>
      </c>
      <c r="F249" s="146" t="s">
        <v>1691</v>
      </c>
      <c r="G249" s="146" t="s">
        <v>1692</v>
      </c>
      <c r="H249" s="146" t="s">
        <v>522</v>
      </c>
      <c r="I249" s="145">
        <v>46227</v>
      </c>
      <c r="J249" s="145">
        <v>46227</v>
      </c>
      <c r="K249" s="144">
        <v>32</v>
      </c>
      <c r="L249" s="180">
        <v>469190</v>
      </c>
      <c r="M249" s="178">
        <v>0.25</v>
      </c>
      <c r="N249" s="180">
        <f>IFERROR(Tabela225[[#This Row],[VALOR  (R$)]]/Tabela225[[#This Row],[PRAZO
EXECUÇÃO]],0)</f>
        <v>14662.1875</v>
      </c>
      <c r="O249" s="211" t="s">
        <v>692</v>
      </c>
      <c r="P249" s="145"/>
      <c r="Q249" s="146"/>
      <c r="R249" s="146"/>
      <c r="S249" s="145"/>
      <c r="T249" s="146"/>
    </row>
    <row r="250" spans="1:20" s="217" customFormat="1" hidden="1">
      <c r="A250" s="144">
        <v>49</v>
      </c>
      <c r="B250" s="145">
        <v>46057</v>
      </c>
      <c r="C250" s="145" t="s">
        <v>800</v>
      </c>
      <c r="D250" s="146" t="s">
        <v>536</v>
      </c>
      <c r="E250" s="146" t="s">
        <v>497</v>
      </c>
      <c r="F250" s="146" t="s">
        <v>801</v>
      </c>
      <c r="G250" s="146" t="s">
        <v>802</v>
      </c>
      <c r="H250" s="146" t="s">
        <v>522</v>
      </c>
      <c r="I250" s="145">
        <v>46058</v>
      </c>
      <c r="J250" s="145">
        <v>46058</v>
      </c>
      <c r="K250" s="144">
        <v>39</v>
      </c>
      <c r="L250" s="180">
        <v>449900</v>
      </c>
      <c r="M250" s="183">
        <v>0.26</v>
      </c>
      <c r="N250" s="180">
        <f>IFERROR(Tabela225[[#This Row],[VALOR  (R$)]]/Tabela225[[#This Row],[PRAZO
EXECUÇÃO]],0)</f>
        <v>11535.897435897436</v>
      </c>
      <c r="O250" s="211" t="s">
        <v>506</v>
      </c>
      <c r="P250" s="145"/>
      <c r="Q250" s="146"/>
      <c r="R250" s="146"/>
      <c r="S250" s="145"/>
      <c r="T250" s="146"/>
    </row>
    <row r="251" spans="1:20" s="217" customFormat="1">
      <c r="A251" s="144">
        <v>92</v>
      </c>
      <c r="B251" s="145">
        <v>46078</v>
      </c>
      <c r="C251" s="146" t="s">
        <v>923</v>
      </c>
      <c r="D251" s="146" t="s">
        <v>924</v>
      </c>
      <c r="E251" s="146" t="s">
        <v>497</v>
      </c>
      <c r="F251" s="146" t="s">
        <v>925</v>
      </c>
      <c r="G251" s="146" t="s">
        <v>929</v>
      </c>
      <c r="H251" s="146" t="s">
        <v>522</v>
      </c>
      <c r="I251" s="145">
        <v>46079</v>
      </c>
      <c r="J251" s="145">
        <v>46083</v>
      </c>
      <c r="K251" s="144">
        <v>36</v>
      </c>
      <c r="L251" s="180">
        <v>449820</v>
      </c>
      <c r="M251" s="178">
        <v>0.25</v>
      </c>
      <c r="N251" s="180">
        <f>IFERROR(Tabela225[[#This Row],[VALOR  (R$)]]/Tabela225[[#This Row],[PRAZO
EXECUÇÃO]],0)</f>
        <v>12495</v>
      </c>
      <c r="O251" s="211" t="s">
        <v>692</v>
      </c>
      <c r="P251" s="145"/>
      <c r="Q251" s="146"/>
      <c r="R251" s="146"/>
      <c r="S251" s="145"/>
      <c r="T251" s="146"/>
    </row>
    <row r="252" spans="1:20" s="217" customFormat="1" hidden="1">
      <c r="A252" s="144">
        <v>312</v>
      </c>
      <c r="B252" s="145">
        <v>46188</v>
      </c>
      <c r="C252" s="214" t="s">
        <v>1523</v>
      </c>
      <c r="D252" s="146" t="s">
        <v>486</v>
      </c>
      <c r="E252" s="146" t="s">
        <v>619</v>
      </c>
      <c r="F252" s="146" t="s">
        <v>947</v>
      </c>
      <c r="G252" s="146" t="s">
        <v>948</v>
      </c>
      <c r="H252" s="146" t="s">
        <v>522</v>
      </c>
      <c r="I252" s="145">
        <v>46189</v>
      </c>
      <c r="J252" s="145">
        <v>46188</v>
      </c>
      <c r="K252" s="144">
        <v>30</v>
      </c>
      <c r="L252" s="180">
        <v>479700</v>
      </c>
      <c r="M252" s="178">
        <v>0.26</v>
      </c>
      <c r="N252" s="180">
        <f>IFERROR(Tabela225[[#This Row],[VALOR  (R$)]]/Tabela225[[#This Row],[PRAZO
EXECUÇÃO]],0)</f>
        <v>15990</v>
      </c>
      <c r="O252" s="211" t="s">
        <v>635</v>
      </c>
      <c r="P252" s="145">
        <v>46199</v>
      </c>
      <c r="Q252" s="146">
        <v>21844</v>
      </c>
      <c r="R252" s="146"/>
      <c r="S252" s="145"/>
      <c r="T252" s="146" t="s">
        <v>1080</v>
      </c>
    </row>
    <row r="253" spans="1:20" s="217" customFormat="1" hidden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 hidden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573</v>
      </c>
      <c r="P254" s="145"/>
      <c r="Q254" s="146"/>
      <c r="R254" s="146"/>
      <c r="S254" s="145"/>
      <c r="T254" s="146"/>
    </row>
    <row r="255" spans="1:20" s="217" customFormat="1" hidden="1">
      <c r="A255" s="144">
        <v>260</v>
      </c>
      <c r="B255" s="214">
        <v>46162</v>
      </c>
      <c r="C255" s="214" t="s">
        <v>1378</v>
      </c>
      <c r="D255" s="215" t="s">
        <v>604</v>
      </c>
      <c r="E255" s="215" t="s">
        <v>619</v>
      </c>
      <c r="F255" s="215" t="s">
        <v>1379</v>
      </c>
      <c r="G255" s="215" t="s">
        <v>1380</v>
      </c>
      <c r="H255" s="146" t="s">
        <v>522</v>
      </c>
      <c r="I255" s="145">
        <v>46161</v>
      </c>
      <c r="J255" s="145">
        <v>46162</v>
      </c>
      <c r="K255" s="144">
        <v>20</v>
      </c>
      <c r="L255" s="220">
        <v>449810</v>
      </c>
      <c r="M255" s="221">
        <v>0.25</v>
      </c>
      <c r="N255" s="180">
        <f>IFERROR(Tabela225[[#This Row],[VALOR  (R$)]]/Tabela225[[#This Row],[PRAZO
EXECUÇÃO]],0)</f>
        <v>22490.5</v>
      </c>
      <c r="O255" s="211" t="s">
        <v>506</v>
      </c>
      <c r="P255" s="214"/>
      <c r="Q255" s="215"/>
      <c r="R255" s="146">
        <v>2027</v>
      </c>
      <c r="S255" s="214"/>
      <c r="T255" s="146"/>
    </row>
    <row r="256" spans="1:20" s="217" customFormat="1" hidden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 hidden="1">
      <c r="A257" s="144">
        <v>304</v>
      </c>
      <c r="B257" s="145">
        <v>46183</v>
      </c>
      <c r="C257" s="214" t="s">
        <v>1504</v>
      </c>
      <c r="D257" s="146" t="s">
        <v>486</v>
      </c>
      <c r="E257" s="146" t="s">
        <v>619</v>
      </c>
      <c r="F257" s="146" t="s">
        <v>1505</v>
      </c>
      <c r="G257" s="146" t="s">
        <v>1506</v>
      </c>
      <c r="H257" s="146" t="s">
        <v>522</v>
      </c>
      <c r="I257" s="145">
        <v>46184</v>
      </c>
      <c r="J257" s="145">
        <v>46184</v>
      </c>
      <c r="K257" s="144">
        <v>44</v>
      </c>
      <c r="L257" s="180">
        <v>439600</v>
      </c>
      <c r="M257" s="178">
        <v>0.23</v>
      </c>
      <c r="N257" s="180">
        <f>IFERROR(Tabela225[[#This Row],[VALOR  (R$)]]/Tabela225[[#This Row],[PRAZO
EXECUÇÃO]],0)</f>
        <v>9990.9090909090901</v>
      </c>
      <c r="O257" s="211" t="s">
        <v>506</v>
      </c>
      <c r="P257" s="145"/>
      <c r="Q257" s="146"/>
      <c r="R257" s="146"/>
      <c r="S257" s="145"/>
      <c r="T257" s="146"/>
    </row>
    <row r="258" spans="1:20" s="217" customFormat="1" hidden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 hidden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 hidden="1">
      <c r="A260" s="144">
        <v>93</v>
      </c>
      <c r="B260" s="145">
        <v>46078</v>
      </c>
      <c r="C260" s="146" t="s">
        <v>926</v>
      </c>
      <c r="D260" s="146" t="s">
        <v>759</v>
      </c>
      <c r="E260" s="146" t="s">
        <v>497</v>
      </c>
      <c r="F260" s="146" t="s">
        <v>927</v>
      </c>
      <c r="G260" s="146" t="s">
        <v>928</v>
      </c>
      <c r="H260" s="146" t="s">
        <v>522</v>
      </c>
      <c r="I260" s="145">
        <v>46079</v>
      </c>
      <c r="J260" s="145">
        <v>46079</v>
      </c>
      <c r="K260" s="144">
        <f>6*3</f>
        <v>18</v>
      </c>
      <c r="L260" s="180">
        <v>188625</v>
      </c>
      <c r="M260" s="182">
        <v>0.21</v>
      </c>
      <c r="N260" s="180">
        <f>IFERROR(Tabela225[[#This Row],[VALOR  (R$)]]/Tabela225[[#This Row],[PRAZO
EXECUÇÃO]],0)</f>
        <v>10479.166666666666</v>
      </c>
      <c r="O260" s="211" t="s">
        <v>635</v>
      </c>
      <c r="P260" s="145">
        <v>46189</v>
      </c>
      <c r="Q260" s="146"/>
      <c r="R260" s="146"/>
      <c r="S260" s="145"/>
      <c r="T260" s="146" t="s">
        <v>1082</v>
      </c>
    </row>
    <row r="261" spans="1:20" s="217" customFormat="1" hidden="1">
      <c r="A261" s="144">
        <v>43</v>
      </c>
      <c r="B261" s="145">
        <v>46052</v>
      </c>
      <c r="C261" s="146" t="s">
        <v>756</v>
      </c>
      <c r="D261" s="146" t="s">
        <v>604</v>
      </c>
      <c r="E261" s="146" t="s">
        <v>619</v>
      </c>
      <c r="F261" s="146" t="s">
        <v>754</v>
      </c>
      <c r="G261" s="146" t="s">
        <v>755</v>
      </c>
      <c r="H261" s="146" t="s">
        <v>522</v>
      </c>
      <c r="I261" s="145">
        <v>46086</v>
      </c>
      <c r="J261" s="145">
        <v>46058</v>
      </c>
      <c r="K261" s="144">
        <v>18</v>
      </c>
      <c r="L261" s="180">
        <v>406162</v>
      </c>
      <c r="M261" s="178">
        <v>0.23</v>
      </c>
      <c r="N261" s="180">
        <f>IFERROR(Tabela225[[#This Row],[VALOR  (R$)]]/Tabela225[[#This Row],[PRAZO
EXECUÇÃO]],0)</f>
        <v>22564.555555555555</v>
      </c>
      <c r="O261" s="211" t="s">
        <v>506</v>
      </c>
      <c r="P261" s="145"/>
      <c r="Q261" s="146"/>
      <c r="R261" s="146"/>
      <c r="S261" s="145"/>
      <c r="T261" s="146"/>
    </row>
    <row r="262" spans="1:20" s="217" customFormat="1" hidden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 hidden="1">
      <c r="A263" s="144">
        <v>353</v>
      </c>
      <c r="B263" s="145">
        <v>46209</v>
      </c>
      <c r="C263" s="214" t="s">
        <v>1620</v>
      </c>
      <c r="D263" s="146" t="s">
        <v>604</v>
      </c>
      <c r="E263" s="146" t="s">
        <v>619</v>
      </c>
      <c r="F263" s="146" t="s">
        <v>1621</v>
      </c>
      <c r="G263" s="146" t="s">
        <v>1622</v>
      </c>
      <c r="H263" s="146" t="s">
        <v>522</v>
      </c>
      <c r="I263" s="145">
        <v>46212</v>
      </c>
      <c r="J263" s="145">
        <v>46211</v>
      </c>
      <c r="K263" s="144">
        <v>12</v>
      </c>
      <c r="L263" s="180">
        <v>396000</v>
      </c>
      <c r="M263" s="178">
        <v>0.3</v>
      </c>
      <c r="N263" s="180">
        <f>IFERROR(Tabela225[[#This Row],[VALOR  (R$)]]/Tabela225[[#This Row],[PRAZO
EXECUÇÃO]],0)</f>
        <v>33000</v>
      </c>
      <c r="O263" s="211" t="s">
        <v>506</v>
      </c>
      <c r="P263" s="145"/>
      <c r="Q263" s="146"/>
      <c r="R263" s="146"/>
      <c r="S263" s="145"/>
      <c r="T263" s="146"/>
    </row>
    <row r="264" spans="1:20" s="217" customFormat="1">
      <c r="A264" s="144">
        <v>276</v>
      </c>
      <c r="B264" s="145">
        <v>46167</v>
      </c>
      <c r="C264" s="145" t="s">
        <v>1424</v>
      </c>
      <c r="D264" s="146" t="s">
        <v>1474</v>
      </c>
      <c r="E264" s="146" t="s">
        <v>497</v>
      </c>
      <c r="F264" s="146" t="s">
        <v>1475</v>
      </c>
      <c r="G264" s="146" t="s">
        <v>1476</v>
      </c>
      <c r="H264" s="146" t="s">
        <v>522</v>
      </c>
      <c r="I264" s="145">
        <v>46150</v>
      </c>
      <c r="J264" s="145">
        <v>46176</v>
      </c>
      <c r="K264" s="144">
        <v>10</v>
      </c>
      <c r="L264" s="180">
        <v>373640</v>
      </c>
      <c r="M264" s="178">
        <v>0.25</v>
      </c>
      <c r="N264" s="180">
        <f>IFERROR(Tabela225[[#This Row],[VALOR  (R$)]]/Tabela225[[#This Row],[PRAZO
EXECUÇÃO]],0)</f>
        <v>37364</v>
      </c>
      <c r="O264" s="211" t="s">
        <v>692</v>
      </c>
      <c r="P264" s="145"/>
      <c r="Q264" s="146"/>
      <c r="R264" s="146"/>
      <c r="S264" s="145"/>
      <c r="T264" s="146"/>
    </row>
    <row r="265" spans="1:20" s="217" customFormat="1" hidden="1">
      <c r="A265" s="144">
        <v>207</v>
      </c>
      <c r="B265" s="214">
        <v>46140</v>
      </c>
      <c r="C265" s="214" t="s">
        <v>1240</v>
      </c>
      <c r="D265" s="215" t="s">
        <v>631</v>
      </c>
      <c r="E265" s="215" t="s">
        <v>497</v>
      </c>
      <c r="F265" s="215" t="s">
        <v>1241</v>
      </c>
      <c r="G265" s="215" t="s">
        <v>1242</v>
      </c>
      <c r="H265" s="146" t="s">
        <v>522</v>
      </c>
      <c r="I265" s="145">
        <v>46147</v>
      </c>
      <c r="J265" s="145">
        <v>46147</v>
      </c>
      <c r="K265" s="216">
        <v>20</v>
      </c>
      <c r="L265" s="184">
        <v>351720</v>
      </c>
      <c r="M265" s="185">
        <v>0.25</v>
      </c>
      <c r="N265" s="180">
        <f>IFERROR(Tabela225[[#This Row],[VALOR  (R$)]]/Tabela225[[#This Row],[PRAZO
EXECUÇÃO]],0)</f>
        <v>17586</v>
      </c>
      <c r="O265" s="211" t="s">
        <v>506</v>
      </c>
      <c r="P265" s="214"/>
      <c r="Q265" s="215"/>
      <c r="R265" s="146"/>
      <c r="S265" s="214"/>
      <c r="T265" s="146"/>
    </row>
    <row r="266" spans="1:20" s="217" customFormat="1" hidden="1">
      <c r="A266" s="144">
        <v>235</v>
      </c>
      <c r="B266" s="214">
        <v>46153</v>
      </c>
      <c r="C266" s="214" t="s">
        <v>1309</v>
      </c>
      <c r="D266" s="215" t="s">
        <v>486</v>
      </c>
      <c r="E266" s="215" t="s">
        <v>619</v>
      </c>
      <c r="F266" s="215" t="s">
        <v>1320</v>
      </c>
      <c r="G266" s="215" t="s">
        <v>1321</v>
      </c>
      <c r="H266" s="146" t="s">
        <v>522</v>
      </c>
      <c r="I266" s="214">
        <v>46153</v>
      </c>
      <c r="J266" s="214">
        <v>46154</v>
      </c>
      <c r="K266" s="216">
        <f>3*9</f>
        <v>27</v>
      </c>
      <c r="L266" s="184">
        <v>350274</v>
      </c>
      <c r="M266" s="185">
        <v>0.23</v>
      </c>
      <c r="N266" s="180">
        <f>IFERROR(Tabela225[[#This Row],[VALOR  (R$)]]/Tabela225[[#This Row],[PRAZO
EXECUÇÃO]],0)</f>
        <v>12973.111111111111</v>
      </c>
      <c r="O266" s="211" t="s">
        <v>506</v>
      </c>
      <c r="P266" s="214"/>
      <c r="Q266" s="215"/>
      <c r="R266" s="146"/>
      <c r="S266" s="214"/>
      <c r="T266" s="146"/>
    </row>
    <row r="267" spans="1:20" s="217" customFormat="1" hidden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 hidden="1">
      <c r="A268" s="144">
        <v>387</v>
      </c>
      <c r="B268" s="145">
        <v>46227</v>
      </c>
      <c r="C268" s="214" t="s">
        <v>1706</v>
      </c>
      <c r="D268" s="146" t="s">
        <v>486</v>
      </c>
      <c r="E268" s="146" t="s">
        <v>619</v>
      </c>
      <c r="F268" s="146" t="s">
        <v>1664</v>
      </c>
      <c r="G268" s="146" t="s">
        <v>1707</v>
      </c>
      <c r="H268" s="146" t="s">
        <v>522</v>
      </c>
      <c r="I268" s="145">
        <v>46230</v>
      </c>
      <c r="J268" s="145">
        <v>46230</v>
      </c>
      <c r="K268" s="144">
        <v>34</v>
      </c>
      <c r="L268" s="180">
        <v>348540</v>
      </c>
      <c r="M268" s="178">
        <v>0.27</v>
      </c>
      <c r="N268" s="180">
        <f>IFERROR(Tabela225[[#This Row],[VALOR  (R$)]]/Tabela225[[#This Row],[PRAZO
EXECUÇÃO]],0)</f>
        <v>10251.176470588236</v>
      </c>
      <c r="O268" s="211" t="s">
        <v>506</v>
      </c>
      <c r="P268" s="145"/>
      <c r="Q268" s="146"/>
      <c r="R268" s="146"/>
      <c r="S268" s="145"/>
      <c r="T268" s="146"/>
    </row>
    <row r="269" spans="1:20" s="217" customFormat="1" hidden="1">
      <c r="A269" s="144">
        <v>344</v>
      </c>
      <c r="B269" s="145">
        <v>46203</v>
      </c>
      <c r="C269" s="214" t="s">
        <v>1599</v>
      </c>
      <c r="D269" s="146" t="s">
        <v>604</v>
      </c>
      <c r="E269" s="146" t="s">
        <v>619</v>
      </c>
      <c r="F269" s="146" t="s">
        <v>1600</v>
      </c>
      <c r="G269" s="146" t="s">
        <v>1601</v>
      </c>
      <c r="H269" s="146" t="s">
        <v>522</v>
      </c>
      <c r="I269" s="145">
        <v>46204</v>
      </c>
      <c r="J269" s="145">
        <v>46206</v>
      </c>
      <c r="K269" s="144">
        <v>18</v>
      </c>
      <c r="L269" s="180">
        <v>345970</v>
      </c>
      <c r="M269" s="178">
        <v>0.26</v>
      </c>
      <c r="N269" s="180">
        <f>IFERROR(Tabela225[[#This Row],[VALOR  (R$)]]/Tabela225[[#This Row],[PRAZO
EXECUÇÃO]],0)</f>
        <v>19220.555555555555</v>
      </c>
      <c r="O269" s="211" t="s">
        <v>506</v>
      </c>
      <c r="P269" s="145"/>
      <c r="Q269" s="146"/>
      <c r="R269" s="146"/>
      <c r="S269" s="145"/>
      <c r="T269" s="146"/>
    </row>
    <row r="270" spans="1:20" s="217" customFormat="1" hidden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 hidden="1">
      <c r="A271" s="144">
        <v>336</v>
      </c>
      <c r="B271" s="145">
        <v>46202</v>
      </c>
      <c r="C271" s="214" t="s">
        <v>1581</v>
      </c>
      <c r="D271" s="146" t="s">
        <v>486</v>
      </c>
      <c r="E271" s="146" t="s">
        <v>619</v>
      </c>
      <c r="F271" s="146" t="s">
        <v>1582</v>
      </c>
      <c r="G271" s="146" t="s">
        <v>1583</v>
      </c>
      <c r="H271" s="146" t="s">
        <v>522</v>
      </c>
      <c r="I271" s="145">
        <v>46202</v>
      </c>
      <c r="J271" s="145">
        <v>46202</v>
      </c>
      <c r="K271" s="144">
        <v>22</v>
      </c>
      <c r="L271" s="180">
        <v>343400</v>
      </c>
      <c r="M271" s="178">
        <v>0.23</v>
      </c>
      <c r="N271" s="180">
        <f>IFERROR(Tabela225[[#This Row],[VALOR  (R$)]]/Tabela225[[#This Row],[PRAZO
EXECUÇÃO]],0)</f>
        <v>15609.09090909091</v>
      </c>
      <c r="O271" s="211" t="s">
        <v>506</v>
      </c>
      <c r="P271" s="145"/>
      <c r="Q271" s="146"/>
      <c r="R271" s="146"/>
      <c r="S271" s="145"/>
      <c r="T271" s="146"/>
    </row>
    <row r="272" spans="1:20" s="217" customFormat="1" hidden="1">
      <c r="A272" s="144">
        <v>333</v>
      </c>
      <c r="B272" s="145">
        <v>46198</v>
      </c>
      <c r="C272" s="214" t="s">
        <v>1572</v>
      </c>
      <c r="D272" s="146" t="s">
        <v>486</v>
      </c>
      <c r="E272" s="146" t="s">
        <v>619</v>
      </c>
      <c r="F272" s="146" t="s">
        <v>656</v>
      </c>
      <c r="G272" s="146" t="s">
        <v>1573</v>
      </c>
      <c r="H272" s="146" t="s">
        <v>522</v>
      </c>
      <c r="I272" s="145">
        <v>46197</v>
      </c>
      <c r="J272" s="145">
        <v>46199</v>
      </c>
      <c r="K272" s="144">
        <v>17</v>
      </c>
      <c r="L272" s="180">
        <v>339050</v>
      </c>
      <c r="M272" s="178">
        <v>0.3</v>
      </c>
      <c r="N272" s="180">
        <f>IFERROR(Tabela225[[#This Row],[VALOR  (R$)]]/Tabela225[[#This Row],[PRAZO
EXECUÇÃO]],0)</f>
        <v>19944.117647058825</v>
      </c>
      <c r="O272" s="211" t="s">
        <v>506</v>
      </c>
      <c r="P272" s="145"/>
      <c r="Q272" s="146"/>
      <c r="R272" s="146"/>
      <c r="S272" s="145"/>
      <c r="T272" s="146"/>
    </row>
    <row r="273" spans="1:21" s="217" customFormat="1" hidden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 t="s">
        <v>1082</v>
      </c>
    </row>
    <row r="274" spans="1:21" s="217" customFormat="1" hidden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46204</v>
      </c>
      <c r="Q274" s="215"/>
      <c r="R274" s="146"/>
      <c r="S274" s="214"/>
      <c r="T274" s="146" t="s">
        <v>1082</v>
      </c>
    </row>
    <row r="275" spans="1:21" s="217" customFormat="1" hidden="1">
      <c r="A275" s="144">
        <v>224</v>
      </c>
      <c r="B275" s="214">
        <v>46148</v>
      </c>
      <c r="C275" s="214" t="s">
        <v>1283</v>
      </c>
      <c r="D275" s="215" t="s">
        <v>486</v>
      </c>
      <c r="E275" s="215" t="s">
        <v>619</v>
      </c>
      <c r="F275" s="215" t="s">
        <v>1284</v>
      </c>
      <c r="G275" s="215" t="s">
        <v>875</v>
      </c>
      <c r="H275" s="146" t="s">
        <v>522</v>
      </c>
      <c r="I275" s="214">
        <v>46150</v>
      </c>
      <c r="J275" s="214">
        <v>46149</v>
      </c>
      <c r="K275" s="216">
        <v>18</v>
      </c>
      <c r="L275" s="184">
        <v>336500</v>
      </c>
      <c r="M275" s="185">
        <v>0.23</v>
      </c>
      <c r="N275" s="180">
        <f>IFERROR(Tabela225[[#This Row],[VALOR  (R$)]]/Tabela225[[#This Row],[PRAZO
EXECUÇÃO]],0)</f>
        <v>18694.444444444445</v>
      </c>
      <c r="O275" s="211" t="s">
        <v>506</v>
      </c>
      <c r="P275" s="214"/>
      <c r="Q275" s="215"/>
      <c r="R275" s="146"/>
      <c r="S275" s="214"/>
      <c r="T275" s="146"/>
    </row>
    <row r="276" spans="1:21" s="217" customFormat="1" hidden="1">
      <c r="A276" s="144">
        <v>134</v>
      </c>
      <c r="B276" s="145">
        <v>46099</v>
      </c>
      <c r="C276" s="146" t="s">
        <v>1035</v>
      </c>
      <c r="D276" s="146" t="s">
        <v>1036</v>
      </c>
      <c r="E276" s="146" t="s">
        <v>497</v>
      </c>
      <c r="F276" s="146" t="s">
        <v>1037</v>
      </c>
      <c r="G276" s="146" t="s">
        <v>1038</v>
      </c>
      <c r="H276" s="146" t="s">
        <v>522</v>
      </c>
      <c r="I276" s="145">
        <v>46099</v>
      </c>
      <c r="J276" s="145">
        <v>46111</v>
      </c>
      <c r="K276" s="144">
        <f>10*2</f>
        <v>20</v>
      </c>
      <c r="L276" s="180">
        <v>334900</v>
      </c>
      <c r="M276" s="178">
        <v>0.21</v>
      </c>
      <c r="N276" s="180">
        <f>IFERROR(Tabela225[[#This Row],[VALOR  (R$)]]/Tabela225[[#This Row],[PRAZO
EXECUÇÃO]],0)</f>
        <v>16745</v>
      </c>
      <c r="O276" s="211" t="s">
        <v>506</v>
      </c>
      <c r="P276" s="145"/>
      <c r="Q276" s="146"/>
      <c r="R276" s="146"/>
      <c r="S276" s="145"/>
      <c r="T276" s="146"/>
    </row>
    <row r="277" spans="1:21" hidden="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 hidden="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573</v>
      </c>
      <c r="P278" s="145"/>
      <c r="Q278" s="146"/>
      <c r="R278" s="146"/>
      <c r="S278" s="145"/>
      <c r="T278" s="146"/>
      <c r="U278" s="132"/>
    </row>
    <row r="279" spans="1:21" hidden="1">
      <c r="A279" s="144">
        <v>332</v>
      </c>
      <c r="B279" s="145">
        <v>46198</v>
      </c>
      <c r="C279" s="214" t="s">
        <v>1568</v>
      </c>
      <c r="D279" s="146" t="s">
        <v>1569</v>
      </c>
      <c r="E279" s="146" t="s">
        <v>497</v>
      </c>
      <c r="F279" s="146" t="s">
        <v>1570</v>
      </c>
      <c r="G279" s="146" t="s">
        <v>1571</v>
      </c>
      <c r="H279" s="146" t="s">
        <v>522</v>
      </c>
      <c r="I279" s="145">
        <v>46205</v>
      </c>
      <c r="J279" s="145">
        <v>46205</v>
      </c>
      <c r="K279" s="144">
        <v>20</v>
      </c>
      <c r="L279" s="180">
        <v>322010</v>
      </c>
      <c r="M279" s="178">
        <v>0.25</v>
      </c>
      <c r="N279" s="180">
        <f>IFERROR(Tabela225[[#This Row],[VALOR  (R$)]]/Tabela225[[#This Row],[PRAZO
EXECUÇÃO]],0)</f>
        <v>16100.5</v>
      </c>
      <c r="O279" s="211" t="s">
        <v>506</v>
      </c>
      <c r="P279" s="145"/>
      <c r="Q279" s="146"/>
      <c r="R279" s="146"/>
      <c r="S279" s="145"/>
      <c r="T279" s="146"/>
      <c r="U279" s="132"/>
    </row>
    <row r="280" spans="1:21" hidden="1">
      <c r="A280" s="144">
        <v>22</v>
      </c>
      <c r="B280" s="145">
        <v>46037</v>
      </c>
      <c r="C280" s="146" t="s">
        <v>673</v>
      </c>
      <c r="D280" s="146" t="s">
        <v>602</v>
      </c>
      <c r="E280" s="146" t="s">
        <v>619</v>
      </c>
      <c r="F280" s="146" t="s">
        <v>693</v>
      </c>
      <c r="G280" s="146" t="s">
        <v>674</v>
      </c>
      <c r="H280" s="146" t="s">
        <v>522</v>
      </c>
      <c r="I280" s="145">
        <v>46037</v>
      </c>
      <c r="J280" s="145">
        <v>46037</v>
      </c>
      <c r="K280" s="144">
        <v>15</v>
      </c>
      <c r="L280" s="180">
        <v>319960.09999999998</v>
      </c>
      <c r="M280" s="178">
        <v>0.22</v>
      </c>
      <c r="N280" s="180">
        <f>IFERROR(Tabela225[[#This Row],[VALOR  (R$)]]/Tabela225[[#This Row],[PRAZO
EXECUÇÃO]],0)</f>
        <v>21330.673333333332</v>
      </c>
      <c r="O280" s="211" t="s">
        <v>506</v>
      </c>
      <c r="P280" s="145"/>
      <c r="Q280" s="146"/>
      <c r="R280" s="146"/>
      <c r="S280" s="145"/>
      <c r="T280" s="146"/>
      <c r="U280" s="132"/>
    </row>
    <row r="281" spans="1:21" hidden="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 hidden="1">
      <c r="A282" s="144">
        <v>377</v>
      </c>
      <c r="B282" s="145">
        <v>46223</v>
      </c>
      <c r="C282" s="214" t="s">
        <v>1681</v>
      </c>
      <c r="D282" s="146" t="s">
        <v>1253</v>
      </c>
      <c r="E282" s="146" t="s">
        <v>497</v>
      </c>
      <c r="F282" s="146" t="s">
        <v>947</v>
      </c>
      <c r="G282" s="146" t="s">
        <v>1682</v>
      </c>
      <c r="H282" s="146" t="s">
        <v>522</v>
      </c>
      <c r="I282" s="145">
        <v>46223</v>
      </c>
      <c r="J282" s="145">
        <v>46223</v>
      </c>
      <c r="K282" s="144">
        <v>30</v>
      </c>
      <c r="L282" s="180">
        <v>319252</v>
      </c>
      <c r="M282" s="178">
        <v>0.23</v>
      </c>
      <c r="N282" s="180">
        <f>IFERROR(Tabela225[[#This Row],[VALOR  (R$)]]/Tabela225[[#This Row],[PRAZO
EXECUÇÃO]],0)</f>
        <v>10641.733333333334</v>
      </c>
      <c r="O282" s="211" t="s">
        <v>506</v>
      </c>
      <c r="P282" s="145"/>
      <c r="Q282" s="146"/>
      <c r="R282" s="146"/>
      <c r="S282" s="145"/>
      <c r="T282" s="146"/>
      <c r="U282" s="132"/>
    </row>
    <row r="283" spans="1:21" hidden="1">
      <c r="A283" s="144">
        <v>180</v>
      </c>
      <c r="B283" s="145">
        <v>46126</v>
      </c>
      <c r="C283" s="145" t="s">
        <v>1161</v>
      </c>
      <c r="D283" s="146" t="s">
        <v>486</v>
      </c>
      <c r="E283" s="146" t="s">
        <v>619</v>
      </c>
      <c r="F283" s="146" t="s">
        <v>1162</v>
      </c>
      <c r="G283" s="146" t="s">
        <v>1163</v>
      </c>
      <c r="H283" s="146" t="s">
        <v>522</v>
      </c>
      <c r="I283" s="145">
        <v>46128</v>
      </c>
      <c r="J283" s="145">
        <v>46128</v>
      </c>
      <c r="K283" s="144">
        <v>20</v>
      </c>
      <c r="L283" s="180">
        <v>310100</v>
      </c>
      <c r="M283" s="178">
        <v>0.25</v>
      </c>
      <c r="N283" s="180">
        <f>IFERROR(Tabela225[[#This Row],[VALOR  (R$)]]/Tabela225[[#This Row],[PRAZO
EXECUÇÃO]],0)</f>
        <v>15505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 hidden="1">
      <c r="A284" s="144">
        <v>248</v>
      </c>
      <c r="B284" s="214">
        <v>46156</v>
      </c>
      <c r="C284" s="214" t="s">
        <v>1344</v>
      </c>
      <c r="D284" s="215" t="s">
        <v>486</v>
      </c>
      <c r="E284" s="215" t="s">
        <v>619</v>
      </c>
      <c r="F284" s="215" t="s">
        <v>1345</v>
      </c>
      <c r="G284" s="215" t="s">
        <v>1346</v>
      </c>
      <c r="H284" s="146" t="s">
        <v>522</v>
      </c>
      <c r="I284" s="214">
        <v>46157</v>
      </c>
      <c r="J284" s="214">
        <v>46157</v>
      </c>
      <c r="K284" s="216">
        <v>18</v>
      </c>
      <c r="L284" s="184">
        <v>308400</v>
      </c>
      <c r="M284" s="185">
        <v>0.21</v>
      </c>
      <c r="N284" s="180">
        <f>IFERROR(Tabela225[[#This Row],[VALOR  (R$)]]/Tabela225[[#This Row],[PRAZO
EXECUÇÃO]],0)</f>
        <v>17133.333333333332</v>
      </c>
      <c r="O284" s="211" t="s">
        <v>506</v>
      </c>
      <c r="P284" s="214"/>
      <c r="Q284" s="215"/>
      <c r="R284" s="145">
        <v>46167</v>
      </c>
      <c r="S284" s="214"/>
      <c r="T284" s="146"/>
      <c r="U284" s="132"/>
    </row>
    <row r="285" spans="1:21" hidden="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</v>
      </c>
      <c r="B286" s="145">
        <v>46027</v>
      </c>
      <c r="C286" s="146" t="s">
        <v>611</v>
      </c>
      <c r="D286" s="146" t="s">
        <v>591</v>
      </c>
      <c r="E286" s="146" t="s">
        <v>497</v>
      </c>
      <c r="F286" s="146" t="s">
        <v>612</v>
      </c>
      <c r="G286" s="146" t="s">
        <v>613</v>
      </c>
      <c r="H286" s="146" t="s">
        <v>522</v>
      </c>
      <c r="I286" s="145">
        <v>45662</v>
      </c>
      <c r="J286" s="145">
        <v>46027</v>
      </c>
      <c r="K286" s="144">
        <v>0</v>
      </c>
      <c r="L286" s="180">
        <v>300000</v>
      </c>
      <c r="M286" s="178">
        <v>0.2</v>
      </c>
      <c r="N286" s="180">
        <f>IFERROR(Tabela225[[#This Row],[VALOR  (R$)]]/Tabela225[[#This Row],[PRAZO
EXECUÇÃO]],0)</f>
        <v>0</v>
      </c>
      <c r="O286" s="211" t="s">
        <v>692</v>
      </c>
      <c r="P286" s="145"/>
      <c r="Q286" s="146"/>
      <c r="R286" s="146"/>
      <c r="S286" s="145"/>
      <c r="T286" s="146"/>
      <c r="U286" s="132"/>
    </row>
    <row r="287" spans="1:21" hidden="1">
      <c r="A287" s="144">
        <v>296</v>
      </c>
      <c r="B287" s="145">
        <v>46178</v>
      </c>
      <c r="C287" s="214" t="s">
        <v>1483</v>
      </c>
      <c r="D287" s="146" t="s">
        <v>486</v>
      </c>
      <c r="E287" s="146" t="s">
        <v>619</v>
      </c>
      <c r="F287" s="146" t="s">
        <v>1446</v>
      </c>
      <c r="G287" s="146" t="s">
        <v>1484</v>
      </c>
      <c r="H287" s="146" t="s">
        <v>522</v>
      </c>
      <c r="I287" s="145">
        <v>46178</v>
      </c>
      <c r="J287" s="145">
        <v>46178</v>
      </c>
      <c r="K287" s="144">
        <v>6</v>
      </c>
      <c r="L287" s="180">
        <v>108900</v>
      </c>
      <c r="M287" s="178">
        <v>0.22</v>
      </c>
      <c r="N287" s="180">
        <f>IFERROR(Tabela225[[#This Row],[VALOR  (R$)]]/Tabela225[[#This Row],[PRAZO
EXECUÇÃO]],0)</f>
        <v>18150</v>
      </c>
      <c r="O287" s="211" t="s">
        <v>635</v>
      </c>
      <c r="P287" s="145">
        <v>46178</v>
      </c>
      <c r="Q287" s="146"/>
      <c r="R287" s="146"/>
      <c r="S287" s="145"/>
      <c r="T287" s="146" t="s">
        <v>1082</v>
      </c>
      <c r="U287" s="132"/>
    </row>
    <row r="288" spans="1:21" hidden="1">
      <c r="A288" s="144">
        <v>182</v>
      </c>
      <c r="B288" s="145">
        <v>46126</v>
      </c>
      <c r="C288" s="145" t="s">
        <v>1166</v>
      </c>
      <c r="D288" s="146" t="s">
        <v>1027</v>
      </c>
      <c r="E288" s="146" t="s">
        <v>619</v>
      </c>
      <c r="F288" s="146" t="s">
        <v>1167</v>
      </c>
      <c r="G288" s="146" t="s">
        <v>1168</v>
      </c>
      <c r="H288" s="146" t="s">
        <v>522</v>
      </c>
      <c r="I288" s="145">
        <v>46126</v>
      </c>
      <c r="J288" s="145">
        <v>46126</v>
      </c>
      <c r="K288" s="144">
        <f>13+18</f>
        <v>31</v>
      </c>
      <c r="L288" s="180">
        <v>298604</v>
      </c>
      <c r="M288" s="178">
        <v>0.22</v>
      </c>
      <c r="N288" s="180">
        <f>IFERROR(Tabela225[[#This Row],[VALOR  (R$)]]/Tabela225[[#This Row],[PRAZO
EXECUÇÃO]],0)</f>
        <v>9632.3870967741932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 hidden="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 hidden="1">
      <c r="A290" s="144">
        <v>293</v>
      </c>
      <c r="B290" s="145">
        <v>46176</v>
      </c>
      <c r="C290" s="214" t="s">
        <v>1468</v>
      </c>
      <c r="D290" s="146" t="s">
        <v>486</v>
      </c>
      <c r="E290" s="146" t="s">
        <v>619</v>
      </c>
      <c r="F290" s="146" t="s">
        <v>1469</v>
      </c>
      <c r="G290" s="146" t="s">
        <v>1470</v>
      </c>
      <c r="H290" s="146" t="s">
        <v>522</v>
      </c>
      <c r="I290" s="145">
        <v>46176</v>
      </c>
      <c r="J290" s="145">
        <v>46176</v>
      </c>
      <c r="K290" s="144">
        <v>17</v>
      </c>
      <c r="L290" s="180">
        <v>297300</v>
      </c>
      <c r="M290" s="178">
        <v>0.23</v>
      </c>
      <c r="N290" s="180">
        <f>IFERROR(Tabela225[[#This Row],[VALOR  (R$)]]/Tabela225[[#This Row],[PRAZO
EXECUÇÃO]],0)</f>
        <v>17488.235294117647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 hidden="1">
      <c r="A291" s="144">
        <v>246</v>
      </c>
      <c r="B291" s="214">
        <v>46156</v>
      </c>
      <c r="C291" s="214" t="s">
        <v>1339</v>
      </c>
      <c r="D291" s="215" t="s">
        <v>486</v>
      </c>
      <c r="E291" s="215" t="s">
        <v>619</v>
      </c>
      <c r="F291" s="215" t="s">
        <v>1340</v>
      </c>
      <c r="G291" s="215" t="s">
        <v>1341</v>
      </c>
      <c r="H291" s="146" t="s">
        <v>522</v>
      </c>
      <c r="I291" s="214">
        <v>46157</v>
      </c>
      <c r="J291" s="214">
        <v>46157</v>
      </c>
      <c r="K291" s="216">
        <v>18</v>
      </c>
      <c r="L291" s="184">
        <v>293298</v>
      </c>
      <c r="M291" s="185">
        <v>0.21</v>
      </c>
      <c r="N291" s="180">
        <f>IFERROR(Tabela225[[#This Row],[VALOR  (R$)]]/Tabela225[[#This Row],[PRAZO
EXECUÇÃO]],0)</f>
        <v>16294.333333333334</v>
      </c>
      <c r="O291" s="211" t="s">
        <v>506</v>
      </c>
      <c r="P291" s="214"/>
      <c r="Q291" s="215"/>
      <c r="R291" s="145">
        <v>46174</v>
      </c>
      <c r="S291" s="214"/>
      <c r="T291" s="146"/>
      <c r="U291" s="132"/>
    </row>
    <row r="292" spans="1:21" hidden="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537</v>
      </c>
      <c r="P292" s="145"/>
      <c r="Q292" s="146"/>
      <c r="R292" s="146"/>
      <c r="S292" s="145"/>
      <c r="T292" s="146"/>
      <c r="U292" s="132"/>
    </row>
    <row r="293" spans="1:21" hidden="1">
      <c r="A293" s="144">
        <v>294</v>
      </c>
      <c r="B293" s="145">
        <v>46178</v>
      </c>
      <c r="C293" s="214" t="s">
        <v>1477</v>
      </c>
      <c r="D293" s="146" t="s">
        <v>1742</v>
      </c>
      <c r="E293" s="146" t="s">
        <v>497</v>
      </c>
      <c r="F293" s="146" t="s">
        <v>1478</v>
      </c>
      <c r="G293" s="146" t="s">
        <v>1479</v>
      </c>
      <c r="H293" s="146" t="s">
        <v>522</v>
      </c>
      <c r="I293" s="145">
        <v>46181</v>
      </c>
      <c r="J293" s="145">
        <v>46181</v>
      </c>
      <c r="K293" s="144">
        <v>1</v>
      </c>
      <c r="L293" s="180">
        <v>57800</v>
      </c>
      <c r="M293" s="178">
        <v>0.25</v>
      </c>
      <c r="N293" s="180">
        <f>IFERROR(Tabela225[[#This Row],[VALOR  (R$)]]/Tabela225[[#This Row],[PRAZO
EXECUÇÃO]],0)</f>
        <v>57800</v>
      </c>
      <c r="O293" s="211" t="s">
        <v>635</v>
      </c>
      <c r="P293" s="145">
        <v>46188</v>
      </c>
      <c r="Q293" s="146"/>
      <c r="R293" s="146"/>
      <c r="S293" s="145"/>
      <c r="T293" s="146" t="s">
        <v>1082</v>
      </c>
      <c r="U293" s="132"/>
    </row>
    <row r="294" spans="1:21" hidden="1">
      <c r="A294" s="144">
        <v>313</v>
      </c>
      <c r="B294" s="145">
        <v>46188</v>
      </c>
      <c r="C294" s="214" t="s">
        <v>1524</v>
      </c>
      <c r="D294" s="146" t="s">
        <v>486</v>
      </c>
      <c r="E294" s="146" t="s">
        <v>619</v>
      </c>
      <c r="F294" s="146" t="s">
        <v>1525</v>
      </c>
      <c r="G294" s="146" t="s">
        <v>1526</v>
      </c>
      <c r="H294" s="146" t="s">
        <v>522</v>
      </c>
      <c r="I294" s="145">
        <v>46188</v>
      </c>
      <c r="J294" s="145">
        <v>46188</v>
      </c>
      <c r="K294" s="144">
        <v>16</v>
      </c>
      <c r="L294" s="180">
        <v>279800</v>
      </c>
      <c r="M294" s="178">
        <v>0.23</v>
      </c>
      <c r="N294" s="180">
        <f>IFERROR(Tabela225[[#This Row],[VALOR  (R$)]]/Tabela225[[#This Row],[PRAZO
EXECUÇÃO]],0)</f>
        <v>17487.5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 hidden="1">
      <c r="A295" s="144">
        <v>373</v>
      </c>
      <c r="B295" s="145">
        <v>46223</v>
      </c>
      <c r="C295" s="214" t="s">
        <v>1672</v>
      </c>
      <c r="D295" s="146" t="s">
        <v>486</v>
      </c>
      <c r="E295" s="146" t="s">
        <v>619</v>
      </c>
      <c r="F295" s="146" t="s">
        <v>1007</v>
      </c>
      <c r="G295" s="146" t="s">
        <v>878</v>
      </c>
      <c r="H295" s="146" t="s">
        <v>522</v>
      </c>
      <c r="I295" s="145">
        <v>46223</v>
      </c>
      <c r="J295" s="145">
        <v>46224</v>
      </c>
      <c r="K295" s="144">
        <v>18</v>
      </c>
      <c r="L295" s="180">
        <v>274310</v>
      </c>
      <c r="M295" s="178">
        <v>0.25</v>
      </c>
      <c r="N295" s="180">
        <f>IFERROR(Tabela225[[#This Row],[VALOR  (R$)]]/Tabela225[[#This Row],[PRAZO
EXECUÇÃO]],0)</f>
        <v>15239.444444444445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 hidden="1">
      <c r="A296" s="144">
        <v>399</v>
      </c>
      <c r="B296" s="145">
        <v>46233</v>
      </c>
      <c r="C296" s="214" t="s">
        <v>1735</v>
      </c>
      <c r="D296" s="146" t="s">
        <v>604</v>
      </c>
      <c r="E296" s="146" t="s">
        <v>619</v>
      </c>
      <c r="F296" s="146" t="s">
        <v>1736</v>
      </c>
      <c r="G296" s="146" t="s">
        <v>1737</v>
      </c>
      <c r="H296" s="146" t="s">
        <v>522</v>
      </c>
      <c r="I296" s="145">
        <v>46233</v>
      </c>
      <c r="J296" s="145">
        <v>46233</v>
      </c>
      <c r="K296" s="144">
        <v>15</v>
      </c>
      <c r="L296" s="180">
        <v>272836</v>
      </c>
      <c r="M296" s="178">
        <v>0.26</v>
      </c>
      <c r="N296" s="180">
        <f>IFERROR(Tabela225[[#This Row],[VALOR  (R$)]]/Tabela225[[#This Row],[PRAZO
EXECUÇÃO]],0)</f>
        <v>18189.066666666666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 hidden="1">
      <c r="A297" s="144">
        <v>376</v>
      </c>
      <c r="B297" s="145">
        <v>46223</v>
      </c>
      <c r="C297" s="214" t="s">
        <v>1678</v>
      </c>
      <c r="D297" s="146" t="s">
        <v>486</v>
      </c>
      <c r="E297" s="146" t="s">
        <v>619</v>
      </c>
      <c r="F297" s="146" t="s">
        <v>1679</v>
      </c>
      <c r="G297" s="146" t="s">
        <v>1680</v>
      </c>
      <c r="H297" s="146" t="s">
        <v>522</v>
      </c>
      <c r="I297" s="145">
        <v>46224</v>
      </c>
      <c r="J297" s="145">
        <v>46224</v>
      </c>
      <c r="K297" s="144">
        <v>14</v>
      </c>
      <c r="L297" s="180">
        <v>269900</v>
      </c>
      <c r="M297" s="178">
        <v>0.25</v>
      </c>
      <c r="N297" s="180">
        <f>IFERROR(Tabela225[[#This Row],[VALOR  (R$)]]/Tabela225[[#This Row],[PRAZO
EXECUÇÃO]],0)</f>
        <v>19278.571428571428</v>
      </c>
      <c r="O297" s="211" t="s">
        <v>506</v>
      </c>
      <c r="P297" s="145"/>
      <c r="Q297" s="146"/>
      <c r="R297" s="146"/>
      <c r="S297" s="145"/>
      <c r="T297" s="146"/>
      <c r="U297" s="132"/>
    </row>
    <row r="298" spans="1:21" hidden="1">
      <c r="A298" s="144">
        <v>257</v>
      </c>
      <c r="B298" s="214">
        <v>46161</v>
      </c>
      <c r="C298" s="214" t="s">
        <v>1372</v>
      </c>
      <c r="D298" s="215" t="s">
        <v>486</v>
      </c>
      <c r="E298" s="215" t="s">
        <v>619</v>
      </c>
      <c r="F298" s="215" t="s">
        <v>1129</v>
      </c>
      <c r="G298" s="215" t="s">
        <v>1089</v>
      </c>
      <c r="H298" s="146" t="s">
        <v>522</v>
      </c>
      <c r="I298" s="214">
        <v>46161</v>
      </c>
      <c r="J298" s="214">
        <v>46161</v>
      </c>
      <c r="K298" s="216">
        <v>10</v>
      </c>
      <c r="L298" s="184">
        <v>269790</v>
      </c>
      <c r="M298" s="185">
        <v>0.25</v>
      </c>
      <c r="N298" s="180">
        <f>IFERROR(Tabela225[[#This Row],[VALOR  (R$)]]/Tabela225[[#This Row],[PRAZO
EXECUÇÃO]],0)</f>
        <v>26979</v>
      </c>
      <c r="O298" s="211" t="s">
        <v>506</v>
      </c>
      <c r="P298" s="214"/>
      <c r="Q298" s="215"/>
      <c r="R298" s="145">
        <v>46182</v>
      </c>
      <c r="S298" s="214"/>
      <c r="T298" s="146"/>
      <c r="U298" s="132"/>
    </row>
    <row r="299" spans="1:21" hidden="1">
      <c r="A299" s="144">
        <v>291</v>
      </c>
      <c r="B299" s="145">
        <v>46175</v>
      </c>
      <c r="C299" s="214" t="s">
        <v>1464</v>
      </c>
      <c r="D299" s="146" t="s">
        <v>486</v>
      </c>
      <c r="E299" s="146" t="s">
        <v>619</v>
      </c>
      <c r="F299" s="146" t="s">
        <v>1446</v>
      </c>
      <c r="G299" s="146" t="s">
        <v>1465</v>
      </c>
      <c r="H299" s="146" t="s">
        <v>522</v>
      </c>
      <c r="I299" s="145">
        <v>46176</v>
      </c>
      <c r="J299" s="145">
        <v>46176</v>
      </c>
      <c r="K299" s="144">
        <v>1</v>
      </c>
      <c r="L299" s="180">
        <v>44400</v>
      </c>
      <c r="M299" s="178">
        <v>0.28999999999999998</v>
      </c>
      <c r="N299" s="180">
        <f>IFERROR(Tabela225[[#This Row],[VALOR  (R$)]]/Tabela225[[#This Row],[PRAZO
EXECUÇÃO]],0)</f>
        <v>44400</v>
      </c>
      <c r="O299" s="211" t="s">
        <v>635</v>
      </c>
      <c r="P299" s="145">
        <v>46176</v>
      </c>
      <c r="Q299" s="146"/>
      <c r="R299" s="146"/>
      <c r="S299" s="145"/>
      <c r="T299" s="146" t="s">
        <v>1082</v>
      </c>
      <c r="U299" s="132"/>
    </row>
    <row r="300" spans="1:21" hidden="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 hidden="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 t="s">
        <v>1082</v>
      </c>
      <c r="U301" s="132"/>
    </row>
    <row r="302" spans="1:21" hidden="1">
      <c r="A302" s="144">
        <v>391</v>
      </c>
      <c r="B302" s="145">
        <v>46230</v>
      </c>
      <c r="C302" s="214" t="s">
        <v>1715</v>
      </c>
      <c r="D302" s="146" t="s">
        <v>486</v>
      </c>
      <c r="E302" s="146" t="s">
        <v>619</v>
      </c>
      <c r="F302" s="146" t="s">
        <v>1716</v>
      </c>
      <c r="G302" s="146" t="s">
        <v>1717</v>
      </c>
      <c r="H302" s="146" t="s">
        <v>522</v>
      </c>
      <c r="I302" s="145">
        <v>46230</v>
      </c>
      <c r="J302" s="145">
        <v>46230</v>
      </c>
      <c r="K302" s="144">
        <v>17</v>
      </c>
      <c r="L302" s="180">
        <v>261140</v>
      </c>
      <c r="M302" s="178">
        <v>0.27</v>
      </c>
      <c r="N302" s="180">
        <f>IFERROR(Tabela225[[#This Row],[VALOR  (R$)]]/Tabela225[[#This Row],[PRAZO
EXECUÇÃO]],0)</f>
        <v>15361.176470588236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 hidden="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 hidden="1">
      <c r="A304" s="144">
        <v>279</v>
      </c>
      <c r="B304" s="145">
        <v>46169</v>
      </c>
      <c r="C304" s="214" t="s">
        <v>1434</v>
      </c>
      <c r="D304" s="146" t="s">
        <v>486</v>
      </c>
      <c r="E304" s="146" t="s">
        <v>619</v>
      </c>
      <c r="F304" s="146" t="s">
        <v>1147</v>
      </c>
      <c r="G304" s="146" t="s">
        <v>1435</v>
      </c>
      <c r="H304" s="146" t="s">
        <v>522</v>
      </c>
      <c r="I304" s="145">
        <v>46171</v>
      </c>
      <c r="J304" s="145">
        <v>46169</v>
      </c>
      <c r="K304" s="144">
        <v>15</v>
      </c>
      <c r="L304" s="180">
        <v>252895</v>
      </c>
      <c r="M304" s="178">
        <v>0.23</v>
      </c>
      <c r="N304" s="180">
        <f>IFERROR(Tabela225[[#This Row],[VALOR  (R$)]]/Tabela225[[#This Row],[PRAZO
EXECUÇÃO]],0)</f>
        <v>16859.666666666668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86</v>
      </c>
      <c r="B305" s="145">
        <v>46076</v>
      </c>
      <c r="C305" s="146" t="s">
        <v>905</v>
      </c>
      <c r="D305" s="146" t="s">
        <v>906</v>
      </c>
      <c r="E305" s="146" t="s">
        <v>497</v>
      </c>
      <c r="F305" s="146" t="s">
        <v>907</v>
      </c>
      <c r="G305" s="146" t="s">
        <v>908</v>
      </c>
      <c r="H305" s="146" t="s">
        <v>522</v>
      </c>
      <c r="I305" s="145">
        <v>46079</v>
      </c>
      <c r="J305" s="145">
        <v>46084</v>
      </c>
      <c r="K305" s="144">
        <f>5*4</f>
        <v>20</v>
      </c>
      <c r="L305" s="180">
        <v>249600</v>
      </c>
      <c r="M305" s="178">
        <v>0.3</v>
      </c>
      <c r="N305" s="180">
        <f>IFERROR(Tabela225[[#This Row],[VALOR  (R$)]]/Tabela225[[#This Row],[PRAZO
EXECUÇÃO]],0)</f>
        <v>12480</v>
      </c>
      <c r="O305" s="211" t="s">
        <v>692</v>
      </c>
      <c r="P305" s="145"/>
      <c r="Q305" s="146"/>
      <c r="R305" s="146"/>
      <c r="S305" s="145"/>
      <c r="T305" s="146"/>
      <c r="U305" s="132"/>
    </row>
    <row r="306" spans="1:21" hidden="1">
      <c r="A306" s="144">
        <v>325</v>
      </c>
      <c r="B306" s="145">
        <v>46195</v>
      </c>
      <c r="C306" s="214" t="s">
        <v>1554</v>
      </c>
      <c r="D306" s="146" t="s">
        <v>486</v>
      </c>
      <c r="E306" s="146" t="s">
        <v>619</v>
      </c>
      <c r="F306" s="146" t="s">
        <v>1548</v>
      </c>
      <c r="G306" s="146" t="s">
        <v>1555</v>
      </c>
      <c r="H306" s="146" t="s">
        <v>522</v>
      </c>
      <c r="I306" s="145">
        <v>46195</v>
      </c>
      <c r="J306" s="145">
        <v>46195</v>
      </c>
      <c r="K306" s="144">
        <v>3</v>
      </c>
      <c r="L306" s="180">
        <v>35900</v>
      </c>
      <c r="M306" s="178">
        <v>0.3</v>
      </c>
      <c r="N306" s="180">
        <f>IFERROR(Tabela225[[#This Row],[VALOR  (R$)]]/Tabela225[[#This Row],[PRAZO
EXECUÇÃO]],0)</f>
        <v>11966.666666666666</v>
      </c>
      <c r="O306" s="211" t="s">
        <v>635</v>
      </c>
      <c r="P306" s="145">
        <v>46202</v>
      </c>
      <c r="Q306" s="146">
        <v>21847</v>
      </c>
      <c r="R306" s="146"/>
      <c r="S306" s="145"/>
      <c r="T306" s="146" t="s">
        <v>1080</v>
      </c>
      <c r="U306" s="132"/>
    </row>
    <row r="307" spans="1:21" hidden="1">
      <c r="A307" s="144">
        <v>308</v>
      </c>
      <c r="B307" s="145">
        <v>46183</v>
      </c>
      <c r="C307" s="214" t="s">
        <v>1511</v>
      </c>
      <c r="D307" s="146" t="s">
        <v>1512</v>
      </c>
      <c r="E307" s="146" t="s">
        <v>497</v>
      </c>
      <c r="F307" s="146" t="s">
        <v>1503</v>
      </c>
      <c r="G307" s="146" t="s">
        <v>1513</v>
      </c>
      <c r="H307" s="146" t="s">
        <v>522</v>
      </c>
      <c r="I307" s="145">
        <v>46188</v>
      </c>
      <c r="J307" s="145">
        <v>46188</v>
      </c>
      <c r="K307" s="144">
        <v>56</v>
      </c>
      <c r="L307" s="180">
        <v>244166</v>
      </c>
      <c r="M307" s="178">
        <v>0.2</v>
      </c>
      <c r="N307" s="180">
        <f>IFERROR(Tabela225[[#This Row],[VALOR  (R$)]]/Tabela225[[#This Row],[PRAZO
EXECUÇÃO]],0)</f>
        <v>4360.1071428571431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 hidden="1">
      <c r="A308" s="144">
        <v>355</v>
      </c>
      <c r="B308" s="145">
        <v>46210</v>
      </c>
      <c r="C308" s="214" t="s">
        <v>1625</v>
      </c>
      <c r="D308" s="146" t="s">
        <v>486</v>
      </c>
      <c r="E308" s="146" t="s">
        <v>619</v>
      </c>
      <c r="F308" s="146" t="s">
        <v>1043</v>
      </c>
      <c r="G308" s="146" t="s">
        <v>1435</v>
      </c>
      <c r="H308" s="146" t="s">
        <v>522</v>
      </c>
      <c r="I308" s="145">
        <v>46212</v>
      </c>
      <c r="J308" s="145">
        <v>46211</v>
      </c>
      <c r="K308" s="144">
        <v>15</v>
      </c>
      <c r="L308" s="180">
        <v>243200</v>
      </c>
      <c r="M308" s="178">
        <v>0.25</v>
      </c>
      <c r="N308" s="180">
        <f>IFERROR(Tabela225[[#This Row],[VALOR  (R$)]]/Tabela225[[#This Row],[PRAZO
EXECUÇÃO]],0)</f>
        <v>16213.333333333334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 hidden="1">
      <c r="A309" s="144">
        <v>233</v>
      </c>
      <c r="B309" s="145">
        <v>46149</v>
      </c>
      <c r="C309" s="145" t="s">
        <v>1471</v>
      </c>
      <c r="D309" s="146" t="s">
        <v>1742</v>
      </c>
      <c r="E309" s="146" t="s">
        <v>497</v>
      </c>
      <c r="F309" s="146" t="s">
        <v>1059</v>
      </c>
      <c r="G309" s="215" t="s">
        <v>1472</v>
      </c>
      <c r="H309" s="146" t="s">
        <v>522</v>
      </c>
      <c r="I309" s="145">
        <v>46176</v>
      </c>
      <c r="J309" s="145">
        <v>46176</v>
      </c>
      <c r="K309" s="144">
        <v>2</v>
      </c>
      <c r="L309" s="180">
        <f>17600*2</f>
        <v>35200</v>
      </c>
      <c r="M309" s="178">
        <v>0.3</v>
      </c>
      <c r="N309" s="180">
        <f>IFERROR(Tabela225[[#This Row],[VALOR  (R$)]]/Tabela225[[#This Row],[PRAZO
EXECUÇÃO]],0)</f>
        <v>17600</v>
      </c>
      <c r="O309" s="211" t="s">
        <v>635</v>
      </c>
      <c r="P309" s="145">
        <v>46176</v>
      </c>
      <c r="Q309" s="146"/>
      <c r="R309" s="146"/>
      <c r="S309" s="145"/>
      <c r="T309" s="146" t="s">
        <v>1082</v>
      </c>
      <c r="U309" s="132"/>
    </row>
    <row r="310" spans="1:21" hidden="1">
      <c r="A310" s="144">
        <v>237</v>
      </c>
      <c r="B310" s="214">
        <v>46153</v>
      </c>
      <c r="C310" s="214" t="s">
        <v>1312</v>
      </c>
      <c r="D310" s="215" t="s">
        <v>486</v>
      </c>
      <c r="E310" s="215" t="s">
        <v>619</v>
      </c>
      <c r="F310" s="215" t="s">
        <v>1313</v>
      </c>
      <c r="G310" s="215" t="s">
        <v>1222</v>
      </c>
      <c r="H310" s="146" t="s">
        <v>503</v>
      </c>
      <c r="I310" s="214">
        <v>46153</v>
      </c>
      <c r="J310" s="214">
        <v>46153</v>
      </c>
      <c r="K310" s="216">
        <v>3</v>
      </c>
      <c r="L310" s="184">
        <v>32991</v>
      </c>
      <c r="M310" s="185">
        <v>0.2</v>
      </c>
      <c r="N310" s="180">
        <f>IFERROR(Tabela225[[#This Row],[VALOR  (R$)]]/Tabela225[[#This Row],[PRAZO
EXECUÇÃO]],0)</f>
        <v>10997</v>
      </c>
      <c r="O310" s="211" t="s">
        <v>635</v>
      </c>
      <c r="P310" s="214">
        <v>46181</v>
      </c>
      <c r="Q310" s="215"/>
      <c r="R310" s="146"/>
      <c r="S310" s="214"/>
      <c r="T310" s="146" t="s">
        <v>1082</v>
      </c>
      <c r="U310" s="132"/>
    </row>
    <row r="311" spans="1:21" hidden="1">
      <c r="A311" s="144">
        <v>295</v>
      </c>
      <c r="B311" s="145">
        <v>46178</v>
      </c>
      <c r="C311" s="214" t="s">
        <v>1480</v>
      </c>
      <c r="D311" s="146" t="s">
        <v>1742</v>
      </c>
      <c r="E311" s="146" t="s">
        <v>497</v>
      </c>
      <c r="F311" s="146" t="s">
        <v>1481</v>
      </c>
      <c r="G311" s="146" t="s">
        <v>1482</v>
      </c>
      <c r="H311" s="146" t="s">
        <v>522</v>
      </c>
      <c r="I311" s="145">
        <v>46178</v>
      </c>
      <c r="J311" s="145">
        <v>46178</v>
      </c>
      <c r="K311" s="144">
        <v>1</v>
      </c>
      <c r="L311" s="180">
        <v>17600</v>
      </c>
      <c r="M311" s="178">
        <v>0.27</v>
      </c>
      <c r="N311" s="180">
        <f>IFERROR(Tabela225[[#This Row],[VALOR  (R$)]]/Tabela225[[#This Row],[PRAZO
EXECUÇÃO]],0)</f>
        <v>17600</v>
      </c>
      <c r="O311" s="211" t="s">
        <v>537</v>
      </c>
      <c r="P311" s="145">
        <v>46178</v>
      </c>
      <c r="Q311" s="146"/>
      <c r="R311" s="146"/>
      <c r="S311" s="145"/>
      <c r="T311" s="146" t="s">
        <v>1743</v>
      </c>
      <c r="U311" s="132"/>
    </row>
    <row r="312" spans="1:21" hidden="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 hidden="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537</v>
      </c>
      <c r="P313" s="145"/>
      <c r="Q313" s="146"/>
      <c r="R313" s="146"/>
      <c r="S313" s="145"/>
      <c r="T313" s="146"/>
      <c r="U313" s="132"/>
    </row>
    <row r="314" spans="1:21" hidden="1">
      <c r="A314" s="144">
        <v>290</v>
      </c>
      <c r="B314" s="145">
        <v>46175</v>
      </c>
      <c r="C314" s="214" t="s">
        <v>1461</v>
      </c>
      <c r="D314" s="146" t="s">
        <v>971</v>
      </c>
      <c r="E314" s="146" t="s">
        <v>497</v>
      </c>
      <c r="F314" s="146" t="s">
        <v>1462</v>
      </c>
      <c r="G314" s="146" t="s">
        <v>1463</v>
      </c>
      <c r="H314" s="146" t="s">
        <v>522</v>
      </c>
      <c r="I314" s="145">
        <v>46178</v>
      </c>
      <c r="J314" s="145">
        <v>46178</v>
      </c>
      <c r="K314" s="144">
        <v>5</v>
      </c>
      <c r="L314" s="180">
        <f>119980*2</f>
        <v>239960</v>
      </c>
      <c r="M314" s="178">
        <v>0.23</v>
      </c>
      <c r="N314" s="180">
        <f>IFERROR(Tabela225[[#This Row],[VALOR  (R$)]]/Tabela225[[#This Row],[PRAZO
EXECUÇÃO]],0)</f>
        <v>47992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 hidden="1">
      <c r="A315" s="144">
        <v>162</v>
      </c>
      <c r="B315" s="145">
        <v>46113</v>
      </c>
      <c r="C315" s="146" t="s">
        <v>1118</v>
      </c>
      <c r="D315" s="146" t="s">
        <v>1119</v>
      </c>
      <c r="E315" s="146" t="s">
        <v>497</v>
      </c>
      <c r="F315" s="146" t="s">
        <v>1120</v>
      </c>
      <c r="G315" s="146" t="s">
        <v>1355</v>
      </c>
      <c r="H315" s="146" t="s">
        <v>522</v>
      </c>
      <c r="I315" s="145">
        <v>46113</v>
      </c>
      <c r="J315" s="145">
        <v>46113</v>
      </c>
      <c r="K315" s="144">
        <v>12</v>
      </c>
      <c r="L315" s="180">
        <v>239900</v>
      </c>
      <c r="M315" s="178">
        <v>0.3</v>
      </c>
      <c r="N315" s="180">
        <f>IFERROR(Tabela225[[#This Row],[VALOR  (R$)]]/Tabela225[[#This Row],[PRAZO
EXECUÇÃO]],0)</f>
        <v>19991.666666666668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 hidden="1">
      <c r="A316" s="144">
        <v>305</v>
      </c>
      <c r="B316" s="145">
        <v>46183</v>
      </c>
      <c r="C316" s="214" t="s">
        <v>1507</v>
      </c>
      <c r="D316" s="146" t="s">
        <v>486</v>
      </c>
      <c r="E316" s="146" t="s">
        <v>619</v>
      </c>
      <c r="F316" s="146" t="s">
        <v>877</v>
      </c>
      <c r="G316" s="146" t="s">
        <v>878</v>
      </c>
      <c r="H316" s="146" t="s">
        <v>522</v>
      </c>
      <c r="I316" s="145">
        <v>46184</v>
      </c>
      <c r="J316" s="145">
        <v>46184</v>
      </c>
      <c r="K316" s="144">
        <v>18</v>
      </c>
      <c r="L316" s="180">
        <v>239900</v>
      </c>
      <c r="M316" s="178">
        <v>0.22</v>
      </c>
      <c r="N316" s="180">
        <f>IFERROR(Tabela225[[#This Row],[VALOR  (R$)]]/Tabela225[[#This Row],[PRAZO
EXECUÇÃO]],0)</f>
        <v>13327.777777777777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 hidden="1">
      <c r="A317" s="144">
        <v>240</v>
      </c>
      <c r="B317" s="214">
        <v>46154</v>
      </c>
      <c r="C317" s="214" t="s">
        <v>1322</v>
      </c>
      <c r="D317" s="215" t="s">
        <v>486</v>
      </c>
      <c r="E317" s="215" t="s">
        <v>619</v>
      </c>
      <c r="F317" s="215" t="s">
        <v>1323</v>
      </c>
      <c r="G317" s="215" t="s">
        <v>1324</v>
      </c>
      <c r="H317" s="146" t="s">
        <v>522</v>
      </c>
      <c r="I317" s="214">
        <v>46155</v>
      </c>
      <c r="J317" s="214">
        <v>46155</v>
      </c>
      <c r="K317" s="216">
        <v>10</v>
      </c>
      <c r="L317" s="184">
        <v>235100</v>
      </c>
      <c r="M317" s="185">
        <v>0.23</v>
      </c>
      <c r="N317" s="180">
        <f>IFERROR(Tabela225[[#This Row],[VALOR  (R$)]]/Tabela225[[#This Row],[PRAZO
EXECUÇÃO]],0)</f>
        <v>23510</v>
      </c>
      <c r="O317" s="211" t="s">
        <v>506</v>
      </c>
      <c r="P317" s="214"/>
      <c r="Q317" s="215"/>
      <c r="R317" s="146"/>
      <c r="S317" s="214"/>
      <c r="T317" s="146"/>
      <c r="U317" s="132"/>
    </row>
    <row r="318" spans="1:21" hidden="1">
      <c r="A318" s="144">
        <v>372</v>
      </c>
      <c r="B318" s="145">
        <v>46223</v>
      </c>
      <c r="C318" s="214" t="s">
        <v>1670</v>
      </c>
      <c r="D318" s="146" t="s">
        <v>486</v>
      </c>
      <c r="E318" s="146" t="s">
        <v>619</v>
      </c>
      <c r="F318" s="146" t="s">
        <v>1671</v>
      </c>
      <c r="G318" s="146" t="s">
        <v>878</v>
      </c>
      <c r="H318" s="146" t="s">
        <v>522</v>
      </c>
      <c r="I318" s="145">
        <v>46223</v>
      </c>
      <c r="J318" s="145">
        <v>46224</v>
      </c>
      <c r="K318" s="144">
        <v>15</v>
      </c>
      <c r="L318" s="180">
        <v>234280</v>
      </c>
      <c r="M318" s="178">
        <v>0.25</v>
      </c>
      <c r="N318" s="180">
        <f>IFERROR(Tabela225[[#This Row],[VALOR  (R$)]]/Tabela225[[#This Row],[PRAZO
EXECUÇÃO]],0)</f>
        <v>15618.666666666666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 hidden="1">
      <c r="A319" s="144">
        <v>317</v>
      </c>
      <c r="B319" s="145">
        <v>46189</v>
      </c>
      <c r="C319" s="214" t="s">
        <v>1535</v>
      </c>
      <c r="D319" s="146" t="s">
        <v>486</v>
      </c>
      <c r="E319" s="146" t="s">
        <v>619</v>
      </c>
      <c r="F319" s="146" t="s">
        <v>717</v>
      </c>
      <c r="G319" s="146" t="s">
        <v>1536</v>
      </c>
      <c r="H319" s="146" t="s">
        <v>522</v>
      </c>
      <c r="I319" s="145">
        <v>46195</v>
      </c>
      <c r="J319" s="145">
        <v>46195</v>
      </c>
      <c r="K319" s="144">
        <v>16</v>
      </c>
      <c r="L319" s="180">
        <v>233240</v>
      </c>
      <c r="M319" s="178">
        <v>0.23</v>
      </c>
      <c r="N319" s="180">
        <f>IFERROR(Tabela225[[#This Row],[VALOR  (R$)]]/Tabela225[[#This Row],[PRAZO
EXECUÇÃO]],0)</f>
        <v>14577.5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 hidden="1">
      <c r="A320" s="144">
        <v>256</v>
      </c>
      <c r="B320" s="214">
        <v>46161</v>
      </c>
      <c r="C320" s="214" t="s">
        <v>1371</v>
      </c>
      <c r="D320" s="215" t="s">
        <v>486</v>
      </c>
      <c r="E320" s="215" t="s">
        <v>619</v>
      </c>
      <c r="F320" s="215" t="s">
        <v>682</v>
      </c>
      <c r="G320" s="215" t="s">
        <v>683</v>
      </c>
      <c r="H320" s="146" t="s">
        <v>522</v>
      </c>
      <c r="I320" s="214">
        <v>46161</v>
      </c>
      <c r="J320" s="214">
        <v>46161</v>
      </c>
      <c r="K320" s="216">
        <v>13</v>
      </c>
      <c r="L320" s="184">
        <v>224280</v>
      </c>
      <c r="M320" s="185">
        <v>0.22</v>
      </c>
      <c r="N320" s="180">
        <f>IFERROR(Tabela225[[#This Row],[VALOR  (R$)]]/Tabela225[[#This Row],[PRAZO
EXECUÇÃO]],0)</f>
        <v>17252.307692307691</v>
      </c>
      <c r="O320" s="211" t="s">
        <v>506</v>
      </c>
      <c r="P320" s="214"/>
      <c r="Q320" s="215"/>
      <c r="R320" s="145">
        <v>46179</v>
      </c>
      <c r="S320" s="214"/>
      <c r="T320" s="146"/>
      <c r="U320" s="132"/>
    </row>
    <row r="321" spans="1:21" hidden="1">
      <c r="A321" s="144">
        <v>346</v>
      </c>
      <c r="B321" s="145">
        <v>46205</v>
      </c>
      <c r="C321" s="214" t="s">
        <v>1605</v>
      </c>
      <c r="D321" s="146" t="s">
        <v>486</v>
      </c>
      <c r="E321" s="146" t="s">
        <v>619</v>
      </c>
      <c r="F321" s="146" t="s">
        <v>682</v>
      </c>
      <c r="G321" s="146" t="s">
        <v>683</v>
      </c>
      <c r="H321" s="146" t="s">
        <v>522</v>
      </c>
      <c r="I321" s="145">
        <v>46205</v>
      </c>
      <c r="J321" s="145">
        <v>46205</v>
      </c>
      <c r="K321" s="144">
        <v>13</v>
      </c>
      <c r="L321" s="180">
        <v>224280</v>
      </c>
      <c r="M321" s="178">
        <v>0.2</v>
      </c>
      <c r="N321" s="180">
        <f>IFERROR(Tabela225[[#This Row],[VALOR  (R$)]]/Tabela225[[#This Row],[PRAZO
EXECUÇÃO]],0)</f>
        <v>17252.307692307691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 hidden="1">
      <c r="A322" s="144">
        <v>349</v>
      </c>
      <c r="B322" s="145">
        <v>46209</v>
      </c>
      <c r="C322" s="214" t="s">
        <v>1623</v>
      </c>
      <c r="D322" s="146" t="s">
        <v>1612</v>
      </c>
      <c r="E322" s="146" t="s">
        <v>497</v>
      </c>
      <c r="F322" s="146" t="s">
        <v>1062</v>
      </c>
      <c r="G322" s="146" t="s">
        <v>1613</v>
      </c>
      <c r="H322" s="146" t="s">
        <v>522</v>
      </c>
      <c r="I322" s="145">
        <v>46209</v>
      </c>
      <c r="J322" s="145">
        <v>46209</v>
      </c>
      <c r="K322" s="144">
        <v>1</v>
      </c>
      <c r="L322" s="180">
        <v>39526.51</v>
      </c>
      <c r="M322" s="178">
        <v>0.2</v>
      </c>
      <c r="N322" s="180">
        <f>IFERROR(Tabela225[[#This Row],[VALOR  (R$)]]/Tabela225[[#This Row],[PRAZO
EXECUÇÃO]],0)</f>
        <v>39526.51</v>
      </c>
      <c r="O322" s="211" t="s">
        <v>635</v>
      </c>
      <c r="P322" s="145">
        <v>46209</v>
      </c>
      <c r="Q322" s="146">
        <v>21976</v>
      </c>
      <c r="R322" s="146"/>
      <c r="S322" s="145"/>
      <c r="T322" s="146"/>
      <c r="U322" s="132"/>
    </row>
    <row r="323" spans="1:21" hidden="1">
      <c r="A323" s="144">
        <v>265</v>
      </c>
      <c r="B323" s="145">
        <v>46162</v>
      </c>
      <c r="C323" s="214" t="s">
        <v>1393</v>
      </c>
      <c r="D323" s="146" t="s">
        <v>486</v>
      </c>
      <c r="E323" s="215" t="s">
        <v>619</v>
      </c>
      <c r="F323" s="146" t="s">
        <v>1394</v>
      </c>
      <c r="G323" s="146" t="s">
        <v>1395</v>
      </c>
      <c r="H323" s="146" t="s">
        <v>522</v>
      </c>
      <c r="I323" s="145">
        <v>46164</v>
      </c>
      <c r="J323" s="145">
        <v>46164</v>
      </c>
      <c r="K323" s="144">
        <v>15</v>
      </c>
      <c r="L323" s="180">
        <v>209600</v>
      </c>
      <c r="M323" s="178">
        <v>0.22</v>
      </c>
      <c r="N323" s="180">
        <f>IFERROR(Tabela225[[#This Row],[VALOR  (R$)]]/Tabela225[[#This Row],[PRAZO
EXECUÇÃO]],0)</f>
        <v>13973.333333333334</v>
      </c>
      <c r="O323" s="211" t="s">
        <v>506</v>
      </c>
      <c r="P323" s="145"/>
      <c r="Q323" s="146"/>
      <c r="R323" s="145">
        <v>46181</v>
      </c>
      <c r="S323" s="145"/>
      <c r="T323" s="146"/>
      <c r="U323" s="132"/>
    </row>
    <row r="324" spans="1:21" hidden="1">
      <c r="A324" s="144">
        <v>379</v>
      </c>
      <c r="B324" s="145">
        <v>46223</v>
      </c>
      <c r="C324" s="214" t="s">
        <v>1685</v>
      </c>
      <c r="D324" s="146" t="s">
        <v>1686</v>
      </c>
      <c r="E324" s="146" t="s">
        <v>497</v>
      </c>
      <c r="F324" s="146" t="s">
        <v>1687</v>
      </c>
      <c r="G324" s="146" t="s">
        <v>1695</v>
      </c>
      <c r="H324" s="146" t="s">
        <v>522</v>
      </c>
      <c r="I324" s="145">
        <v>46223</v>
      </c>
      <c r="J324" s="145">
        <v>46223</v>
      </c>
      <c r="K324" s="144">
        <v>14</v>
      </c>
      <c r="L324" s="180">
        <f>199460</f>
        <v>199460</v>
      </c>
      <c r="M324" s="178">
        <v>0.25</v>
      </c>
      <c r="N324" s="180">
        <f>IFERROR(Tabela225[[#This Row],[VALOR  (R$)]]/Tabela225[[#This Row],[PRAZO
EXECUÇÃO]],0)</f>
        <v>14247.142857142857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 hidden="1">
      <c r="A325" s="144">
        <v>382</v>
      </c>
      <c r="B325" s="145">
        <v>46223</v>
      </c>
      <c r="C325" s="214" t="s">
        <v>1693</v>
      </c>
      <c r="D325" s="146" t="s">
        <v>1686</v>
      </c>
      <c r="E325" s="146" t="s">
        <v>497</v>
      </c>
      <c r="F325" s="146" t="s">
        <v>1687</v>
      </c>
      <c r="G325" s="146" t="s">
        <v>1694</v>
      </c>
      <c r="H325" s="146" t="s">
        <v>522</v>
      </c>
      <c r="I325" s="145">
        <v>46223</v>
      </c>
      <c r="J325" s="145">
        <v>46224</v>
      </c>
      <c r="K325" s="144">
        <v>14</v>
      </c>
      <c r="L325" s="180">
        <v>199460</v>
      </c>
      <c r="M325" s="178">
        <v>0.25</v>
      </c>
      <c r="N325" s="180">
        <f>IFERROR(Tabela225[[#This Row],[VALOR  (R$)]]/Tabela225[[#This Row],[PRAZO
EXECUÇÃO]],0)</f>
        <v>14247.142857142857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 hidden="1">
      <c r="A326" s="144">
        <v>311</v>
      </c>
      <c r="B326" s="145">
        <v>46185</v>
      </c>
      <c r="C326" s="214" t="s">
        <v>1521</v>
      </c>
      <c r="D326" s="146" t="s">
        <v>1430</v>
      </c>
      <c r="E326" s="146" t="s">
        <v>497</v>
      </c>
      <c r="F326" s="146" t="s">
        <v>1503</v>
      </c>
      <c r="G326" s="146" t="s">
        <v>1522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 hidden="1">
      <c r="A327" s="144">
        <v>284</v>
      </c>
      <c r="B327" s="145">
        <v>46170</v>
      </c>
      <c r="C327" s="145" t="s">
        <v>1449</v>
      </c>
      <c r="D327" s="146" t="s">
        <v>1460</v>
      </c>
      <c r="E327" s="146" t="s">
        <v>619</v>
      </c>
      <c r="F327" s="146" t="s">
        <v>796</v>
      </c>
      <c r="G327" s="146" t="s">
        <v>1450</v>
      </c>
      <c r="H327" s="146" t="s">
        <v>503</v>
      </c>
      <c r="I327" s="145">
        <v>46174</v>
      </c>
      <c r="J327" s="145">
        <v>46174</v>
      </c>
      <c r="K327" s="144">
        <v>1</v>
      </c>
      <c r="L327" s="180">
        <v>13920</v>
      </c>
      <c r="M327" s="178">
        <v>0.26</v>
      </c>
      <c r="N327" s="180">
        <f>IFERROR(Tabela225[[#This Row],[VALOR  (R$)]]/Tabela225[[#This Row],[PRAZO
EXECUÇÃO]],0)</f>
        <v>13920</v>
      </c>
      <c r="O327" s="211" t="s">
        <v>635</v>
      </c>
      <c r="P327" s="145">
        <v>46175</v>
      </c>
      <c r="Q327" s="146">
        <v>21527</v>
      </c>
      <c r="R327" s="146"/>
      <c r="S327" s="145"/>
      <c r="T327" s="146" t="s">
        <v>1082</v>
      </c>
      <c r="U327" s="132"/>
    </row>
    <row r="328" spans="1:21" hidden="1">
      <c r="A328" s="144">
        <v>267</v>
      </c>
      <c r="B328" s="145">
        <v>46162</v>
      </c>
      <c r="C328" s="214" t="s">
        <v>1399</v>
      </c>
      <c r="D328" s="146" t="s">
        <v>486</v>
      </c>
      <c r="E328" s="215" t="s">
        <v>619</v>
      </c>
      <c r="F328" s="146" t="s">
        <v>1400</v>
      </c>
      <c r="G328" s="146" t="s">
        <v>1401</v>
      </c>
      <c r="H328" s="146" t="s">
        <v>522</v>
      </c>
      <c r="I328" s="145">
        <v>46164</v>
      </c>
      <c r="J328" s="145">
        <v>46164</v>
      </c>
      <c r="K328" s="144">
        <v>10</v>
      </c>
      <c r="L328" s="180">
        <v>199320</v>
      </c>
      <c r="M328" s="178">
        <v>0.25</v>
      </c>
      <c r="N328" s="180">
        <f>IFERROR(Tabela225[[#This Row],[VALOR  (R$)]]/Tabela225[[#This Row],[PRAZO
EXECUÇÃO]],0)</f>
        <v>19932</v>
      </c>
      <c r="O328" s="211" t="s">
        <v>506</v>
      </c>
      <c r="P328" s="145"/>
      <c r="Q328" s="146"/>
      <c r="R328" s="145">
        <v>46181</v>
      </c>
      <c r="S328" s="145"/>
      <c r="T328" s="146"/>
      <c r="U328" s="132"/>
    </row>
    <row r="329" spans="1:21" hidden="1">
      <c r="A329" s="144">
        <v>181</v>
      </c>
      <c r="B329" s="145">
        <v>46126</v>
      </c>
      <c r="C329" s="145" t="s">
        <v>1164</v>
      </c>
      <c r="D329" s="146" t="s">
        <v>486</v>
      </c>
      <c r="E329" s="146" t="s">
        <v>619</v>
      </c>
      <c r="F329" s="146" t="s">
        <v>1165</v>
      </c>
      <c r="G329" s="146" t="s">
        <v>850</v>
      </c>
      <c r="H329" s="146" t="s">
        <v>522</v>
      </c>
      <c r="I329" s="145">
        <v>46128</v>
      </c>
      <c r="J329" s="145">
        <v>46128</v>
      </c>
      <c r="K329" s="144">
        <v>10</v>
      </c>
      <c r="L329" s="180">
        <v>196720</v>
      </c>
      <c r="M329" s="178">
        <v>0.23</v>
      </c>
      <c r="N329" s="180">
        <f>IFERROR(Tabela225[[#This Row],[VALOR  (R$)]]/Tabela225[[#This Row],[PRAZO
EXECUÇÃO]],0)</f>
        <v>19672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 hidden="1">
      <c r="A330" s="144">
        <v>366</v>
      </c>
      <c r="B330" s="145">
        <v>46219</v>
      </c>
      <c r="C330" s="214" t="s">
        <v>1652</v>
      </c>
      <c r="D330" s="146" t="s">
        <v>486</v>
      </c>
      <c r="E330" s="146" t="s">
        <v>619</v>
      </c>
      <c r="F330" s="146" t="s">
        <v>877</v>
      </c>
      <c r="G330" s="146" t="s">
        <v>1654</v>
      </c>
      <c r="H330" s="146" t="s">
        <v>522</v>
      </c>
      <c r="I330" s="145">
        <v>46219</v>
      </c>
      <c r="J330" s="145">
        <v>46220</v>
      </c>
      <c r="K330" s="144">
        <v>12</v>
      </c>
      <c r="L330" s="180">
        <v>192240</v>
      </c>
      <c r="M330" s="178">
        <v>0.25</v>
      </c>
      <c r="N330" s="180">
        <f>IFERROR(Tabela225[[#This Row],[VALOR  (R$)]]/Tabela225[[#This Row],[PRAZO
EXECUÇÃO]],0)</f>
        <v>16020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 hidden="1">
      <c r="A331" s="144">
        <v>323</v>
      </c>
      <c r="B331" s="145">
        <v>46192</v>
      </c>
      <c r="C331" s="214" t="s">
        <v>1550</v>
      </c>
      <c r="D331" s="146" t="s">
        <v>486</v>
      </c>
      <c r="E331" s="146" t="s">
        <v>619</v>
      </c>
      <c r="F331" s="146" t="s">
        <v>1551</v>
      </c>
      <c r="G331" s="146" t="s">
        <v>1089</v>
      </c>
      <c r="H331" s="146" t="s">
        <v>522</v>
      </c>
      <c r="I331" s="145">
        <v>46192</v>
      </c>
      <c r="J331" s="145">
        <v>46192</v>
      </c>
      <c r="K331" s="144">
        <v>10</v>
      </c>
      <c r="L331" s="180">
        <v>189900</v>
      </c>
      <c r="M331" s="178">
        <v>0.23</v>
      </c>
      <c r="N331" s="180">
        <f>IFERROR(Tabela225[[#This Row],[VALOR  (R$)]]/Tabela225[[#This Row],[PRAZO
EXECUÇÃO]],0)</f>
        <v>18990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 hidden="1">
      <c r="A332" s="144">
        <v>191</v>
      </c>
      <c r="B332" s="145">
        <v>46134</v>
      </c>
      <c r="C332" s="145" t="s">
        <v>1198</v>
      </c>
      <c r="D332" s="146" t="s">
        <v>486</v>
      </c>
      <c r="E332" s="146" t="s">
        <v>619</v>
      </c>
      <c r="F332" s="146" t="s">
        <v>1199</v>
      </c>
      <c r="G332" s="146" t="s">
        <v>1200</v>
      </c>
      <c r="H332" s="146" t="s">
        <v>522</v>
      </c>
      <c r="I332" s="145">
        <v>46136</v>
      </c>
      <c r="J332" s="145">
        <v>46139</v>
      </c>
      <c r="K332" s="144">
        <v>10</v>
      </c>
      <c r="L332" s="180">
        <f>162740+27000</f>
        <v>189740</v>
      </c>
      <c r="M332" s="178">
        <v>0.24440000000000001</v>
      </c>
      <c r="N332" s="180">
        <f>IFERROR(Tabela225[[#This Row],[VALOR  (R$)]]/Tabela225[[#This Row],[PRAZO
EXECUÇÃO]],0)</f>
        <v>18974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 hidden="1">
      <c r="A333" s="144">
        <v>272</v>
      </c>
      <c r="B333" s="145">
        <v>46164</v>
      </c>
      <c r="C333" s="145" t="s">
        <v>1415</v>
      </c>
      <c r="D333" s="146" t="s">
        <v>706</v>
      </c>
      <c r="E333" s="146" t="s">
        <v>497</v>
      </c>
      <c r="F333" s="146" t="s">
        <v>663</v>
      </c>
      <c r="G333" s="146" t="s">
        <v>1416</v>
      </c>
      <c r="H333" s="146" t="s">
        <v>522</v>
      </c>
      <c r="I333" s="145">
        <v>46167</v>
      </c>
      <c r="J333" s="145">
        <v>46167</v>
      </c>
      <c r="K333" s="144">
        <v>1</v>
      </c>
      <c r="L333" s="180">
        <v>13650</v>
      </c>
      <c r="M333" s="178">
        <v>0.25</v>
      </c>
      <c r="N333" s="180">
        <f>IFERROR(Tabela225[[#This Row],[VALOR  (R$)]]/Tabela225[[#This Row],[PRAZO
EXECUÇÃO]],0)</f>
        <v>13650</v>
      </c>
      <c r="O333" s="211" t="s">
        <v>635</v>
      </c>
      <c r="P333" s="145">
        <v>46188</v>
      </c>
      <c r="Q333" s="146"/>
      <c r="R333" s="146"/>
      <c r="S333" s="145"/>
      <c r="T333" s="146" t="s">
        <v>1082</v>
      </c>
      <c r="U333" s="132"/>
    </row>
    <row r="334" spans="1:21">
      <c r="A334" s="144">
        <v>378</v>
      </c>
      <c r="B334" s="145">
        <v>46223</v>
      </c>
      <c r="C334" s="214" t="s">
        <v>1683</v>
      </c>
      <c r="D334" s="146" t="s">
        <v>469</v>
      </c>
      <c r="E334" s="146" t="s">
        <v>619</v>
      </c>
      <c r="F334" s="146" t="s">
        <v>1582</v>
      </c>
      <c r="G334" s="146" t="s">
        <v>1684</v>
      </c>
      <c r="H334" s="146" t="s">
        <v>522</v>
      </c>
      <c r="I334" s="145">
        <v>46227</v>
      </c>
      <c r="J334" s="145">
        <v>46227</v>
      </c>
      <c r="K334" s="144">
        <v>11</v>
      </c>
      <c r="L334" s="180">
        <v>181267</v>
      </c>
      <c r="M334" s="178">
        <v>0.25</v>
      </c>
      <c r="N334" s="180">
        <f>IFERROR(Tabela225[[#This Row],[VALOR  (R$)]]/Tabela225[[#This Row],[PRAZO
EXECUÇÃO]],0)</f>
        <v>16478.81818181818</v>
      </c>
      <c r="O334" s="211" t="s">
        <v>692</v>
      </c>
      <c r="P334" s="145"/>
      <c r="Q334" s="146"/>
      <c r="R334" s="146"/>
      <c r="S334" s="145"/>
      <c r="T334" s="146"/>
      <c r="U334" s="132"/>
    </row>
    <row r="335" spans="1:21" hidden="1">
      <c r="A335" s="144">
        <v>374</v>
      </c>
      <c r="B335" s="145">
        <v>46223</v>
      </c>
      <c r="C335" s="214" t="s">
        <v>1673</v>
      </c>
      <c r="D335" s="146" t="s">
        <v>486</v>
      </c>
      <c r="E335" s="146" t="s">
        <v>619</v>
      </c>
      <c r="F335" s="146" t="s">
        <v>1674</v>
      </c>
      <c r="G335" s="146" t="s">
        <v>1675</v>
      </c>
      <c r="H335" s="146" t="s">
        <v>522</v>
      </c>
      <c r="I335" s="145">
        <v>46224</v>
      </c>
      <c r="J335" s="145">
        <v>46224</v>
      </c>
      <c r="K335" s="144">
        <v>10</v>
      </c>
      <c r="L335" s="180">
        <v>179900</v>
      </c>
      <c r="M335" s="178">
        <v>0.28000000000000003</v>
      </c>
      <c r="N335" s="180">
        <f>IFERROR(Tabela225[[#This Row],[VALOR  (R$)]]/Tabela225[[#This Row],[PRAZO
EXECUÇÃO]],0)</f>
        <v>17990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 hidden="1">
      <c r="A336" s="144">
        <v>375</v>
      </c>
      <c r="B336" s="145">
        <v>46223</v>
      </c>
      <c r="C336" s="214" t="s">
        <v>1676</v>
      </c>
      <c r="D336" s="146" t="s">
        <v>486</v>
      </c>
      <c r="E336" s="146" t="s">
        <v>619</v>
      </c>
      <c r="F336" s="146" t="s">
        <v>1677</v>
      </c>
      <c r="G336" s="146" t="s">
        <v>1675</v>
      </c>
      <c r="H336" s="146" t="s">
        <v>522</v>
      </c>
      <c r="I336" s="145">
        <v>46224</v>
      </c>
      <c r="J336" s="145">
        <v>46224</v>
      </c>
      <c r="K336" s="144">
        <v>10</v>
      </c>
      <c r="L336" s="180">
        <v>179900</v>
      </c>
      <c r="M336" s="178">
        <v>0.28000000000000003</v>
      </c>
      <c r="N336" s="180">
        <f>IFERROR(Tabela225[[#This Row],[VALOR  (R$)]]/Tabela225[[#This Row],[PRAZO
EXECUÇÃO]],0)</f>
        <v>17990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 hidden="1">
      <c r="A337" s="144">
        <v>318</v>
      </c>
      <c r="B337" s="145">
        <v>46189</v>
      </c>
      <c r="C337" s="145" t="s">
        <v>1539</v>
      </c>
      <c r="D337" s="146" t="s">
        <v>625</v>
      </c>
      <c r="E337" s="146" t="s">
        <v>497</v>
      </c>
      <c r="F337" s="146" t="s">
        <v>647</v>
      </c>
      <c r="G337" s="146" t="s">
        <v>1540</v>
      </c>
      <c r="H337" s="146" t="s">
        <v>522</v>
      </c>
      <c r="I337" s="145">
        <v>46190</v>
      </c>
      <c r="J337" s="145">
        <v>46190</v>
      </c>
      <c r="K337" s="144">
        <v>1</v>
      </c>
      <c r="L337" s="180">
        <v>5838.62</v>
      </c>
      <c r="M337" s="178">
        <v>0.2</v>
      </c>
      <c r="N337" s="180">
        <f>IFERROR(Tabela225[[#This Row],[VALOR  (R$)]]/Tabela225[[#This Row],[PRAZO
EXECUÇÃO]],0)</f>
        <v>5838.62</v>
      </c>
      <c r="O337" s="211" t="s">
        <v>635</v>
      </c>
      <c r="P337" s="145">
        <v>46203</v>
      </c>
      <c r="Q337" s="146">
        <v>21855</v>
      </c>
      <c r="R337" s="146"/>
      <c r="S337" s="145"/>
      <c r="T337" s="146"/>
      <c r="U337" s="132"/>
    </row>
    <row r="338" spans="1:21" hidden="1">
      <c r="A338" s="144">
        <v>350</v>
      </c>
      <c r="B338" s="145">
        <v>46209</v>
      </c>
      <c r="C338" s="214" t="s">
        <v>1614</v>
      </c>
      <c r="D338" s="146" t="s">
        <v>486</v>
      </c>
      <c r="E338" s="146" t="s">
        <v>619</v>
      </c>
      <c r="F338" s="146" t="s">
        <v>798</v>
      </c>
      <c r="G338" s="146" t="s">
        <v>1615</v>
      </c>
      <c r="H338" s="146" t="s">
        <v>522</v>
      </c>
      <c r="I338" s="145">
        <v>46211</v>
      </c>
      <c r="J338" s="145">
        <v>46211</v>
      </c>
      <c r="K338" s="144">
        <v>12</v>
      </c>
      <c r="L338" s="180">
        <v>179900</v>
      </c>
      <c r="M338" s="178">
        <v>0.3</v>
      </c>
      <c r="N338" s="180">
        <f>IFERROR(Tabela225[[#This Row],[VALOR  (R$)]]/Tabela225[[#This Row],[PRAZO
EXECUÇÃO]],0)</f>
        <v>14991.666666666666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 hidden="1">
      <c r="A339" s="144">
        <v>204</v>
      </c>
      <c r="B339" s="145">
        <v>46139</v>
      </c>
      <c r="C339" s="145" t="s">
        <v>1230</v>
      </c>
      <c r="D339" s="146" t="s">
        <v>486</v>
      </c>
      <c r="E339" s="146" t="s">
        <v>497</v>
      </c>
      <c r="F339" s="146" t="s">
        <v>771</v>
      </c>
      <c r="G339" s="146" t="s">
        <v>1231</v>
      </c>
      <c r="H339" s="146" t="s">
        <v>522</v>
      </c>
      <c r="I339" s="145">
        <v>46139</v>
      </c>
      <c r="J339" s="145">
        <v>46139</v>
      </c>
      <c r="K339" s="144">
        <v>1</v>
      </c>
      <c r="L339" s="180">
        <v>18900</v>
      </c>
      <c r="M339" s="178">
        <v>0.01</v>
      </c>
      <c r="N339" s="180">
        <f>IFERROR(Tabela225[[#This Row],[VALOR  (R$)]]/Tabela225[[#This Row],[PRAZO
EXECUÇÃO]],0)</f>
        <v>18900</v>
      </c>
      <c r="O339" s="211" t="s">
        <v>635</v>
      </c>
      <c r="P339" s="145">
        <v>46206</v>
      </c>
      <c r="Q339" s="146"/>
      <c r="R339" s="146"/>
      <c r="S339" s="145"/>
      <c r="T339" s="146" t="s">
        <v>1080</v>
      </c>
      <c r="U339" s="132"/>
    </row>
    <row r="340" spans="1:21" hidden="1">
      <c r="A340" s="144">
        <v>322</v>
      </c>
      <c r="B340" s="145">
        <v>46192</v>
      </c>
      <c r="C340" s="214" t="s">
        <v>1547</v>
      </c>
      <c r="D340" s="146" t="s">
        <v>486</v>
      </c>
      <c r="E340" s="146" t="s">
        <v>619</v>
      </c>
      <c r="F340" s="146" t="s">
        <v>1548</v>
      </c>
      <c r="G340" s="146" t="s">
        <v>1549</v>
      </c>
      <c r="H340" s="146" t="s">
        <v>522</v>
      </c>
      <c r="I340" s="145">
        <v>46192</v>
      </c>
      <c r="J340" s="145">
        <v>46192</v>
      </c>
      <c r="K340" s="144">
        <v>1</v>
      </c>
      <c r="L340" s="180">
        <v>1910</v>
      </c>
      <c r="M340" s="178">
        <v>0.26</v>
      </c>
      <c r="N340" s="180">
        <f>IFERROR(Tabela225[[#This Row],[VALOR  (R$)]]/Tabela225[[#This Row],[PRAZO
EXECUÇÃO]],0)</f>
        <v>1910</v>
      </c>
      <c r="O340" s="211" t="s">
        <v>635</v>
      </c>
      <c r="P340" s="145">
        <v>46196</v>
      </c>
      <c r="Q340" s="146"/>
      <c r="R340" s="146"/>
      <c r="S340" s="145"/>
      <c r="T340" s="146" t="s">
        <v>1082</v>
      </c>
      <c r="U340" s="132"/>
    </row>
    <row r="341" spans="1:21" hidden="1">
      <c r="A341" s="144">
        <v>326</v>
      </c>
      <c r="B341" s="145">
        <v>46195</v>
      </c>
      <c r="C341" s="214" t="s">
        <v>1556</v>
      </c>
      <c r="D341" s="212" t="s">
        <v>1490</v>
      </c>
      <c r="E341" s="146" t="s">
        <v>497</v>
      </c>
      <c r="F341" s="146" t="s">
        <v>1023</v>
      </c>
      <c r="G341" s="146" t="s">
        <v>1557</v>
      </c>
      <c r="H341" s="146" t="s">
        <v>522</v>
      </c>
      <c r="I341" s="145">
        <v>46196</v>
      </c>
      <c r="J341" s="145">
        <v>46197</v>
      </c>
      <c r="K341" s="144">
        <v>1</v>
      </c>
      <c r="L341" s="180">
        <v>4352</v>
      </c>
      <c r="M341" s="178">
        <v>0.3</v>
      </c>
      <c r="N341" s="180">
        <f>IFERROR(Tabela225[[#This Row],[VALOR  (R$)]]/Tabela225[[#This Row],[PRAZO
EXECUÇÃO]],0)</f>
        <v>4352</v>
      </c>
      <c r="O341" s="211" t="s">
        <v>635</v>
      </c>
      <c r="P341" s="145">
        <v>46219</v>
      </c>
      <c r="Q341" s="146"/>
      <c r="R341" s="146"/>
      <c r="S341" s="145"/>
      <c r="T341" s="146"/>
      <c r="U341" s="132"/>
    </row>
    <row r="342" spans="1:21" hidden="1">
      <c r="A342" s="144">
        <v>367</v>
      </c>
      <c r="B342" s="145">
        <v>46219</v>
      </c>
      <c r="C342" s="214" t="s">
        <v>1653</v>
      </c>
      <c r="D342" s="146" t="s">
        <v>486</v>
      </c>
      <c r="E342" s="146" t="s">
        <v>619</v>
      </c>
      <c r="F342" s="146" t="s">
        <v>1020</v>
      </c>
      <c r="G342" s="146" t="s">
        <v>732</v>
      </c>
      <c r="H342" s="146" t="s">
        <v>522</v>
      </c>
      <c r="I342" s="145">
        <v>46219</v>
      </c>
      <c r="J342" s="145">
        <v>46220</v>
      </c>
      <c r="K342" s="144">
        <v>10</v>
      </c>
      <c r="L342" s="180">
        <v>169700</v>
      </c>
      <c r="M342" s="178">
        <v>0.27</v>
      </c>
      <c r="N342" s="180">
        <f>IFERROR(Tabela225[[#This Row],[VALOR  (R$)]]/Tabela225[[#This Row],[PRAZO
EXECUÇÃO]],0)</f>
        <v>16970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 hidden="1">
      <c r="A343" s="144">
        <v>217</v>
      </c>
      <c r="B343" s="145">
        <v>46146</v>
      </c>
      <c r="C343" s="145" t="s">
        <v>1296</v>
      </c>
      <c r="D343" s="146" t="s">
        <v>486</v>
      </c>
      <c r="E343" s="146" t="s">
        <v>619</v>
      </c>
      <c r="F343" s="146" t="s">
        <v>1297</v>
      </c>
      <c r="G343" s="146" t="s">
        <v>1298</v>
      </c>
      <c r="H343" s="146" t="s">
        <v>522</v>
      </c>
      <c r="I343" s="145">
        <v>46147</v>
      </c>
      <c r="J343" s="145">
        <v>46147</v>
      </c>
      <c r="K343" s="144">
        <v>10</v>
      </c>
      <c r="L343" s="180">
        <v>165540</v>
      </c>
      <c r="M343" s="178">
        <v>0.23</v>
      </c>
      <c r="N343" s="180">
        <f>IFERROR(Tabela225[[#This Row],[VALOR  (R$)]]/Tabela225[[#This Row],[PRAZO
EXECUÇÃO]],0)</f>
        <v>16554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 hidden="1">
      <c r="A344" s="144">
        <v>397</v>
      </c>
      <c r="B344" s="145">
        <v>46233</v>
      </c>
      <c r="C344" s="214" t="s">
        <v>1730</v>
      </c>
      <c r="D344" s="146" t="s">
        <v>486</v>
      </c>
      <c r="E344" s="146" t="s">
        <v>497</v>
      </c>
      <c r="F344" s="146" t="s">
        <v>862</v>
      </c>
      <c r="G344" s="146" t="s">
        <v>732</v>
      </c>
      <c r="H344" s="146" t="s">
        <v>522</v>
      </c>
      <c r="I344" s="145">
        <v>46232</v>
      </c>
      <c r="J344" s="145">
        <v>46232</v>
      </c>
      <c r="K344" s="144">
        <v>10</v>
      </c>
      <c r="L344" s="180">
        <v>165500</v>
      </c>
      <c r="M344" s="178">
        <v>0.27</v>
      </c>
      <c r="N344" s="180">
        <f>IFERROR(Tabela225[[#This Row],[VALOR  (R$)]]/Tabela225[[#This Row],[PRAZO
EXECUÇÃO]],0)</f>
        <v>16550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 hidden="1">
      <c r="A345" s="144">
        <v>310</v>
      </c>
      <c r="B345" s="145">
        <v>46184</v>
      </c>
      <c r="C345" s="214" t="s">
        <v>1517</v>
      </c>
      <c r="D345" s="146" t="s">
        <v>1518</v>
      </c>
      <c r="E345" s="146" t="s">
        <v>497</v>
      </c>
      <c r="F345" s="146" t="s">
        <v>1519</v>
      </c>
      <c r="G345" s="146" t="s">
        <v>1520</v>
      </c>
      <c r="H345" s="146" t="s">
        <v>522</v>
      </c>
      <c r="I345" s="145">
        <v>46189</v>
      </c>
      <c r="J345" s="145">
        <v>46189</v>
      </c>
      <c r="K345" s="144">
        <v>2</v>
      </c>
      <c r="L345" s="180">
        <v>164985</v>
      </c>
      <c r="M345" s="178">
        <v>0.21</v>
      </c>
      <c r="N345" s="180">
        <f>IFERROR(Tabela225[[#This Row],[VALOR  (R$)]]/Tabela225[[#This Row],[PRAZO
EXECUÇÃO]],0)</f>
        <v>82492.5</v>
      </c>
      <c r="O345" s="211" t="s">
        <v>506</v>
      </c>
      <c r="P345" s="145"/>
      <c r="Q345" s="146"/>
      <c r="R345" s="146"/>
      <c r="S345" s="145"/>
      <c r="T345" s="146"/>
      <c r="U345" s="132"/>
    </row>
    <row r="346" spans="1:21" hidden="1">
      <c r="A346" s="144">
        <v>283</v>
      </c>
      <c r="B346" s="145">
        <v>46170</v>
      </c>
      <c r="C346" s="145" t="s">
        <v>1452</v>
      </c>
      <c r="D346" s="146" t="s">
        <v>486</v>
      </c>
      <c r="E346" s="146" t="s">
        <v>619</v>
      </c>
      <c r="F346" s="146" t="s">
        <v>1020</v>
      </c>
      <c r="G346" s="146" t="s">
        <v>1453</v>
      </c>
      <c r="H346" s="146" t="s">
        <v>522</v>
      </c>
      <c r="I346" s="145">
        <v>46202</v>
      </c>
      <c r="J346" s="145">
        <v>46171</v>
      </c>
      <c r="K346" s="144">
        <v>10</v>
      </c>
      <c r="L346" s="180">
        <f>140900+23400</f>
        <v>164300</v>
      </c>
      <c r="M346" s="178">
        <v>0.23</v>
      </c>
      <c r="N346" s="180">
        <f>IFERROR(Tabela225[[#This Row],[VALOR  (R$)]]/Tabela225[[#This Row],[PRAZO
EXECUÇÃO]],0)</f>
        <v>16430</v>
      </c>
      <c r="O346" s="211" t="s">
        <v>506</v>
      </c>
      <c r="P346" s="145"/>
      <c r="Q346" s="146"/>
      <c r="R346" s="146"/>
      <c r="S346" s="145"/>
      <c r="T346" s="146"/>
      <c r="U346" s="132"/>
    </row>
    <row r="347" spans="1:21" hidden="1">
      <c r="A347" s="144">
        <v>315</v>
      </c>
      <c r="B347" s="145">
        <v>46188</v>
      </c>
      <c r="C347" s="214" t="s">
        <v>1529</v>
      </c>
      <c r="D347" s="146" t="s">
        <v>486</v>
      </c>
      <c r="E347" s="146" t="s">
        <v>619</v>
      </c>
      <c r="F347" s="146" t="s">
        <v>1530</v>
      </c>
      <c r="G347" s="146" t="s">
        <v>1531</v>
      </c>
      <c r="H347" s="146" t="s">
        <v>522</v>
      </c>
      <c r="I347" s="145">
        <v>46280</v>
      </c>
      <c r="J347" s="145">
        <v>46188</v>
      </c>
      <c r="K347" s="144">
        <v>13</v>
      </c>
      <c r="L347" s="180">
        <v>158270</v>
      </c>
      <c r="M347" s="178">
        <v>0.23</v>
      </c>
      <c r="N347" s="180">
        <f>IFERROR(Tabela225[[#This Row],[VALOR  (R$)]]/Tabela225[[#This Row],[PRAZO
EXECUÇÃO]],0)</f>
        <v>12174.615384615385</v>
      </c>
      <c r="O347" s="211" t="s">
        <v>506</v>
      </c>
      <c r="P347" s="145"/>
      <c r="Q347" s="146"/>
      <c r="R347" s="146"/>
      <c r="S347" s="145"/>
      <c r="T347" s="146"/>
      <c r="U347" s="132"/>
    </row>
    <row r="348" spans="1:21" hidden="1">
      <c r="A348" s="144">
        <v>321</v>
      </c>
      <c r="B348" s="145">
        <v>46192</v>
      </c>
      <c r="C348" s="214" t="s">
        <v>1545</v>
      </c>
      <c r="D348" s="146" t="s">
        <v>486</v>
      </c>
      <c r="E348" s="146" t="s">
        <v>619</v>
      </c>
      <c r="F348" s="146" t="s">
        <v>1284</v>
      </c>
      <c r="G348" s="146" t="s">
        <v>1546</v>
      </c>
      <c r="H348" s="146" t="s">
        <v>522</v>
      </c>
      <c r="I348" s="145">
        <v>46195</v>
      </c>
      <c r="J348" s="145">
        <v>46195</v>
      </c>
      <c r="K348" s="144">
        <v>5</v>
      </c>
      <c r="L348" s="180">
        <v>155400</v>
      </c>
      <c r="M348" s="178">
        <v>0.24</v>
      </c>
      <c r="N348" s="180">
        <f>IFERROR(Tabela225[[#This Row],[VALOR  (R$)]]/Tabela225[[#This Row],[PRAZO
EXECUÇÃO]],0)</f>
        <v>31080</v>
      </c>
      <c r="O348" s="211" t="s">
        <v>506</v>
      </c>
      <c r="P348" s="145"/>
      <c r="Q348" s="146"/>
      <c r="R348" s="146"/>
      <c r="S348" s="145"/>
      <c r="T348" s="146"/>
      <c r="U348" s="132"/>
    </row>
    <row r="349" spans="1:21" hidden="1">
      <c r="A349" s="144">
        <v>210</v>
      </c>
      <c r="B349" s="214">
        <v>46141</v>
      </c>
      <c r="C349" s="214" t="s">
        <v>1247</v>
      </c>
      <c r="D349" s="146" t="s">
        <v>1248</v>
      </c>
      <c r="E349" s="215" t="s">
        <v>497</v>
      </c>
      <c r="F349" s="215" t="s">
        <v>1140</v>
      </c>
      <c r="G349" s="215" t="s">
        <v>1249</v>
      </c>
      <c r="H349" s="146" t="s">
        <v>522</v>
      </c>
      <c r="I349" s="214">
        <v>46141</v>
      </c>
      <c r="J349" s="214">
        <v>46141</v>
      </c>
      <c r="K349" s="216">
        <v>5</v>
      </c>
      <c r="L349" s="184">
        <v>150680</v>
      </c>
      <c r="M349" s="185">
        <v>0.24</v>
      </c>
      <c r="N349" s="180">
        <f>IFERROR(Tabela225[[#This Row],[VALOR  (R$)]]/Tabela225[[#This Row],[PRAZO
EXECUÇÃO]],0)</f>
        <v>30136</v>
      </c>
      <c r="O349" s="211" t="s">
        <v>506</v>
      </c>
      <c r="P349" s="214"/>
      <c r="Q349" s="215"/>
      <c r="R349" s="146"/>
      <c r="S349" s="214"/>
      <c r="T349" s="146"/>
      <c r="U349" s="132"/>
    </row>
    <row r="350" spans="1:21" hidden="1">
      <c r="A350" s="144">
        <v>206</v>
      </c>
      <c r="B350" s="145">
        <v>46140</v>
      </c>
      <c r="C350" s="145" t="s">
        <v>1237</v>
      </c>
      <c r="D350" s="146" t="s">
        <v>486</v>
      </c>
      <c r="E350" s="146" t="s">
        <v>619</v>
      </c>
      <c r="F350" s="146" t="s">
        <v>1238</v>
      </c>
      <c r="G350" s="146" t="s">
        <v>1239</v>
      </c>
      <c r="H350" s="146" t="s">
        <v>522</v>
      </c>
      <c r="I350" s="145">
        <v>46142</v>
      </c>
      <c r="J350" s="145">
        <v>46142</v>
      </c>
      <c r="K350" s="144">
        <v>10</v>
      </c>
      <c r="L350" s="180">
        <v>143880</v>
      </c>
      <c r="M350" s="178">
        <v>0.26</v>
      </c>
      <c r="N350" s="180">
        <f>IFERROR(Tabela225[[#This Row],[VALOR  (R$)]]/Tabela225[[#This Row],[PRAZO
EXECUÇÃO]],0)</f>
        <v>14388</v>
      </c>
      <c r="O350" s="211" t="s">
        <v>506</v>
      </c>
      <c r="P350" s="145"/>
      <c r="Q350" s="146"/>
      <c r="R350" s="146"/>
      <c r="S350" s="145"/>
      <c r="T350" s="146"/>
      <c r="U350" s="132"/>
    </row>
    <row r="351" spans="1:21" hidden="1">
      <c r="A351" s="144">
        <v>316</v>
      </c>
      <c r="B351" s="145">
        <v>46189</v>
      </c>
      <c r="C351" s="214" t="s">
        <v>1532</v>
      </c>
      <c r="D351" s="146" t="s">
        <v>486</v>
      </c>
      <c r="E351" s="146" t="s">
        <v>619</v>
      </c>
      <c r="F351" s="146" t="s">
        <v>1533</v>
      </c>
      <c r="G351" s="146" t="s">
        <v>1534</v>
      </c>
      <c r="H351" s="146" t="s">
        <v>522</v>
      </c>
      <c r="I351" s="145">
        <v>46191</v>
      </c>
      <c r="J351" s="145">
        <v>46191</v>
      </c>
      <c r="K351" s="144">
        <v>10</v>
      </c>
      <c r="L351" s="180">
        <v>139325</v>
      </c>
      <c r="M351" s="178">
        <v>0.25</v>
      </c>
      <c r="N351" s="180">
        <f>IFERROR(Tabela225[[#This Row],[VALOR  (R$)]]/Tabela225[[#This Row],[PRAZO
EXECUÇÃO]],0)</f>
        <v>13932.5</v>
      </c>
      <c r="O351" s="211" t="s">
        <v>506</v>
      </c>
      <c r="P351" s="145"/>
      <c r="Q351" s="146"/>
      <c r="R351" s="146"/>
      <c r="S351" s="145"/>
      <c r="T351" s="146"/>
      <c r="U351" s="132"/>
    </row>
    <row r="352" spans="1:21" hidden="1">
      <c r="A352" s="144">
        <v>225</v>
      </c>
      <c r="B352" s="214">
        <v>46148</v>
      </c>
      <c r="C352" s="214" t="s">
        <v>1285</v>
      </c>
      <c r="D352" s="215" t="s">
        <v>486</v>
      </c>
      <c r="E352" s="215" t="s">
        <v>619</v>
      </c>
      <c r="F352" s="215" t="s">
        <v>1318</v>
      </c>
      <c r="G352" s="215" t="s">
        <v>1319</v>
      </c>
      <c r="H352" s="146" t="s">
        <v>522</v>
      </c>
      <c r="I352" s="214">
        <v>46154</v>
      </c>
      <c r="J352" s="214">
        <v>46154</v>
      </c>
      <c r="K352" s="216">
        <v>9</v>
      </c>
      <c r="L352" s="184">
        <v>136800</v>
      </c>
      <c r="M352" s="185">
        <v>0.23</v>
      </c>
      <c r="N352" s="180">
        <f>IFERROR(Tabela225[[#This Row],[VALOR  (R$)]]/Tabela225[[#This Row],[PRAZO
EXECUÇÃO]],0)</f>
        <v>15200</v>
      </c>
      <c r="O352" s="211" t="s">
        <v>506</v>
      </c>
      <c r="P352" s="214"/>
      <c r="Q352" s="215"/>
      <c r="R352" s="146"/>
      <c r="S352" s="214"/>
      <c r="T352" s="146"/>
      <c r="U352" s="132"/>
    </row>
    <row r="353" spans="1:21" hidden="1">
      <c r="A353" s="144">
        <v>275</v>
      </c>
      <c r="B353" s="145">
        <v>46167</v>
      </c>
      <c r="C353" s="214" t="s">
        <v>1473</v>
      </c>
      <c r="D353" s="146" t="s">
        <v>906</v>
      </c>
      <c r="E353" s="146" t="s">
        <v>497</v>
      </c>
      <c r="F353" s="146" t="s">
        <v>1425</v>
      </c>
      <c r="G353" s="146" t="s">
        <v>1426</v>
      </c>
      <c r="H353" s="146" t="s">
        <v>522</v>
      </c>
      <c r="I353" s="145">
        <v>46170</v>
      </c>
      <c r="J353" s="145">
        <v>46171</v>
      </c>
      <c r="K353" s="144">
        <v>10</v>
      </c>
      <c r="L353" s="180">
        <f>131900</f>
        <v>131900</v>
      </c>
      <c r="M353" s="178">
        <v>0.26</v>
      </c>
      <c r="N353" s="180">
        <f>IFERROR(Tabela225[[#This Row],[VALOR  (R$)]]/Tabela225[[#This Row],[PRAZO
EXECUÇÃO]],0)</f>
        <v>13190</v>
      </c>
      <c r="O353" s="211" t="s">
        <v>506</v>
      </c>
      <c r="P353" s="145"/>
      <c r="Q353" s="146"/>
      <c r="R353" s="146"/>
      <c r="S353" s="145"/>
      <c r="T353" s="146"/>
      <c r="U353" s="132"/>
    </row>
    <row r="354" spans="1:21" hidden="1">
      <c r="A354" s="144">
        <v>269</v>
      </c>
      <c r="B354" s="145">
        <v>46163</v>
      </c>
      <c r="C354" s="214" t="s">
        <v>1406</v>
      </c>
      <c r="D354" s="146" t="s">
        <v>1407</v>
      </c>
      <c r="E354" s="146" t="s">
        <v>497</v>
      </c>
      <c r="F354" s="146" t="s">
        <v>798</v>
      </c>
      <c r="G354" s="146" t="s">
        <v>1408</v>
      </c>
      <c r="H354" s="146" t="s">
        <v>522</v>
      </c>
      <c r="I354" s="145">
        <v>46167</v>
      </c>
      <c r="J354" s="145">
        <v>46164</v>
      </c>
      <c r="K354" s="144">
        <v>11</v>
      </c>
      <c r="L354" s="180">
        <v>124320</v>
      </c>
      <c r="M354" s="178">
        <v>0.23</v>
      </c>
      <c r="N354" s="180">
        <f>IFERROR(Tabela225[[#This Row],[VALOR  (R$)]]/Tabela225[[#This Row],[PRAZO
EXECUÇÃO]],0)</f>
        <v>11301.818181818182</v>
      </c>
      <c r="O354" s="211" t="s">
        <v>506</v>
      </c>
      <c r="P354" s="145"/>
      <c r="Q354" s="146"/>
      <c r="R354" s="146" t="s">
        <v>1402</v>
      </c>
      <c r="S354" s="145"/>
      <c r="T354" s="146"/>
      <c r="U354" s="132"/>
    </row>
    <row r="355" spans="1:21">
      <c r="A355" s="144">
        <v>396</v>
      </c>
      <c r="B355" s="145">
        <v>46231</v>
      </c>
      <c r="C355" s="214" t="s">
        <v>1727</v>
      </c>
      <c r="D355" s="146" t="s">
        <v>1728</v>
      </c>
      <c r="E355" s="146" t="s">
        <v>497</v>
      </c>
      <c r="F355" s="146" t="s">
        <v>1051</v>
      </c>
      <c r="G355" s="146" t="s">
        <v>1729</v>
      </c>
      <c r="H355" s="146" t="s">
        <v>522</v>
      </c>
      <c r="I355" s="145">
        <v>46232</v>
      </c>
      <c r="J355" s="145">
        <v>46237</v>
      </c>
      <c r="K355" s="144">
        <v>4</v>
      </c>
      <c r="L355" s="180">
        <v>119800</v>
      </c>
      <c r="M355" s="178">
        <v>0.25</v>
      </c>
      <c r="N355" s="180">
        <f>IFERROR(Tabela225[[#This Row],[VALOR  (R$)]]/Tabela225[[#This Row],[PRAZO
EXECUÇÃO]],0)</f>
        <v>29950</v>
      </c>
      <c r="O355" s="211" t="s">
        <v>692</v>
      </c>
      <c r="P355" s="145"/>
      <c r="Q355" s="146"/>
      <c r="R355" s="146"/>
      <c r="S355" s="145"/>
      <c r="T355" s="146"/>
      <c r="U355" s="132"/>
    </row>
    <row r="356" spans="1:21" hidden="1">
      <c r="A356" s="144">
        <v>271</v>
      </c>
      <c r="B356" s="145">
        <v>46164</v>
      </c>
      <c r="C356" s="214" t="s">
        <v>1412</v>
      </c>
      <c r="D356" s="146" t="s">
        <v>712</v>
      </c>
      <c r="E356" s="146" t="s">
        <v>497</v>
      </c>
      <c r="F356" s="146" t="s">
        <v>1307</v>
      </c>
      <c r="G356" s="146" t="s">
        <v>1413</v>
      </c>
      <c r="H356" s="146" t="s">
        <v>522</v>
      </c>
      <c r="I356" s="145">
        <v>46167</v>
      </c>
      <c r="J356" s="145">
        <v>46167</v>
      </c>
      <c r="K356" s="144">
        <v>1</v>
      </c>
      <c r="L356" s="180">
        <v>119000</v>
      </c>
      <c r="M356" s="178">
        <v>0.25</v>
      </c>
      <c r="N356" s="180">
        <f>IFERROR(Tabela225[[#This Row],[VALOR  (R$)]]/Tabela225[[#This Row],[PRAZO
EXECUÇÃO]],0)</f>
        <v>119000</v>
      </c>
      <c r="O356" s="211" t="s">
        <v>506</v>
      </c>
      <c r="P356" s="145"/>
      <c r="Q356" s="146"/>
      <c r="R356" s="146"/>
      <c r="S356" s="145"/>
      <c r="T356" s="146"/>
      <c r="U356" s="132"/>
    </row>
    <row r="357" spans="1:21" hidden="1">
      <c r="A357" s="144">
        <v>236</v>
      </c>
      <c r="B357" s="214">
        <v>46153</v>
      </c>
      <c r="C357" s="214" t="s">
        <v>1310</v>
      </c>
      <c r="D357" s="215" t="s">
        <v>757</v>
      </c>
      <c r="E357" s="215" t="s">
        <v>497</v>
      </c>
      <c r="F357" s="215" t="s">
        <v>1077</v>
      </c>
      <c r="G357" s="215" t="s">
        <v>1311</v>
      </c>
      <c r="H357" s="146" t="s">
        <v>522</v>
      </c>
      <c r="I357" s="214">
        <v>46153</v>
      </c>
      <c r="J357" s="214">
        <v>46167</v>
      </c>
      <c r="K357" s="216">
        <v>21</v>
      </c>
      <c r="L357" s="184">
        <v>117900</v>
      </c>
      <c r="M357" s="185">
        <v>0.3</v>
      </c>
      <c r="N357" s="180">
        <f>IFERROR(Tabela225[[#This Row],[VALOR  (R$)]]/Tabela225[[#This Row],[PRAZO
EXECUÇÃO]],0)</f>
        <v>5614.2857142857147</v>
      </c>
      <c r="O357" s="211" t="s">
        <v>506</v>
      </c>
      <c r="P357" s="214"/>
      <c r="Q357" s="215"/>
      <c r="R357" s="146"/>
      <c r="S357" s="214"/>
      <c r="T357" s="146"/>
      <c r="U357" s="132"/>
    </row>
    <row r="358" spans="1:21" hidden="1">
      <c r="A358" s="144">
        <v>343</v>
      </c>
      <c r="B358" s="145">
        <v>46203</v>
      </c>
      <c r="C358" s="214" t="s">
        <v>1598</v>
      </c>
      <c r="D358" s="146" t="s">
        <v>1116</v>
      </c>
      <c r="E358" s="146" t="s">
        <v>497</v>
      </c>
      <c r="F358" s="146" t="s">
        <v>1062</v>
      </c>
      <c r="G358" s="146" t="s">
        <v>1604</v>
      </c>
      <c r="H358" s="146" t="s">
        <v>522</v>
      </c>
      <c r="I358" s="145">
        <v>46204</v>
      </c>
      <c r="J358" s="145">
        <v>46204</v>
      </c>
      <c r="K358" s="144">
        <v>1</v>
      </c>
      <c r="L358" s="180">
        <v>11940</v>
      </c>
      <c r="M358" s="178">
        <v>0.3</v>
      </c>
      <c r="N358" s="180">
        <f>IFERROR(Tabela225[[#This Row],[VALOR  (R$)]]/Tabela225[[#This Row],[PRAZO
EXECUÇÃO]],0)</f>
        <v>11940</v>
      </c>
      <c r="O358" s="211" t="s">
        <v>635</v>
      </c>
      <c r="P358" s="145">
        <v>46209</v>
      </c>
      <c r="Q358" s="146"/>
      <c r="R358" s="146"/>
      <c r="S358" s="145"/>
      <c r="T358" s="146"/>
      <c r="U358" s="132"/>
    </row>
    <row r="359" spans="1:21">
      <c r="A359" s="144">
        <v>166</v>
      </c>
      <c r="B359" s="145">
        <v>46119</v>
      </c>
      <c r="C359" s="146" t="s">
        <v>1127</v>
      </c>
      <c r="D359" s="146" t="s">
        <v>1128</v>
      </c>
      <c r="E359" s="146" t="s">
        <v>497</v>
      </c>
      <c r="F359" s="146" t="s">
        <v>1129</v>
      </c>
      <c r="G359" s="146" t="s">
        <v>1354</v>
      </c>
      <c r="H359" s="146" t="s">
        <v>522</v>
      </c>
      <c r="I359" s="145">
        <v>46119</v>
      </c>
      <c r="J359" s="145">
        <v>46135</v>
      </c>
      <c r="K359" s="144">
        <v>3</v>
      </c>
      <c r="L359" s="180">
        <v>113870</v>
      </c>
      <c r="M359" s="178">
        <v>0.2</v>
      </c>
      <c r="N359" s="180">
        <f>IFERROR(Tabela225[[#This Row],[VALOR  (R$)]]/Tabela225[[#This Row],[PRAZO
EXECUÇÃO]],0)</f>
        <v>37956.666666666664</v>
      </c>
      <c r="O359" s="211" t="s">
        <v>692</v>
      </c>
      <c r="P359" s="145"/>
      <c r="Q359" s="146"/>
      <c r="R359" s="146"/>
      <c r="S359" s="145"/>
      <c r="T359" s="146"/>
      <c r="U359" s="132"/>
    </row>
    <row r="360" spans="1:21" hidden="1">
      <c r="A360" s="144">
        <v>261</v>
      </c>
      <c r="B360" s="214">
        <v>46162</v>
      </c>
      <c r="C360" s="214" t="s">
        <v>1381</v>
      </c>
      <c r="D360" s="215" t="s">
        <v>1287</v>
      </c>
      <c r="E360" s="215" t="s">
        <v>619</v>
      </c>
      <c r="F360" s="215" t="s">
        <v>656</v>
      </c>
      <c r="G360" s="215" t="s">
        <v>1382</v>
      </c>
      <c r="H360" s="146" t="s">
        <v>522</v>
      </c>
      <c r="I360" s="214">
        <v>46163</v>
      </c>
      <c r="J360" s="214">
        <v>46163</v>
      </c>
      <c r="K360" s="216">
        <v>2</v>
      </c>
      <c r="L360" s="184">
        <v>110220</v>
      </c>
      <c r="M360" s="185">
        <v>0.26</v>
      </c>
      <c r="N360" s="180">
        <f>IFERROR(Tabela225[[#This Row],[VALOR  (R$)]]/Tabela225[[#This Row],[PRAZO
EXECUÇÃO]],0)</f>
        <v>55110</v>
      </c>
      <c r="O360" s="211" t="s">
        <v>506</v>
      </c>
      <c r="P360" s="214"/>
      <c r="Q360" s="215"/>
      <c r="R360" s="145">
        <v>46195</v>
      </c>
      <c r="S360" s="214"/>
      <c r="T360" s="146"/>
      <c r="U360" s="132"/>
    </row>
    <row r="361" spans="1:21">
      <c r="A361" s="144">
        <v>306</v>
      </c>
      <c r="B361" s="145">
        <v>46183</v>
      </c>
      <c r="C361" s="214" t="s">
        <v>1508</v>
      </c>
      <c r="D361" s="146" t="s">
        <v>1407</v>
      </c>
      <c r="E361" s="146" t="s">
        <v>497</v>
      </c>
      <c r="F361" s="146" t="s">
        <v>798</v>
      </c>
      <c r="G361" s="146" t="s">
        <v>1509</v>
      </c>
      <c r="H361" s="146" t="s">
        <v>522</v>
      </c>
      <c r="I361" s="145">
        <v>46195</v>
      </c>
      <c r="J361" s="145">
        <v>46191</v>
      </c>
      <c r="K361" s="144">
        <v>33</v>
      </c>
      <c r="L361" s="180">
        <v>109600</v>
      </c>
      <c r="M361" s="178">
        <v>0.2</v>
      </c>
      <c r="N361" s="180">
        <f>IFERROR(Tabela225[[#This Row],[VALOR  (R$)]]/Tabela225[[#This Row],[PRAZO
EXECUÇÃO]],0)</f>
        <v>3321.212121212121</v>
      </c>
      <c r="O361" s="211" t="s">
        <v>692</v>
      </c>
      <c r="P361" s="145"/>
      <c r="Q361" s="146"/>
      <c r="R361" s="146"/>
      <c r="S361" s="145"/>
      <c r="T361" s="146"/>
      <c r="U361" s="132"/>
    </row>
    <row r="362" spans="1:21">
      <c r="A362" s="144">
        <v>253</v>
      </c>
      <c r="B362" s="214">
        <v>46160</v>
      </c>
      <c r="C362" s="214" t="s">
        <v>1361</v>
      </c>
      <c r="D362" s="215" t="s">
        <v>1362</v>
      </c>
      <c r="E362" s="215" t="s">
        <v>497</v>
      </c>
      <c r="F362" s="215" t="s">
        <v>1363</v>
      </c>
      <c r="G362" s="215" t="s">
        <v>1364</v>
      </c>
      <c r="H362" s="146" t="s">
        <v>522</v>
      </c>
      <c r="I362" s="214">
        <v>46161</v>
      </c>
      <c r="J362" s="214">
        <v>46161</v>
      </c>
      <c r="K362" s="216">
        <v>6</v>
      </c>
      <c r="L362" s="184">
        <v>108400</v>
      </c>
      <c r="M362" s="185">
        <v>0.3</v>
      </c>
      <c r="N362" s="180">
        <f>IFERROR(Tabela225[[#This Row],[VALOR  (R$)]]/Tabela225[[#This Row],[PRAZO
EXECUÇÃO]],0)</f>
        <v>18066.666666666668</v>
      </c>
      <c r="O362" s="211" t="s">
        <v>692</v>
      </c>
      <c r="P362" s="214"/>
      <c r="Q362" s="215"/>
      <c r="R362" s="146"/>
      <c r="S362" s="214"/>
      <c r="T362" s="146"/>
      <c r="U362" s="132"/>
    </row>
    <row r="363" spans="1:21" hidden="1">
      <c r="A363" s="144">
        <v>292</v>
      </c>
      <c r="B363" s="145">
        <v>46176</v>
      </c>
      <c r="C363" s="214" t="s">
        <v>1466</v>
      </c>
      <c r="D363" s="146" t="s">
        <v>486</v>
      </c>
      <c r="E363" s="146" t="s">
        <v>619</v>
      </c>
      <c r="F363" s="146" t="s">
        <v>1467</v>
      </c>
      <c r="G363" s="146" t="s">
        <v>1163</v>
      </c>
      <c r="H363" s="146" t="s">
        <v>522</v>
      </c>
      <c r="I363" s="145">
        <v>46176</v>
      </c>
      <c r="J363" s="145">
        <v>46176</v>
      </c>
      <c r="K363" s="144">
        <f>10+7</f>
        <v>17</v>
      </c>
      <c r="L363" s="180">
        <f>106320</f>
        <v>106320</v>
      </c>
      <c r="M363" s="178">
        <v>0.2</v>
      </c>
      <c r="N363" s="180">
        <f>IFERROR(Tabela225[[#This Row],[VALOR  (R$)]]/Tabela225[[#This Row],[PRAZO
EXECUÇÃO]],0)</f>
        <v>6254.1176470588234</v>
      </c>
      <c r="O363" s="211" t="s">
        <v>506</v>
      </c>
      <c r="P363" s="145"/>
      <c r="Q363" s="146"/>
      <c r="R363" s="146"/>
      <c r="S363" s="145"/>
      <c r="T363" s="146"/>
      <c r="U363" s="132"/>
    </row>
    <row r="364" spans="1:21" hidden="1">
      <c r="A364" s="144">
        <v>307</v>
      </c>
      <c r="B364" s="145">
        <v>46183</v>
      </c>
      <c r="C364" s="214" t="s">
        <v>1510</v>
      </c>
      <c r="D364" s="146" t="s">
        <v>1253</v>
      </c>
      <c r="E364" s="146" t="s">
        <v>497</v>
      </c>
      <c r="F364" s="146" t="s">
        <v>947</v>
      </c>
      <c r="G364" s="146" t="s">
        <v>1606</v>
      </c>
      <c r="H364" s="146" t="s">
        <v>522</v>
      </c>
      <c r="I364" s="145">
        <v>46184</v>
      </c>
      <c r="J364" s="145">
        <v>46184</v>
      </c>
      <c r="K364" s="144">
        <v>1</v>
      </c>
      <c r="L364" s="180">
        <v>1999</v>
      </c>
      <c r="M364" s="178">
        <v>0.2</v>
      </c>
      <c r="N364" s="180">
        <f>IFERROR(Tabela225[[#This Row],[VALOR  (R$)]]/Tabela225[[#This Row],[PRAZO
EXECUÇÃO]],0)</f>
        <v>1999</v>
      </c>
      <c r="O364" s="211" t="s">
        <v>635</v>
      </c>
      <c r="P364" s="145">
        <v>46206</v>
      </c>
      <c r="Q364" s="146"/>
      <c r="R364" s="146"/>
      <c r="S364" s="145"/>
      <c r="T364" s="146" t="s">
        <v>1080</v>
      </c>
      <c r="U364" s="132"/>
    </row>
    <row r="365" spans="1:21" hidden="1">
      <c r="A365" s="144">
        <v>280</v>
      </c>
      <c r="B365" s="145">
        <v>46169</v>
      </c>
      <c r="C365" s="214" t="s">
        <v>1436</v>
      </c>
      <c r="D365" s="146" t="s">
        <v>536</v>
      </c>
      <c r="E365" s="146" t="s">
        <v>497</v>
      </c>
      <c r="F365" s="146" t="s">
        <v>1437</v>
      </c>
      <c r="G365" s="146" t="s">
        <v>1438</v>
      </c>
      <c r="H365" s="146" t="s">
        <v>522</v>
      </c>
      <c r="I365" s="145">
        <v>46174</v>
      </c>
      <c r="J365" s="145">
        <v>46181</v>
      </c>
      <c r="K365" s="144">
        <v>1</v>
      </c>
      <c r="L365" s="180">
        <f>69800+34800</f>
        <v>104600</v>
      </c>
      <c r="M365" s="178">
        <v>0.23</v>
      </c>
      <c r="N365" s="180">
        <f>IFERROR(Tabela225[[#This Row],[VALOR  (R$)]]/Tabela225[[#This Row],[PRAZO
EXECUÇÃO]],0)</f>
        <v>104600</v>
      </c>
      <c r="O365" s="211" t="s">
        <v>506</v>
      </c>
      <c r="P365" s="145"/>
      <c r="Q365" s="146"/>
      <c r="R365" s="146"/>
      <c r="S365" s="145"/>
      <c r="T365" s="146"/>
      <c r="U365" s="132"/>
    </row>
    <row r="366" spans="1:21" hidden="1">
      <c r="A366" s="144">
        <v>198</v>
      </c>
      <c r="B366" s="145">
        <v>46135</v>
      </c>
      <c r="C366" s="145" t="s">
        <v>1215</v>
      </c>
      <c r="D366" s="146" t="s">
        <v>1027</v>
      </c>
      <c r="E366" s="146" t="s">
        <v>497</v>
      </c>
      <c r="F366" s="146" t="s">
        <v>1077</v>
      </c>
      <c r="G366" s="146" t="s">
        <v>1216</v>
      </c>
      <c r="H366" s="146" t="s">
        <v>522</v>
      </c>
      <c r="I366" s="145">
        <v>46136</v>
      </c>
      <c r="J366" s="145">
        <v>46136</v>
      </c>
      <c r="K366" s="144">
        <v>6</v>
      </c>
      <c r="L366" s="180">
        <v>102200</v>
      </c>
      <c r="M366" s="178">
        <v>0.25</v>
      </c>
      <c r="N366" s="180">
        <f>IFERROR(Tabela225[[#This Row],[VALOR  (R$)]]/Tabela225[[#This Row],[PRAZO
EXECUÇÃO]],0)</f>
        <v>17033.333333333332</v>
      </c>
      <c r="O366" s="211" t="s">
        <v>506</v>
      </c>
      <c r="P366" s="145"/>
      <c r="Q366" s="146"/>
      <c r="R366" s="146"/>
      <c r="S366" s="145"/>
      <c r="T366" s="146"/>
      <c r="U366" s="132"/>
    </row>
    <row r="367" spans="1:21">
      <c r="A367" s="144">
        <v>342</v>
      </c>
      <c r="B367" s="145">
        <v>46203</v>
      </c>
      <c r="C367" s="214" t="s">
        <v>1595</v>
      </c>
      <c r="D367" s="146" t="s">
        <v>536</v>
      </c>
      <c r="E367" s="146" t="s">
        <v>497</v>
      </c>
      <c r="F367" s="146" t="s">
        <v>1596</v>
      </c>
      <c r="G367" s="146" t="s">
        <v>1597</v>
      </c>
      <c r="H367" s="146" t="s">
        <v>522</v>
      </c>
      <c r="I367" s="145">
        <v>46204</v>
      </c>
      <c r="J367" s="145">
        <v>46205</v>
      </c>
      <c r="K367" s="144">
        <v>2</v>
      </c>
      <c r="L367" s="180">
        <v>102110</v>
      </c>
      <c r="M367" s="178">
        <v>0.25</v>
      </c>
      <c r="N367" s="180">
        <f>IFERROR(Tabela225[[#This Row],[VALOR  (R$)]]/Tabela225[[#This Row],[PRAZO
EXECUÇÃO]],0)</f>
        <v>51055</v>
      </c>
      <c r="O367" s="211" t="s">
        <v>692</v>
      </c>
      <c r="P367" s="145"/>
      <c r="Q367" s="146"/>
      <c r="R367" s="146"/>
      <c r="S367" s="145"/>
      <c r="T367" s="146"/>
      <c r="U367" s="132"/>
    </row>
    <row r="368" spans="1:21" hidden="1">
      <c r="A368" s="144">
        <v>254</v>
      </c>
      <c r="B368" s="214">
        <v>46160</v>
      </c>
      <c r="C368" s="214" t="s">
        <v>1365</v>
      </c>
      <c r="D368" s="215" t="s">
        <v>1248</v>
      </c>
      <c r="E368" s="215" t="s">
        <v>497</v>
      </c>
      <c r="F368" s="215" t="s">
        <v>1366</v>
      </c>
      <c r="G368" s="215" t="s">
        <v>1367</v>
      </c>
      <c r="H368" s="146" t="s">
        <v>522</v>
      </c>
      <c r="I368" s="214">
        <v>46161</v>
      </c>
      <c r="J368" s="214">
        <v>46161</v>
      </c>
      <c r="K368" s="216">
        <v>3</v>
      </c>
      <c r="L368" s="184">
        <v>98420</v>
      </c>
      <c r="M368" s="185">
        <v>0.25</v>
      </c>
      <c r="N368" s="180">
        <f>IFERROR(Tabela225[[#This Row],[VALOR  (R$)]]/Tabela225[[#This Row],[PRAZO
EXECUÇÃO]],0)</f>
        <v>32806.666666666664</v>
      </c>
      <c r="O368" s="211" t="s">
        <v>506</v>
      </c>
      <c r="P368" s="214"/>
      <c r="Q368" s="215"/>
      <c r="R368" s="146"/>
      <c r="S368" s="214"/>
      <c r="T368" s="146"/>
      <c r="U368" s="132"/>
    </row>
    <row r="369" spans="1:21" hidden="1">
      <c r="A369" s="144">
        <v>354</v>
      </c>
      <c r="B369" s="145">
        <v>46210</v>
      </c>
      <c r="C369" s="214" t="s">
        <v>1624</v>
      </c>
      <c r="D369" s="146" t="s">
        <v>486</v>
      </c>
      <c r="E369" s="146" t="s">
        <v>619</v>
      </c>
      <c r="F369" s="146" t="s">
        <v>653</v>
      </c>
      <c r="G369" s="146" t="s">
        <v>654</v>
      </c>
      <c r="H369" s="146" t="s">
        <v>522</v>
      </c>
      <c r="I369" s="145">
        <v>46212</v>
      </c>
      <c r="J369" s="145">
        <v>46211</v>
      </c>
      <c r="K369" s="144">
        <f>17*3</f>
        <v>51</v>
      </c>
      <c r="L369" s="180">
        <v>768900</v>
      </c>
      <c r="M369" s="178">
        <v>0.24990000000000001</v>
      </c>
      <c r="N369" s="180">
        <f>IFERROR(Tabela225[[#This Row],[VALOR  (R$)]]/Tabela225[[#This Row],[PRAZO
EXECUÇÃO]],0)</f>
        <v>15076.470588235294</v>
      </c>
      <c r="O369" s="211" t="s">
        <v>635</v>
      </c>
      <c r="P369" s="145">
        <v>46227</v>
      </c>
      <c r="Q369" s="146">
        <v>22318</v>
      </c>
      <c r="R369" s="145">
        <v>46251</v>
      </c>
      <c r="S369" s="145"/>
      <c r="T369" s="146" t="s">
        <v>1080</v>
      </c>
      <c r="U369" s="132"/>
    </row>
    <row r="370" spans="1:21">
      <c r="A370" s="144">
        <v>105</v>
      </c>
      <c r="B370" s="145">
        <v>46084</v>
      </c>
      <c r="C370" s="146" t="s">
        <v>955</v>
      </c>
      <c r="D370" s="146" t="s">
        <v>906</v>
      </c>
      <c r="E370" s="146" t="s">
        <v>497</v>
      </c>
      <c r="F370" s="146" t="s">
        <v>956</v>
      </c>
      <c r="G370" s="146" t="s">
        <v>957</v>
      </c>
      <c r="H370" s="146" t="s">
        <v>522</v>
      </c>
      <c r="I370" s="145">
        <v>46084</v>
      </c>
      <c r="J370" s="145">
        <v>46084</v>
      </c>
      <c r="K370" s="144">
        <f>5*4</f>
        <v>20</v>
      </c>
      <c r="L370" s="180">
        <v>98000</v>
      </c>
      <c r="M370" s="182">
        <v>0.2</v>
      </c>
      <c r="N370" s="180">
        <f>IFERROR(Tabela225[[#This Row],[VALOR  (R$)]]/Tabela225[[#This Row],[PRAZO
EXECUÇÃO]],0)</f>
        <v>4900</v>
      </c>
      <c r="O370" s="211" t="s">
        <v>692</v>
      </c>
      <c r="P370" s="145"/>
      <c r="Q370" s="146"/>
      <c r="R370" s="146"/>
      <c r="S370" s="145"/>
      <c r="T370" s="146"/>
      <c r="U370" s="132"/>
    </row>
    <row r="371" spans="1:21" hidden="1">
      <c r="A371" s="144">
        <v>341</v>
      </c>
      <c r="B371" s="145">
        <v>46203</v>
      </c>
      <c r="C371" s="214" t="s">
        <v>1593</v>
      </c>
      <c r="D371" s="146" t="s">
        <v>1184</v>
      </c>
      <c r="E371" s="146" t="s">
        <v>497</v>
      </c>
      <c r="F371" s="146" t="s">
        <v>1185</v>
      </c>
      <c r="G371" s="146" t="s">
        <v>1594</v>
      </c>
      <c r="H371" s="146" t="s">
        <v>522</v>
      </c>
      <c r="I371" s="145">
        <v>46204</v>
      </c>
      <c r="J371" s="145">
        <v>46226</v>
      </c>
      <c r="K371" s="144">
        <v>7</v>
      </c>
      <c r="L371" s="180">
        <v>97250</v>
      </c>
      <c r="M371" s="178">
        <v>0.3</v>
      </c>
      <c r="N371" s="180">
        <f>IFERROR(Tabela225[[#This Row],[VALOR  (R$)]]/Tabela225[[#This Row],[PRAZO
EXECUÇÃO]],0)</f>
        <v>13892.857142857143</v>
      </c>
      <c r="O371" s="211" t="s">
        <v>506</v>
      </c>
      <c r="P371" s="145"/>
      <c r="Q371" s="146"/>
      <c r="R371" s="146"/>
      <c r="S371" s="145"/>
      <c r="T371" s="146"/>
      <c r="U371" s="132"/>
    </row>
    <row r="372" spans="1:21" hidden="1">
      <c r="A372" s="144">
        <v>128</v>
      </c>
      <c r="B372" s="145">
        <v>46097</v>
      </c>
      <c r="C372" s="146" t="s">
        <v>1019</v>
      </c>
      <c r="D372" s="146" t="s">
        <v>525</v>
      </c>
      <c r="E372" s="146" t="s">
        <v>497</v>
      </c>
      <c r="F372" s="146" t="s">
        <v>1020</v>
      </c>
      <c r="G372" s="146" t="s">
        <v>1353</v>
      </c>
      <c r="H372" s="146" t="s">
        <v>522</v>
      </c>
      <c r="I372" s="145">
        <v>46101</v>
      </c>
      <c r="J372" s="145">
        <v>46099</v>
      </c>
      <c r="K372" s="144">
        <v>5</v>
      </c>
      <c r="L372" s="180">
        <v>95460</v>
      </c>
      <c r="M372" s="178">
        <v>0.25</v>
      </c>
      <c r="N372" s="180">
        <f>IFERROR(Tabela225[[#This Row],[VALOR  (R$)]]/Tabela225[[#This Row],[PRAZO
EXECUÇÃO]],0)</f>
        <v>19092</v>
      </c>
      <c r="O372" s="211" t="s">
        <v>506</v>
      </c>
      <c r="P372" s="145"/>
      <c r="Q372" s="146"/>
      <c r="R372" s="146"/>
      <c r="S372" s="145"/>
      <c r="T372" s="146"/>
      <c r="U372" s="132"/>
    </row>
    <row r="373" spans="1:21" hidden="1">
      <c r="A373" s="144">
        <v>358</v>
      </c>
      <c r="B373" s="145">
        <v>46216</v>
      </c>
      <c r="C373" s="214" t="s">
        <v>1631</v>
      </c>
      <c r="D373" s="146" t="s">
        <v>486</v>
      </c>
      <c r="E373" s="146" t="s">
        <v>619</v>
      </c>
      <c r="F373" s="146" t="s">
        <v>1632</v>
      </c>
      <c r="G373" s="146" t="s">
        <v>1633</v>
      </c>
      <c r="H373" s="146" t="s">
        <v>522</v>
      </c>
      <c r="I373" s="145">
        <v>46216</v>
      </c>
      <c r="J373" s="145">
        <v>46216</v>
      </c>
      <c r="K373" s="144">
        <v>1</v>
      </c>
      <c r="L373" s="180">
        <v>2485</v>
      </c>
      <c r="M373" s="178">
        <v>0.3</v>
      </c>
      <c r="N373" s="180">
        <f>IFERROR(Tabela225[[#This Row],[VALOR  (R$)]]/Tabela225[[#This Row],[PRAZO
EXECUÇÃO]],0)</f>
        <v>2485</v>
      </c>
      <c r="O373" s="211" t="s">
        <v>635</v>
      </c>
      <c r="P373" s="145">
        <v>46232</v>
      </c>
      <c r="Q373" s="146"/>
      <c r="R373" s="146"/>
      <c r="S373" s="145"/>
      <c r="T373" s="146"/>
      <c r="U373" s="132"/>
    </row>
    <row r="374" spans="1:21" hidden="1">
      <c r="A374" s="144">
        <v>359</v>
      </c>
      <c r="B374" s="145">
        <v>46216</v>
      </c>
      <c r="C374" s="214" t="s">
        <v>1634</v>
      </c>
      <c r="D374" s="146" t="s">
        <v>486</v>
      </c>
      <c r="E374" s="146" t="s">
        <v>619</v>
      </c>
      <c r="F374" s="146" t="s">
        <v>663</v>
      </c>
      <c r="G374" s="146" t="s">
        <v>1635</v>
      </c>
      <c r="H374" s="146" t="s">
        <v>522</v>
      </c>
      <c r="I374" s="145">
        <v>46216</v>
      </c>
      <c r="J374" s="145">
        <v>46216</v>
      </c>
      <c r="K374" s="144">
        <v>1</v>
      </c>
      <c r="L374" s="180">
        <v>288052.86</v>
      </c>
      <c r="M374" s="178">
        <v>0.3</v>
      </c>
      <c r="N374" s="180">
        <f>IFERROR(Tabela225[[#This Row],[VALOR  (R$)]]/Tabela225[[#This Row],[PRAZO
EXECUÇÃO]],0)</f>
        <v>288052.86</v>
      </c>
      <c r="O374" s="211" t="s">
        <v>635</v>
      </c>
      <c r="P374" s="145">
        <v>46237</v>
      </c>
      <c r="Q374" s="146"/>
      <c r="R374" s="146"/>
      <c r="S374" s="145"/>
      <c r="T374" s="146"/>
      <c r="U374" s="132"/>
    </row>
    <row r="375" spans="1:21" hidden="1">
      <c r="A375" s="144">
        <v>234</v>
      </c>
      <c r="B375" s="214">
        <v>46153</v>
      </c>
      <c r="C375" s="214" t="s">
        <v>1306</v>
      </c>
      <c r="D375" s="215" t="s">
        <v>486</v>
      </c>
      <c r="E375" s="215" t="s">
        <v>619</v>
      </c>
      <c r="F375" s="215" t="s">
        <v>1307</v>
      </c>
      <c r="G375" s="215" t="s">
        <v>1308</v>
      </c>
      <c r="H375" s="146" t="s">
        <v>522</v>
      </c>
      <c r="I375" s="214">
        <v>46150</v>
      </c>
      <c r="J375" s="214">
        <v>46154</v>
      </c>
      <c r="K375" s="216">
        <v>6</v>
      </c>
      <c r="L375" s="184">
        <v>93140</v>
      </c>
      <c r="M375" s="185">
        <v>0.25</v>
      </c>
      <c r="N375" s="180">
        <f>IFERROR(Tabela225[[#This Row],[VALOR  (R$)]]/Tabela225[[#This Row],[PRAZO
EXECUÇÃO]],0)</f>
        <v>15523.333333333334</v>
      </c>
      <c r="O375" s="211" t="s">
        <v>506</v>
      </c>
      <c r="P375" s="214"/>
      <c r="Q375" s="215"/>
      <c r="R375" s="146"/>
      <c r="S375" s="214"/>
      <c r="T375" s="146"/>
      <c r="U375" s="132"/>
    </row>
    <row r="376" spans="1:21">
      <c r="A376" s="144">
        <v>147</v>
      </c>
      <c r="B376" s="145">
        <v>46137</v>
      </c>
      <c r="C376" s="146" t="s">
        <v>1070</v>
      </c>
      <c r="D376" s="146" t="s">
        <v>703</v>
      </c>
      <c r="E376" s="146" t="s">
        <v>497</v>
      </c>
      <c r="F376" s="146" t="s">
        <v>663</v>
      </c>
      <c r="G376" s="146" t="s">
        <v>1071</v>
      </c>
      <c r="H376" s="146" t="s">
        <v>503</v>
      </c>
      <c r="I376" s="145">
        <v>46107</v>
      </c>
      <c r="J376" s="145">
        <v>46107</v>
      </c>
      <c r="K376" s="144">
        <v>2</v>
      </c>
      <c r="L376" s="180">
        <f>44250+42500</f>
        <v>86750</v>
      </c>
      <c r="M376" s="178">
        <v>0.25</v>
      </c>
      <c r="N376" s="180">
        <f>IFERROR(Tabela225[[#This Row],[VALOR  (R$)]]/Tabela225[[#This Row],[PRAZO
EXECUÇÃO]],0)</f>
        <v>43375</v>
      </c>
      <c r="O376" s="211" t="s">
        <v>692</v>
      </c>
      <c r="P376" s="145"/>
      <c r="Q376" s="146"/>
      <c r="R376" s="146"/>
      <c r="S376" s="145"/>
      <c r="T376" s="146"/>
      <c r="U376" s="132"/>
    </row>
    <row r="377" spans="1:21" hidden="1">
      <c r="A377" s="144">
        <v>319</v>
      </c>
      <c r="B377" s="145">
        <v>46189</v>
      </c>
      <c r="C377" s="214" t="s">
        <v>1537</v>
      </c>
      <c r="D377" s="146" t="s">
        <v>486</v>
      </c>
      <c r="E377" s="146" t="s">
        <v>619</v>
      </c>
      <c r="F377" s="146" t="s">
        <v>1033</v>
      </c>
      <c r="G377" s="146" t="s">
        <v>1538</v>
      </c>
      <c r="H377" s="146" t="s">
        <v>522</v>
      </c>
      <c r="I377" s="145">
        <v>46189</v>
      </c>
      <c r="J377" s="145">
        <v>46189</v>
      </c>
      <c r="K377" s="144">
        <v>60</v>
      </c>
      <c r="L377" s="180">
        <v>83100</v>
      </c>
      <c r="M377" s="178">
        <v>1.4999999999999999E-2</v>
      </c>
      <c r="N377" s="180">
        <f>IFERROR(Tabela225[[#This Row],[VALOR  (R$)]]/Tabela225[[#This Row],[PRAZO
EXECUÇÃO]],0)</f>
        <v>1385</v>
      </c>
      <c r="O377" s="211" t="s">
        <v>506</v>
      </c>
      <c r="P377" s="145"/>
      <c r="Q377" s="146"/>
      <c r="R377" s="146"/>
      <c r="S377" s="145"/>
      <c r="T377" s="146"/>
      <c r="U377" s="132"/>
    </row>
    <row r="378" spans="1:21" hidden="1">
      <c r="A378" s="144">
        <v>393</v>
      </c>
      <c r="B378" s="145">
        <v>46230</v>
      </c>
      <c r="C378" s="214" t="s">
        <v>1718</v>
      </c>
      <c r="D378" s="146" t="s">
        <v>1135</v>
      </c>
      <c r="E378" s="146" t="s">
        <v>497</v>
      </c>
      <c r="F378" s="146" t="s">
        <v>1719</v>
      </c>
      <c r="G378" s="146" t="s">
        <v>1720</v>
      </c>
      <c r="H378" s="146" t="s">
        <v>522</v>
      </c>
      <c r="I378" s="145">
        <v>46230</v>
      </c>
      <c r="J378" s="145">
        <v>46230</v>
      </c>
      <c r="K378" s="144">
        <v>1</v>
      </c>
      <c r="L378" s="180">
        <v>81520</v>
      </c>
      <c r="M378" s="178">
        <v>0.25</v>
      </c>
      <c r="N378" s="180">
        <f>IFERROR(Tabela225[[#This Row],[VALOR  (R$)]]/Tabela225[[#This Row],[PRAZO
EXECUÇÃO]],0)</f>
        <v>81520</v>
      </c>
      <c r="O378" s="211" t="s">
        <v>506</v>
      </c>
      <c r="P378" s="145"/>
      <c r="Q378" s="146"/>
      <c r="R378" s="146"/>
      <c r="S378" s="145"/>
      <c r="T378" s="146"/>
      <c r="U378" s="132"/>
    </row>
    <row r="379" spans="1:21" hidden="1">
      <c r="A379" s="144">
        <v>364</v>
      </c>
      <c r="B379" s="145">
        <v>46218</v>
      </c>
      <c r="C379" s="214" t="s">
        <v>1647</v>
      </c>
      <c r="D379" s="146" t="s">
        <v>469</v>
      </c>
      <c r="E379" s="146" t="s">
        <v>619</v>
      </c>
      <c r="F379" s="146" t="s">
        <v>1648</v>
      </c>
      <c r="G379" s="146" t="s">
        <v>732</v>
      </c>
      <c r="H379" s="146" t="s">
        <v>522</v>
      </c>
      <c r="I379" s="145">
        <v>46216</v>
      </c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 t="s">
        <v>537</v>
      </c>
      <c r="P379" s="145"/>
      <c r="Q379" s="146"/>
      <c r="R379" s="146"/>
      <c r="S379" s="145"/>
      <c r="T379" s="146"/>
      <c r="U379" s="132"/>
    </row>
    <row r="380" spans="1:21" hidden="1">
      <c r="A380" s="144">
        <v>289</v>
      </c>
      <c r="B380" s="145">
        <v>46174</v>
      </c>
      <c r="C380" s="214" t="s">
        <v>1458</v>
      </c>
      <c r="D380" s="146" t="s">
        <v>536</v>
      </c>
      <c r="E380" s="146" t="s">
        <v>497</v>
      </c>
      <c r="F380" s="146" t="s">
        <v>1033</v>
      </c>
      <c r="G380" s="146" t="s">
        <v>1459</v>
      </c>
      <c r="H380" s="146" t="s">
        <v>522</v>
      </c>
      <c r="I380" s="145">
        <v>46174</v>
      </c>
      <c r="J380" s="145">
        <v>46174</v>
      </c>
      <c r="K380" s="144">
        <v>12</v>
      </c>
      <c r="L380" s="180">
        <v>79680</v>
      </c>
      <c r="M380" s="178">
        <v>0.1</v>
      </c>
      <c r="N380" s="180">
        <f>IFERROR(Tabela225[[#This Row],[VALOR  (R$)]]/Tabela225[[#This Row],[PRAZO
EXECUÇÃO]],0)</f>
        <v>6640</v>
      </c>
      <c r="O380" s="211" t="s">
        <v>506</v>
      </c>
      <c r="P380" s="145"/>
      <c r="Q380" s="146"/>
      <c r="R380" s="146"/>
      <c r="S380" s="145"/>
      <c r="T380" s="146"/>
      <c r="U380" s="132"/>
    </row>
    <row r="381" spans="1:21">
      <c r="A381" s="144">
        <v>107</v>
      </c>
      <c r="B381" s="145">
        <v>46084</v>
      </c>
      <c r="C381" s="146" t="s">
        <v>961</v>
      </c>
      <c r="D381" s="146" t="s">
        <v>906</v>
      </c>
      <c r="E381" s="146" t="s">
        <v>497</v>
      </c>
      <c r="F381" s="146" t="s">
        <v>962</v>
      </c>
      <c r="G381" s="146" t="s">
        <v>963</v>
      </c>
      <c r="H381" s="146" t="s">
        <v>522</v>
      </c>
      <c r="I381" s="145" t="s">
        <v>964</v>
      </c>
      <c r="J381" s="145">
        <v>46084</v>
      </c>
      <c r="K381" s="144">
        <f>5*3</f>
        <v>15</v>
      </c>
      <c r="L381" s="180">
        <v>79150</v>
      </c>
      <c r="M381" s="182">
        <v>0.2</v>
      </c>
      <c r="N381" s="180">
        <f>IFERROR(Tabela225[[#This Row],[VALOR  (R$)]]/Tabela225[[#This Row],[PRAZO
EXECUÇÃO]],0)</f>
        <v>5276.666666666667</v>
      </c>
      <c r="O381" s="211" t="s">
        <v>692</v>
      </c>
      <c r="P381" s="145"/>
      <c r="Q381" s="146"/>
      <c r="R381" s="146"/>
      <c r="S381" s="145"/>
      <c r="T381" s="146"/>
      <c r="U381" s="132"/>
    </row>
    <row r="382" spans="1:21" hidden="1">
      <c r="A382" s="144">
        <v>282</v>
      </c>
      <c r="B382" s="145">
        <v>46170</v>
      </c>
      <c r="C382" s="214" t="s">
        <v>1442</v>
      </c>
      <c r="D382" s="146" t="s">
        <v>1287</v>
      </c>
      <c r="E382" s="146" t="s">
        <v>619</v>
      </c>
      <c r="F382" s="146" t="s">
        <v>1059</v>
      </c>
      <c r="G382" s="146" t="s">
        <v>1443</v>
      </c>
      <c r="H382" s="146" t="s">
        <v>522</v>
      </c>
      <c r="I382" s="145">
        <v>46174</v>
      </c>
      <c r="J382" s="145">
        <v>46171</v>
      </c>
      <c r="K382" s="144">
        <v>2</v>
      </c>
      <c r="L382" s="180">
        <v>68100</v>
      </c>
      <c r="M382" s="178">
        <v>0.2</v>
      </c>
      <c r="N382" s="180">
        <f>IFERROR(Tabela225[[#This Row],[VALOR  (R$)]]/Tabela225[[#This Row],[PRAZO
EXECUÇÃO]],0)</f>
        <v>34050</v>
      </c>
      <c r="O382" s="211" t="s">
        <v>506</v>
      </c>
      <c r="P382" s="145"/>
      <c r="Q382" s="146"/>
      <c r="R382" s="146"/>
      <c r="S382" s="145"/>
      <c r="T382" s="146"/>
      <c r="U382" s="132"/>
    </row>
    <row r="383" spans="1:21" hidden="1">
      <c r="A383" s="144">
        <v>361</v>
      </c>
      <c r="B383" s="145">
        <v>46217</v>
      </c>
      <c r="C383" s="214" t="s">
        <v>1638</v>
      </c>
      <c r="D383" s="146" t="s">
        <v>1639</v>
      </c>
      <c r="E383" s="146" t="s">
        <v>497</v>
      </c>
      <c r="F383" s="146" t="s">
        <v>1017</v>
      </c>
      <c r="G383" s="146" t="s">
        <v>1640</v>
      </c>
      <c r="H383" s="146" t="s">
        <v>522</v>
      </c>
      <c r="I383" s="145">
        <v>46217</v>
      </c>
      <c r="J383" s="145">
        <v>46217</v>
      </c>
      <c r="K383" s="144">
        <v>6</v>
      </c>
      <c r="L383" s="180">
        <v>59400</v>
      </c>
      <c r="M383" s="178">
        <v>0.25</v>
      </c>
      <c r="N383" s="180">
        <f>IFERROR(Tabela225[[#This Row],[VALOR  (R$)]]/Tabela225[[#This Row],[PRAZO
EXECUÇÃO]],0)</f>
        <v>9900</v>
      </c>
      <c r="O383" s="211" t="s">
        <v>506</v>
      </c>
      <c r="P383" s="145"/>
      <c r="Q383" s="146"/>
      <c r="R383" s="146"/>
      <c r="S383" s="145"/>
      <c r="T383" s="146"/>
      <c r="U383" s="132"/>
    </row>
    <row r="384" spans="1:21">
      <c r="A384" s="144">
        <v>388</v>
      </c>
      <c r="B384" s="145">
        <v>46227</v>
      </c>
      <c r="C384" s="214" t="s">
        <v>1708</v>
      </c>
      <c r="D384" s="146" t="s">
        <v>1709</v>
      </c>
      <c r="E384" s="146" t="s">
        <v>497</v>
      </c>
      <c r="F384" s="146" t="s">
        <v>1129</v>
      </c>
      <c r="G384" s="146" t="s">
        <v>1710</v>
      </c>
      <c r="H384" s="146" t="s">
        <v>522</v>
      </c>
      <c r="I384" s="145">
        <v>46227</v>
      </c>
      <c r="J384" s="145">
        <v>46227</v>
      </c>
      <c r="K384" s="144">
        <v>2</v>
      </c>
      <c r="L384" s="180">
        <v>54600</v>
      </c>
      <c r="M384" s="178">
        <v>0.25</v>
      </c>
      <c r="N384" s="180">
        <f>IFERROR(Tabela225[[#This Row],[VALOR  (R$)]]/Tabela225[[#This Row],[PRAZO
EXECUÇÃO]],0)</f>
        <v>27300</v>
      </c>
      <c r="O384" s="211" t="s">
        <v>692</v>
      </c>
      <c r="P384" s="145"/>
      <c r="Q384" s="146"/>
      <c r="R384" s="146"/>
      <c r="S384" s="145"/>
      <c r="T384" s="146"/>
      <c r="U384" s="132"/>
    </row>
    <row r="385" spans="1:21" hidden="1">
      <c r="A385" s="144">
        <v>370</v>
      </c>
      <c r="B385" s="145">
        <v>46219</v>
      </c>
      <c r="C385" s="214" t="s">
        <v>1662</v>
      </c>
      <c r="D385" s="146" t="s">
        <v>1663</v>
      </c>
      <c r="E385" s="146" t="s">
        <v>497</v>
      </c>
      <c r="F385" s="146" t="s">
        <v>1664</v>
      </c>
      <c r="G385" s="146" t="s">
        <v>1665</v>
      </c>
      <c r="H385" s="146" t="s">
        <v>522</v>
      </c>
      <c r="I385" s="145">
        <v>46219</v>
      </c>
      <c r="J385" s="145">
        <v>46219</v>
      </c>
      <c r="K385" s="144">
        <v>1</v>
      </c>
      <c r="L385" s="180">
        <v>8900</v>
      </c>
      <c r="M385" s="178">
        <v>0.2</v>
      </c>
      <c r="N385" s="180">
        <f>IFERROR(Tabela225[[#This Row],[VALOR  (R$)]]/Tabela225[[#This Row],[PRAZO
EXECUÇÃO]],0)</f>
        <v>8900</v>
      </c>
      <c r="O385" s="211" t="s">
        <v>573</v>
      </c>
      <c r="P385" s="145"/>
      <c r="Q385" s="146"/>
      <c r="R385" s="146"/>
      <c r="S385" s="145"/>
      <c r="T385" s="146"/>
      <c r="U385" s="132"/>
    </row>
    <row r="386" spans="1:21" hidden="1">
      <c r="A386" s="144">
        <v>197</v>
      </c>
      <c r="B386" s="145">
        <v>46135</v>
      </c>
      <c r="C386" s="145" t="s">
        <v>1208</v>
      </c>
      <c r="D386" s="146" t="s">
        <v>1122</v>
      </c>
      <c r="E386" s="146" t="s">
        <v>497</v>
      </c>
      <c r="F386" s="146" t="s">
        <v>854</v>
      </c>
      <c r="G386" s="146" t="s">
        <v>1214</v>
      </c>
      <c r="H386" s="146" t="s">
        <v>522</v>
      </c>
      <c r="I386" s="145">
        <v>46135</v>
      </c>
      <c r="J386" s="145">
        <v>46135</v>
      </c>
      <c r="K386" s="144">
        <v>1</v>
      </c>
      <c r="L386" s="180">
        <v>50000</v>
      </c>
      <c r="M386" s="178">
        <v>0.2</v>
      </c>
      <c r="N386" s="180">
        <f>IFERROR(Tabela225[[#This Row],[VALOR  (R$)]]/Tabela225[[#This Row],[PRAZO
EXECUÇÃO]],0)</f>
        <v>50000</v>
      </c>
      <c r="O386" s="211" t="s">
        <v>506</v>
      </c>
      <c r="P386" s="145"/>
      <c r="Q386" s="146"/>
      <c r="R386" s="146"/>
      <c r="S386" s="145"/>
      <c r="T386" s="146"/>
      <c r="U386" s="132"/>
    </row>
    <row r="387" spans="1:21">
      <c r="A387" s="144">
        <v>167</v>
      </c>
      <c r="B387" s="145">
        <v>46120</v>
      </c>
      <c r="C387" s="146" t="s">
        <v>1130</v>
      </c>
      <c r="D387" s="146" t="s">
        <v>486</v>
      </c>
      <c r="E387" s="146" t="s">
        <v>619</v>
      </c>
      <c r="F387" s="146" t="s">
        <v>829</v>
      </c>
      <c r="G387" s="146" t="s">
        <v>1131</v>
      </c>
      <c r="H387" s="146" t="s">
        <v>503</v>
      </c>
      <c r="I387" s="145">
        <v>46120</v>
      </c>
      <c r="J387" s="145">
        <v>46120</v>
      </c>
      <c r="K387" s="144">
        <v>2</v>
      </c>
      <c r="L387" s="180">
        <v>49900</v>
      </c>
      <c r="M387" s="178">
        <v>0.19</v>
      </c>
      <c r="N387" s="180">
        <f>IFERROR(Tabela225[[#This Row],[VALOR  (R$)]]/Tabela225[[#This Row],[PRAZO
EXECUÇÃO]],0)</f>
        <v>24950</v>
      </c>
      <c r="O387" s="211" t="s">
        <v>692</v>
      </c>
      <c r="P387" s="145"/>
      <c r="Q387" s="146"/>
      <c r="R387" s="146"/>
      <c r="S387" s="145"/>
      <c r="T387" s="146"/>
      <c r="U387" s="132"/>
    </row>
    <row r="388" spans="1:21" hidden="1">
      <c r="A388" s="144">
        <v>368</v>
      </c>
      <c r="B388" s="145">
        <v>46219</v>
      </c>
      <c r="C388" s="214" t="s">
        <v>1655</v>
      </c>
      <c r="D388" s="146" t="s">
        <v>1656</v>
      </c>
      <c r="E388" s="146" t="s">
        <v>497</v>
      </c>
      <c r="F388" s="146" t="s">
        <v>916</v>
      </c>
      <c r="G388" s="146" t="s">
        <v>1657</v>
      </c>
      <c r="H388" s="146" t="s">
        <v>522</v>
      </c>
      <c r="I388" s="145">
        <v>46219</v>
      </c>
      <c r="J388" s="145">
        <v>46219</v>
      </c>
      <c r="K388" s="144">
        <v>2</v>
      </c>
      <c r="L388" s="180">
        <v>43695</v>
      </c>
      <c r="M388" s="178">
        <v>0.3</v>
      </c>
      <c r="N388" s="180">
        <f>IFERROR(Tabela225[[#This Row],[VALOR  (R$)]]/Tabela225[[#This Row],[PRAZO
EXECUÇÃO]],0)</f>
        <v>21847.5</v>
      </c>
      <c r="O388" s="211" t="s">
        <v>506</v>
      </c>
      <c r="P388" s="145"/>
      <c r="Q388" s="146"/>
      <c r="R388" s="146"/>
      <c r="S388" s="145"/>
      <c r="T388" s="146"/>
      <c r="U388" s="132"/>
    </row>
    <row r="389" spans="1:21">
      <c r="A389" s="144">
        <v>242</v>
      </c>
      <c r="B389" s="214">
        <v>46154</v>
      </c>
      <c r="C389" s="214" t="s">
        <v>1327</v>
      </c>
      <c r="D389" s="217" t="s">
        <v>486</v>
      </c>
      <c r="E389" s="215" t="s">
        <v>619</v>
      </c>
      <c r="F389" s="215" t="s">
        <v>801</v>
      </c>
      <c r="G389" s="217" t="s">
        <v>1333</v>
      </c>
      <c r="H389" s="146" t="s">
        <v>522</v>
      </c>
      <c r="I389" s="214">
        <v>46155</v>
      </c>
      <c r="J389" s="214">
        <v>46156</v>
      </c>
      <c r="K389" s="216">
        <v>26</v>
      </c>
      <c r="L389" s="184">
        <v>37800</v>
      </c>
      <c r="M389" s="185">
        <v>0.2</v>
      </c>
      <c r="N389" s="180">
        <f>IFERROR(Tabela225[[#This Row],[VALOR  (R$)]]/Tabela225[[#This Row],[PRAZO
EXECUÇÃO]],0)</f>
        <v>1453.8461538461538</v>
      </c>
      <c r="O389" s="211" t="s">
        <v>692</v>
      </c>
      <c r="P389" s="214"/>
      <c r="Q389" s="215"/>
      <c r="R389" s="146"/>
      <c r="S389" s="214"/>
      <c r="T389" s="146"/>
      <c r="U389" s="132"/>
    </row>
    <row r="390" spans="1:21" hidden="1">
      <c r="A390" s="144">
        <v>264</v>
      </c>
      <c r="B390" s="145">
        <v>46162</v>
      </c>
      <c r="C390" s="214" t="s">
        <v>1390</v>
      </c>
      <c r="D390" s="146" t="s">
        <v>1287</v>
      </c>
      <c r="E390" s="215" t="s">
        <v>619</v>
      </c>
      <c r="F390" s="146" t="s">
        <v>1391</v>
      </c>
      <c r="G390" s="146" t="s">
        <v>1392</v>
      </c>
      <c r="H390" s="146" t="s">
        <v>522</v>
      </c>
      <c r="I390" s="145">
        <v>46163</v>
      </c>
      <c r="J390" s="145">
        <v>46163</v>
      </c>
      <c r="K390" s="144">
        <v>1</v>
      </c>
      <c r="L390" s="180">
        <v>34622</v>
      </c>
      <c r="M390" s="178">
        <v>0.25</v>
      </c>
      <c r="N390" s="180">
        <f>IFERROR(Tabela225[[#This Row],[VALOR  (R$)]]/Tabela225[[#This Row],[PRAZO
EXECUÇÃO]],0)</f>
        <v>34622</v>
      </c>
      <c r="O390" s="211" t="s">
        <v>506</v>
      </c>
      <c r="P390" s="145"/>
      <c r="Q390" s="146"/>
      <c r="R390" s="146" t="s">
        <v>1402</v>
      </c>
      <c r="S390" s="145"/>
      <c r="T390" s="146"/>
      <c r="U390" s="132"/>
    </row>
    <row r="391" spans="1:21" hidden="1">
      <c r="A391" s="144">
        <v>362</v>
      </c>
      <c r="B391" s="145">
        <v>46217</v>
      </c>
      <c r="C391" s="214" t="s">
        <v>1641</v>
      </c>
      <c r="D391" s="146" t="s">
        <v>547</v>
      </c>
      <c r="E391" s="146" t="s">
        <v>497</v>
      </c>
      <c r="F391" s="146" t="s">
        <v>1642</v>
      </c>
      <c r="G391" s="146" t="s">
        <v>1643</v>
      </c>
      <c r="H391" s="146" t="s">
        <v>522</v>
      </c>
      <c r="I391" s="145">
        <v>46219</v>
      </c>
      <c r="J391" s="145">
        <v>46225</v>
      </c>
      <c r="K391" s="144">
        <v>2</v>
      </c>
      <c r="L391" s="180">
        <v>31620</v>
      </c>
      <c r="M391" s="178">
        <v>0.22</v>
      </c>
      <c r="N391" s="180">
        <f>IFERROR(Tabela225[[#This Row],[VALOR  (R$)]]/Tabela225[[#This Row],[PRAZO
EXECUÇÃO]],0)</f>
        <v>15810</v>
      </c>
      <c r="O391" s="211" t="s">
        <v>506</v>
      </c>
      <c r="P391" s="145"/>
      <c r="Q391" s="146"/>
      <c r="R391" s="146"/>
      <c r="S391" s="145"/>
      <c r="T391" s="146"/>
      <c r="U391" s="132"/>
    </row>
    <row r="392" spans="1:21" hidden="1">
      <c r="A392" s="144">
        <v>334</v>
      </c>
      <c r="B392" s="145">
        <v>46198</v>
      </c>
      <c r="C392" s="214" t="s">
        <v>1574</v>
      </c>
      <c r="D392" s="146" t="s">
        <v>486</v>
      </c>
      <c r="E392" s="146" t="s">
        <v>619</v>
      </c>
      <c r="F392" s="146" t="s">
        <v>1331</v>
      </c>
      <c r="G392" s="146" t="s">
        <v>1575</v>
      </c>
      <c r="H392" s="146" t="s">
        <v>522</v>
      </c>
      <c r="I392" s="145">
        <v>46199</v>
      </c>
      <c r="J392" s="145">
        <v>46202</v>
      </c>
      <c r="K392" s="144">
        <v>1</v>
      </c>
      <c r="L392" s="180">
        <v>31500</v>
      </c>
      <c r="M392" s="178">
        <v>0.3</v>
      </c>
      <c r="N392" s="180">
        <f>IFERROR(Tabela225[[#This Row],[VALOR  (R$)]]/Tabela225[[#This Row],[PRAZO
EXECUÇÃO]],0)</f>
        <v>31500</v>
      </c>
      <c r="O392" s="211" t="s">
        <v>506</v>
      </c>
      <c r="P392" s="145"/>
      <c r="Q392" s="146"/>
      <c r="R392" s="146"/>
      <c r="S392" s="145"/>
      <c r="T392" s="146"/>
      <c r="U392" s="132"/>
    </row>
    <row r="393" spans="1:21">
      <c r="A393" s="144">
        <v>188</v>
      </c>
      <c r="B393" s="145">
        <v>46132</v>
      </c>
      <c r="C393" s="145" t="s">
        <v>1190</v>
      </c>
      <c r="D393" s="146" t="s">
        <v>486</v>
      </c>
      <c r="E393" s="146" t="s">
        <v>619</v>
      </c>
      <c r="F393" s="146" t="s">
        <v>809</v>
      </c>
      <c r="G393" s="146" t="s">
        <v>1191</v>
      </c>
      <c r="H393" s="146" t="s">
        <v>503</v>
      </c>
      <c r="I393" s="145">
        <v>46134</v>
      </c>
      <c r="J393" s="145">
        <v>46134</v>
      </c>
      <c r="K393" s="144">
        <v>2</v>
      </c>
      <c r="L393" s="180">
        <v>30790</v>
      </c>
      <c r="M393" s="178">
        <v>0.25</v>
      </c>
      <c r="N393" s="180">
        <f>IFERROR(Tabela225[[#This Row],[VALOR  (R$)]]/Tabela225[[#This Row],[PRAZO
EXECUÇÃO]],0)</f>
        <v>15395</v>
      </c>
      <c r="O393" s="211" t="s">
        <v>692</v>
      </c>
      <c r="P393" s="145"/>
      <c r="Q393" s="146"/>
      <c r="R393" s="146"/>
      <c r="S393" s="145"/>
      <c r="T393" s="146"/>
      <c r="U393" s="132"/>
    </row>
    <row r="394" spans="1:21" hidden="1">
      <c r="A394" s="144">
        <v>299</v>
      </c>
      <c r="B394" s="145">
        <v>46181</v>
      </c>
      <c r="C394" s="214" t="s">
        <v>1494</v>
      </c>
      <c r="D394" s="146" t="s">
        <v>1184</v>
      </c>
      <c r="E394" s="146" t="s">
        <v>497</v>
      </c>
      <c r="F394" s="146" t="s">
        <v>1185</v>
      </c>
      <c r="G394" s="146" t="s">
        <v>1495</v>
      </c>
      <c r="H394" s="146" t="s">
        <v>522</v>
      </c>
      <c r="I394" s="145">
        <v>46184</v>
      </c>
      <c r="J394" s="145">
        <v>46184</v>
      </c>
      <c r="K394" s="144">
        <v>2</v>
      </c>
      <c r="L394" s="180">
        <v>30600</v>
      </c>
      <c r="M394" s="178">
        <v>0.25</v>
      </c>
      <c r="N394" s="180">
        <f>IFERROR(Tabela225[[#This Row],[VALOR  (R$)]]/Tabela225[[#This Row],[PRAZO
EXECUÇÃO]],0)</f>
        <v>15300</v>
      </c>
      <c r="O394" s="211" t="s">
        <v>506</v>
      </c>
      <c r="P394" s="145"/>
      <c r="Q394" s="146"/>
      <c r="R394" s="146"/>
      <c r="S394" s="145"/>
      <c r="T394" s="146"/>
      <c r="U394" s="132"/>
    </row>
    <row r="395" spans="1:21" hidden="1">
      <c r="A395" s="144">
        <v>360</v>
      </c>
      <c r="B395" s="145">
        <v>46217</v>
      </c>
      <c r="C395" s="214" t="s">
        <v>1636</v>
      </c>
      <c r="D395" s="146" t="s">
        <v>486</v>
      </c>
      <c r="E395" s="146" t="s">
        <v>619</v>
      </c>
      <c r="F395" s="146" t="s">
        <v>824</v>
      </c>
      <c r="G395" s="146" t="s">
        <v>1637</v>
      </c>
      <c r="H395" s="146" t="s">
        <v>522</v>
      </c>
      <c r="I395" s="145">
        <v>46217</v>
      </c>
      <c r="J395" s="145">
        <v>46217</v>
      </c>
      <c r="K395" s="144">
        <v>1</v>
      </c>
      <c r="L395" s="180">
        <v>26900</v>
      </c>
      <c r="M395" s="178">
        <v>0.25</v>
      </c>
      <c r="N395" s="180">
        <f>IFERROR(Tabela225[[#This Row],[VALOR  (R$)]]/Tabela225[[#This Row],[PRAZO
EXECUÇÃO]],0)</f>
        <v>26900</v>
      </c>
      <c r="O395" s="211" t="s">
        <v>506</v>
      </c>
      <c r="P395" s="145"/>
      <c r="Q395" s="146"/>
      <c r="R395" s="146"/>
      <c r="S395" s="145"/>
      <c r="T395" s="146"/>
      <c r="U395" s="132"/>
    </row>
    <row r="396" spans="1:21" hidden="1">
      <c r="A396" s="144">
        <v>273</v>
      </c>
      <c r="B396" s="145">
        <v>46167</v>
      </c>
      <c r="C396" s="145" t="s">
        <v>1417</v>
      </c>
      <c r="D396" s="146" t="s">
        <v>1287</v>
      </c>
      <c r="E396" s="146" t="s">
        <v>619</v>
      </c>
      <c r="F396" s="146" t="s">
        <v>1418</v>
      </c>
      <c r="G396" s="146" t="s">
        <v>1419</v>
      </c>
      <c r="H396" s="146" t="s">
        <v>522</v>
      </c>
      <c r="I396" s="145">
        <v>46169</v>
      </c>
      <c r="J396" s="145">
        <v>46169</v>
      </c>
      <c r="K396" s="144">
        <v>1</v>
      </c>
      <c r="L396" s="180">
        <v>26400</v>
      </c>
      <c r="M396" s="178">
        <v>0.25</v>
      </c>
      <c r="N396" s="180">
        <f>IFERROR(Tabela225[[#This Row],[VALOR  (R$)]]/Tabela225[[#This Row],[PRAZO
EXECUÇÃO]],0)</f>
        <v>26400</v>
      </c>
      <c r="O396" s="211" t="s">
        <v>506</v>
      </c>
      <c r="P396" s="145"/>
      <c r="Q396" s="146"/>
      <c r="R396" s="146"/>
      <c r="S396" s="145"/>
      <c r="T396" s="146"/>
      <c r="U396" s="132"/>
    </row>
    <row r="397" spans="1:21">
      <c r="A397" s="144">
        <v>383</v>
      </c>
      <c r="B397" s="145">
        <v>46225</v>
      </c>
      <c r="C397" s="214" t="s">
        <v>1696</v>
      </c>
      <c r="D397" s="146" t="s">
        <v>1742</v>
      </c>
      <c r="E397" s="146" t="s">
        <v>497</v>
      </c>
      <c r="F397" s="146" t="s">
        <v>854</v>
      </c>
      <c r="G397" s="146" t="s">
        <v>1697</v>
      </c>
      <c r="H397" s="146" t="s">
        <v>522</v>
      </c>
      <c r="I397" s="145">
        <v>46225</v>
      </c>
      <c r="J397" s="145">
        <v>46225</v>
      </c>
      <c r="K397" s="144">
        <v>1</v>
      </c>
      <c r="L397" s="180">
        <v>25240</v>
      </c>
      <c r="M397" s="178">
        <v>0.3</v>
      </c>
      <c r="N397" s="180">
        <f>IFERROR(Tabela225[[#This Row],[VALOR  (R$)]]/Tabela225[[#This Row],[PRAZO
EXECUÇÃO]],0)</f>
        <v>25240</v>
      </c>
      <c r="O397" s="211" t="s">
        <v>692</v>
      </c>
      <c r="P397" s="145"/>
      <c r="Q397" s="146"/>
      <c r="R397" s="146"/>
      <c r="S397" s="145"/>
      <c r="T397" s="146"/>
      <c r="U397" s="132"/>
    </row>
    <row r="398" spans="1:21">
      <c r="A398" s="144">
        <v>186</v>
      </c>
      <c r="B398" s="145">
        <v>46132</v>
      </c>
      <c r="C398" s="145" t="s">
        <v>1183</v>
      </c>
      <c r="D398" s="145" t="s">
        <v>1184</v>
      </c>
      <c r="E398" s="146" t="s">
        <v>497</v>
      </c>
      <c r="F398" s="146" t="s">
        <v>1185</v>
      </c>
      <c r="G398" s="146" t="s">
        <v>1186</v>
      </c>
      <c r="H398" s="146" t="s">
        <v>522</v>
      </c>
      <c r="I398" s="145">
        <v>46133</v>
      </c>
      <c r="J398" s="145">
        <v>46134</v>
      </c>
      <c r="K398" s="144">
        <v>1</v>
      </c>
      <c r="L398" s="180">
        <v>17400</v>
      </c>
      <c r="M398" s="178">
        <v>0.21</v>
      </c>
      <c r="N398" s="180">
        <f>IFERROR(Tabela225[[#This Row],[VALOR  (R$)]]/Tabela225[[#This Row],[PRAZO
EXECUÇÃO]],0)</f>
        <v>17400</v>
      </c>
      <c r="O398" s="211" t="s">
        <v>692</v>
      </c>
      <c r="P398" s="145"/>
      <c r="Q398" s="146"/>
      <c r="R398" s="146"/>
      <c r="S398" s="145"/>
      <c r="T398" s="146"/>
      <c r="U398" s="132"/>
    </row>
    <row r="399" spans="1:21" hidden="1">
      <c r="A399" s="144">
        <v>281</v>
      </c>
      <c r="B399" s="145">
        <v>46170</v>
      </c>
      <c r="C399" s="214" t="s">
        <v>1439</v>
      </c>
      <c r="D399" s="146" t="s">
        <v>1287</v>
      </c>
      <c r="E399" s="146" t="s">
        <v>619</v>
      </c>
      <c r="F399" s="146" t="s">
        <v>1440</v>
      </c>
      <c r="G399" s="146" t="s">
        <v>1441</v>
      </c>
      <c r="H399" s="146" t="s">
        <v>522</v>
      </c>
      <c r="I399" s="145">
        <v>46174</v>
      </c>
      <c r="J399" s="145">
        <v>46171</v>
      </c>
      <c r="K399" s="144">
        <v>1</v>
      </c>
      <c r="L399" s="180">
        <v>16400</v>
      </c>
      <c r="M399" s="178">
        <v>0.25</v>
      </c>
      <c r="N399" s="180">
        <f>IFERROR(Tabela225[[#This Row],[VALOR  (R$)]]/Tabela225[[#This Row],[PRAZO
EXECUÇÃO]],0)</f>
        <v>16400</v>
      </c>
      <c r="O399" s="211" t="s">
        <v>506</v>
      </c>
      <c r="P399" s="145"/>
      <c r="Q399" s="146"/>
      <c r="R399" s="146"/>
      <c r="S399" s="145"/>
      <c r="T399" s="146"/>
      <c r="U399" s="132"/>
    </row>
    <row r="400" spans="1:21" hidden="1">
      <c r="A400" s="144">
        <v>357</v>
      </c>
      <c r="B400" s="145">
        <v>46211</v>
      </c>
      <c r="C400" s="214" t="s">
        <v>1628</v>
      </c>
      <c r="D400" s="146" t="s">
        <v>1742</v>
      </c>
      <c r="E400" s="146" t="s">
        <v>497</v>
      </c>
      <c r="F400" s="146" t="s">
        <v>1629</v>
      </c>
      <c r="G400" s="146" t="s">
        <v>1630</v>
      </c>
      <c r="H400" s="146" t="s">
        <v>522</v>
      </c>
      <c r="I400" s="145">
        <v>46211</v>
      </c>
      <c r="J400" s="145">
        <v>46211</v>
      </c>
      <c r="K400" s="144">
        <v>1</v>
      </c>
      <c r="L400" s="180">
        <v>14784</v>
      </c>
      <c r="M400" s="178">
        <v>0.25</v>
      </c>
      <c r="N400" s="180">
        <f>IFERROR(Tabela225[[#This Row],[VALOR  (R$)]]/Tabela225[[#This Row],[PRAZO
EXECUÇÃO]],0)</f>
        <v>14784</v>
      </c>
      <c r="O400" s="211" t="s">
        <v>506</v>
      </c>
      <c r="P400" s="145"/>
      <c r="Q400" s="146"/>
      <c r="R400" s="146"/>
      <c r="S400" s="145"/>
      <c r="T400" s="146"/>
      <c r="U400" s="132"/>
    </row>
    <row r="401" spans="1:21" hidden="1">
      <c r="A401" s="144">
        <v>347</v>
      </c>
      <c r="B401" s="145">
        <v>46206</v>
      </c>
      <c r="C401" s="214" t="s">
        <v>1607</v>
      </c>
      <c r="D401" s="146" t="s">
        <v>369</v>
      </c>
      <c r="E401" s="146" t="s">
        <v>497</v>
      </c>
      <c r="F401" s="146" t="s">
        <v>962</v>
      </c>
      <c r="G401" s="146" t="s">
        <v>1608</v>
      </c>
      <c r="H401" s="146" t="s">
        <v>522</v>
      </c>
      <c r="I401" s="145">
        <v>46206</v>
      </c>
      <c r="J401" s="145">
        <v>46206</v>
      </c>
      <c r="K401" s="144">
        <v>10</v>
      </c>
      <c r="L401" s="180">
        <v>8900</v>
      </c>
      <c r="M401" s="178">
        <v>0.2</v>
      </c>
      <c r="N401" s="180">
        <f>IFERROR(Tabela225[[#This Row],[VALOR  (R$)]]/Tabela225[[#This Row],[PRAZO
EXECUÇÃO]],0)</f>
        <v>890</v>
      </c>
      <c r="O401" s="211" t="s">
        <v>506</v>
      </c>
      <c r="P401" s="145"/>
      <c r="Q401" s="146"/>
      <c r="R401" s="146"/>
      <c r="S401" s="145"/>
      <c r="T401" s="146"/>
      <c r="U401" s="132"/>
    </row>
    <row r="402" spans="1:21">
      <c r="A402" s="144">
        <v>212</v>
      </c>
      <c r="B402" s="214">
        <v>46142</v>
      </c>
      <c r="C402" s="214" t="s">
        <v>1252</v>
      </c>
      <c r="D402" s="215" t="s">
        <v>1253</v>
      </c>
      <c r="E402" s="215" t="s">
        <v>497</v>
      </c>
      <c r="F402" s="215" t="s">
        <v>947</v>
      </c>
      <c r="G402" s="215" t="s">
        <v>1485</v>
      </c>
      <c r="H402" s="146" t="s">
        <v>522</v>
      </c>
      <c r="I402" s="214">
        <v>46142</v>
      </c>
      <c r="J402" s="214">
        <v>46142</v>
      </c>
      <c r="K402" s="216">
        <v>1</v>
      </c>
      <c r="L402" s="184">
        <v>7460</v>
      </c>
      <c r="M402" s="185">
        <v>0.3</v>
      </c>
      <c r="N402" s="180">
        <f>IFERROR(Tabela225[[#This Row],[VALOR  (R$)]]/Tabela225[[#This Row],[PRAZO
EXECUÇÃO]],0)</f>
        <v>7460</v>
      </c>
      <c r="O402" s="211" t="s">
        <v>692</v>
      </c>
      <c r="P402" s="214"/>
      <c r="Q402" s="215"/>
      <c r="R402" s="146"/>
      <c r="S402" s="214"/>
      <c r="T402" s="146"/>
      <c r="U402" s="132"/>
    </row>
    <row r="403" spans="1:21" hidden="1">
      <c r="A403" s="144">
        <v>330</v>
      </c>
      <c r="B403" s="145">
        <v>46198</v>
      </c>
      <c r="C403" s="214" t="s">
        <v>1566</v>
      </c>
      <c r="D403" s="146" t="s">
        <v>486</v>
      </c>
      <c r="E403" s="146" t="s">
        <v>619</v>
      </c>
      <c r="F403" s="146" t="s">
        <v>1033</v>
      </c>
      <c r="G403" s="146" t="s">
        <v>1567</v>
      </c>
      <c r="H403" s="146" t="s">
        <v>522</v>
      </c>
      <c r="I403" s="145">
        <v>46198</v>
      </c>
      <c r="J403" s="145">
        <v>46198</v>
      </c>
      <c r="K403" s="144">
        <v>1</v>
      </c>
      <c r="L403" s="180">
        <v>5740</v>
      </c>
      <c r="M403" s="178">
        <v>0.3</v>
      </c>
      <c r="N403" s="180">
        <f>IFERROR(Tabela225[[#This Row],[VALOR  (R$)]]/Tabela225[[#This Row],[PRAZO
EXECUÇÃO]],0)</f>
        <v>5740</v>
      </c>
      <c r="O403" s="211" t="s">
        <v>506</v>
      </c>
      <c r="P403" s="145"/>
      <c r="Q403" s="146"/>
      <c r="R403" s="146"/>
      <c r="S403" s="145"/>
      <c r="T403" s="146"/>
      <c r="U403" s="132"/>
    </row>
    <row r="404" spans="1:21" hidden="1">
      <c r="A404" s="144">
        <v>389</v>
      </c>
      <c r="B404" s="145">
        <v>46227</v>
      </c>
      <c r="C404" s="214" t="s">
        <v>1711</v>
      </c>
      <c r="D404" s="146" t="s">
        <v>486</v>
      </c>
      <c r="E404" s="146" t="s">
        <v>619</v>
      </c>
      <c r="F404" s="146" t="s">
        <v>1023</v>
      </c>
      <c r="G404" s="146" t="s">
        <v>1712</v>
      </c>
      <c r="H404" s="146" t="s">
        <v>522</v>
      </c>
      <c r="I404" s="145">
        <v>46227</v>
      </c>
      <c r="J404" s="145">
        <v>46227</v>
      </c>
      <c r="K404" s="144">
        <v>20</v>
      </c>
      <c r="L404" s="180">
        <v>280000</v>
      </c>
      <c r="M404" s="178">
        <v>0.27</v>
      </c>
      <c r="N404" s="180">
        <f>IFERROR(Tabela225[[#This Row],[VALOR  (R$)]]/Tabela225[[#This Row],[PRAZO
EXECUÇÃO]],0)</f>
        <v>14000</v>
      </c>
      <c r="O404" s="211" t="s">
        <v>635</v>
      </c>
      <c r="P404" s="145">
        <v>46230</v>
      </c>
      <c r="Q404" s="146"/>
      <c r="R404" s="146"/>
      <c r="S404" s="145"/>
      <c r="T404" s="146"/>
      <c r="U404" s="132"/>
    </row>
    <row r="405" spans="1:21" hidden="1">
      <c r="A405" s="144">
        <v>390</v>
      </c>
      <c r="B405" s="145">
        <v>46230</v>
      </c>
      <c r="C405" s="214" t="s">
        <v>1714</v>
      </c>
      <c r="D405" s="146" t="s">
        <v>1184</v>
      </c>
      <c r="E405" s="146" t="s">
        <v>497</v>
      </c>
      <c r="F405" s="146" t="s">
        <v>1185</v>
      </c>
      <c r="G405" s="146" t="s">
        <v>1713</v>
      </c>
      <c r="H405" s="146" t="s">
        <v>522</v>
      </c>
      <c r="I405" s="145">
        <v>46230</v>
      </c>
      <c r="J405" s="145">
        <v>46230</v>
      </c>
      <c r="K405" s="144">
        <v>2</v>
      </c>
      <c r="L405" s="180">
        <v>1770.02</v>
      </c>
      <c r="M405" s="178">
        <v>0.2</v>
      </c>
      <c r="N405" s="180">
        <f>IFERROR(Tabela225[[#This Row],[VALOR  (R$)]]/Tabela225[[#This Row],[PRAZO
EXECUÇÃO]],0)</f>
        <v>885.01</v>
      </c>
      <c r="O405" s="211" t="s">
        <v>635</v>
      </c>
      <c r="P405" s="145">
        <v>46233</v>
      </c>
      <c r="Q405" s="146"/>
      <c r="R405" s="146"/>
      <c r="S405" s="145"/>
      <c r="T405" s="146"/>
      <c r="U405" s="132"/>
    </row>
    <row r="406" spans="1:21" hidden="1">
      <c r="A406" s="144">
        <v>394</v>
      </c>
      <c r="B406" s="145">
        <v>46230</v>
      </c>
      <c r="C406" s="214" t="s">
        <v>1721</v>
      </c>
      <c r="D406" s="146" t="s">
        <v>369</v>
      </c>
      <c r="E406" s="146" t="s">
        <v>497</v>
      </c>
      <c r="F406" s="146" t="s">
        <v>647</v>
      </c>
      <c r="G406" s="146" t="s">
        <v>1722</v>
      </c>
      <c r="H406" s="146" t="s">
        <v>522</v>
      </c>
      <c r="I406" s="145">
        <v>46230</v>
      </c>
      <c r="J406" s="145">
        <v>46230</v>
      </c>
      <c r="K406" s="144">
        <v>3</v>
      </c>
      <c r="L406" s="180">
        <f>890+890+590</f>
        <v>2370</v>
      </c>
      <c r="M406" s="178">
        <v>1</v>
      </c>
      <c r="N406" s="180">
        <f>IFERROR(Tabela225[[#This Row],[VALOR  (R$)]]/Tabela225[[#This Row],[PRAZO
EXECUÇÃO]],0)</f>
        <v>790</v>
      </c>
      <c r="O406" s="211" t="s">
        <v>506</v>
      </c>
      <c r="P406" s="145"/>
      <c r="Q406" s="146"/>
      <c r="R406" s="146"/>
      <c r="S406" s="145"/>
      <c r="T406" s="146"/>
      <c r="U406" s="132"/>
    </row>
    <row r="407" spans="1:21" hidden="1">
      <c r="A407" s="144">
        <v>392</v>
      </c>
      <c r="B407" s="145">
        <v>46230</v>
      </c>
      <c r="C407" s="145" t="s">
        <v>1723</v>
      </c>
      <c r="D407" s="146" t="s">
        <v>1742</v>
      </c>
      <c r="E407" s="146" t="s">
        <v>497</v>
      </c>
      <c r="F407" s="146" t="s">
        <v>1284</v>
      </c>
      <c r="G407" s="146" t="s">
        <v>1724</v>
      </c>
      <c r="H407" s="146" t="s">
        <v>522</v>
      </c>
      <c r="I407" s="145">
        <v>46230</v>
      </c>
      <c r="J407" s="145">
        <v>46230</v>
      </c>
      <c r="K407" s="144">
        <v>1</v>
      </c>
      <c r="L407" s="180">
        <v>39900</v>
      </c>
      <c r="M407" s="178">
        <v>0.25</v>
      </c>
      <c r="N407" s="180">
        <f>IFERROR(Tabela225[[#This Row],[VALOR  (R$)]]/Tabela225[[#This Row],[PRAZO
EXECUÇÃO]],0)</f>
        <v>39900</v>
      </c>
      <c r="O407" s="211" t="s">
        <v>635</v>
      </c>
      <c r="P407" s="145">
        <v>46237</v>
      </c>
      <c r="Q407" s="146"/>
      <c r="R407" s="146"/>
      <c r="S407" s="145"/>
      <c r="T407" s="146"/>
      <c r="U407" s="132"/>
    </row>
    <row r="408" spans="1:21" hidden="1">
      <c r="A408" s="144">
        <v>348</v>
      </c>
      <c r="B408" s="145">
        <v>46206</v>
      </c>
      <c r="C408" s="214" t="s">
        <v>1609</v>
      </c>
      <c r="D408" s="146" t="s">
        <v>369</v>
      </c>
      <c r="E408" s="146" t="s">
        <v>497</v>
      </c>
      <c r="F408" s="146" t="s">
        <v>1610</v>
      </c>
      <c r="G408" s="146" t="s">
        <v>1611</v>
      </c>
      <c r="H408" s="146" t="s">
        <v>522</v>
      </c>
      <c r="I408" s="145">
        <v>46206</v>
      </c>
      <c r="J408" s="145">
        <v>46206</v>
      </c>
      <c r="K408" s="144">
        <v>1</v>
      </c>
      <c r="L408" s="180">
        <v>890</v>
      </c>
      <c r="M408" s="178">
        <v>0.2</v>
      </c>
      <c r="N408" s="180">
        <f>IFERROR(Tabela225[[#This Row],[VALOR  (R$)]]/Tabela225[[#This Row],[PRAZO
EXECUÇÃO]],0)</f>
        <v>890</v>
      </c>
      <c r="O408" s="211" t="s">
        <v>506</v>
      </c>
      <c r="P408" s="145"/>
      <c r="Q408" s="146"/>
      <c r="R408" s="146"/>
      <c r="S408" s="145"/>
      <c r="T408" s="146"/>
      <c r="U408" s="132"/>
    </row>
    <row r="409" spans="1:21" hidden="1">
      <c r="A409" s="144">
        <v>351</v>
      </c>
      <c r="B409" s="145">
        <v>46209</v>
      </c>
      <c r="C409" s="214" t="s">
        <v>1616</v>
      </c>
      <c r="D409" s="146" t="s">
        <v>971</v>
      </c>
      <c r="E409" s="146" t="s">
        <v>497</v>
      </c>
      <c r="F409" s="146" t="s">
        <v>1587</v>
      </c>
      <c r="G409" s="146" t="s">
        <v>1617</v>
      </c>
      <c r="H409" s="146" t="s">
        <v>522</v>
      </c>
      <c r="I409" s="145">
        <v>46218</v>
      </c>
      <c r="J409" s="145">
        <v>46217</v>
      </c>
      <c r="K409" s="144">
        <v>20</v>
      </c>
      <c r="L409" s="180"/>
      <c r="M409" s="178"/>
      <c r="N409" s="180">
        <f>IFERROR(Tabela225[[#This Row],[VALOR  (R$)]]/Tabela225[[#This Row],[PRAZO
EXECUÇÃO]],0)</f>
        <v>0</v>
      </c>
      <c r="O409" s="211" t="s">
        <v>506</v>
      </c>
      <c r="P409" s="145"/>
      <c r="Q409" s="146"/>
      <c r="R409" s="146"/>
      <c r="S409" s="145"/>
      <c r="T409" s="146"/>
      <c r="U409" s="132"/>
    </row>
    <row r="410" spans="1:21" hidden="1">
      <c r="A410" s="144">
        <v>395</v>
      </c>
      <c r="B410" s="145">
        <v>46230</v>
      </c>
      <c r="C410" s="214" t="s">
        <v>1725</v>
      </c>
      <c r="D410" s="146" t="s">
        <v>486</v>
      </c>
      <c r="E410" s="146" t="s">
        <v>619</v>
      </c>
      <c r="F410" s="146" t="s">
        <v>1077</v>
      </c>
      <c r="G410" s="146" t="s">
        <v>1726</v>
      </c>
      <c r="H410" s="146" t="s">
        <v>522</v>
      </c>
      <c r="I410" s="145">
        <v>46232</v>
      </c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 t="s">
        <v>537</v>
      </c>
      <c r="P410" s="145"/>
      <c r="Q410" s="146"/>
      <c r="R410" s="146"/>
      <c r="S410" s="145"/>
      <c r="T410" s="146"/>
      <c r="U410" s="132"/>
    </row>
    <row r="411" spans="1:21" hidden="1">
      <c r="A411" s="144">
        <v>365</v>
      </c>
      <c r="B411" s="145">
        <v>46218</v>
      </c>
      <c r="C411" s="214" t="s">
        <v>1649</v>
      </c>
      <c r="D411" s="146" t="s">
        <v>585</v>
      </c>
      <c r="E411" s="146" t="s">
        <v>497</v>
      </c>
      <c r="F411" s="146" t="s">
        <v>1650</v>
      </c>
      <c r="G411" s="146" t="s">
        <v>1651</v>
      </c>
      <c r="H411" s="146" t="s">
        <v>522</v>
      </c>
      <c r="I411" s="145">
        <v>46220</v>
      </c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 t="s">
        <v>506</v>
      </c>
      <c r="P411" s="145"/>
      <c r="Q411" s="146"/>
      <c r="R411" s="146"/>
      <c r="S411" s="145"/>
      <c r="T411" s="146"/>
      <c r="U411" s="132"/>
    </row>
    <row r="412" spans="1:21" hidden="1">
      <c r="A412" s="144">
        <v>385</v>
      </c>
      <c r="B412" s="145">
        <v>46226</v>
      </c>
      <c r="C412" s="214" t="s">
        <v>1698</v>
      </c>
      <c r="D412" s="146" t="s">
        <v>1362</v>
      </c>
      <c r="E412" s="146" t="s">
        <v>497</v>
      </c>
      <c r="F412" s="146" t="s">
        <v>1363</v>
      </c>
      <c r="G412" s="218" t="s">
        <v>1699</v>
      </c>
      <c r="H412" s="146" t="s">
        <v>522</v>
      </c>
      <c r="I412" s="145">
        <v>46231</v>
      </c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 t="s">
        <v>506</v>
      </c>
      <c r="P412" s="145"/>
      <c r="Q412" s="146"/>
      <c r="R412" s="146"/>
      <c r="S412" s="145"/>
      <c r="T412" s="146"/>
      <c r="U412" s="132"/>
    </row>
    <row r="413" spans="1:21" hidden="1">
      <c r="A413" s="144">
        <v>386</v>
      </c>
      <c r="B413" s="145">
        <v>46226</v>
      </c>
      <c r="C413" s="214" t="s">
        <v>1700</v>
      </c>
      <c r="D413" s="146" t="s">
        <v>1701</v>
      </c>
      <c r="E413" s="146" t="s">
        <v>497</v>
      </c>
      <c r="F413" s="146" t="s">
        <v>1645</v>
      </c>
      <c r="G413" s="146" t="s">
        <v>1705</v>
      </c>
      <c r="H413" s="146" t="s">
        <v>522</v>
      </c>
      <c r="I413" s="145">
        <v>46231</v>
      </c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 t="s">
        <v>506</v>
      </c>
      <c r="P413" s="145"/>
      <c r="Q413" s="146"/>
      <c r="R413" s="146"/>
      <c r="S413" s="145"/>
      <c r="T413" s="146"/>
      <c r="U413" s="132"/>
    </row>
    <row r="414" spans="1:21" hidden="1">
      <c r="A414" s="144">
        <v>398</v>
      </c>
      <c r="B414" s="145">
        <v>46233</v>
      </c>
      <c r="C414" s="214" t="s">
        <v>1731</v>
      </c>
      <c r="D414" s="146" t="s">
        <v>1732</v>
      </c>
      <c r="E414" s="146" t="s">
        <v>497</v>
      </c>
      <c r="F414" s="146" t="s">
        <v>1733</v>
      </c>
      <c r="G414" s="146" t="s">
        <v>1734</v>
      </c>
      <c r="H414" s="146" t="s">
        <v>522</v>
      </c>
      <c r="I414" s="145">
        <v>46241</v>
      </c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 t="s">
        <v>506</v>
      </c>
      <c r="P414" s="145"/>
      <c r="Q414" s="146"/>
      <c r="R414" s="146"/>
      <c r="S414" s="145"/>
      <c r="T414" s="146"/>
      <c r="U414" s="132"/>
    </row>
    <row r="415" spans="1:21" hidden="1">
      <c r="A415" s="144">
        <v>400</v>
      </c>
      <c r="B415" s="145">
        <v>46234</v>
      </c>
      <c r="C415" s="214" t="s">
        <v>1738</v>
      </c>
      <c r="D415" s="146" t="s">
        <v>486</v>
      </c>
      <c r="E415" s="146" t="s">
        <v>619</v>
      </c>
      <c r="F415" s="146" t="s">
        <v>734</v>
      </c>
      <c r="G415" s="146" t="s">
        <v>1739</v>
      </c>
      <c r="H415" s="146" t="s">
        <v>522</v>
      </c>
      <c r="I415" s="145">
        <v>46234</v>
      </c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 t="s">
        <v>506</v>
      </c>
      <c r="P415" s="145"/>
      <c r="Q415" s="146"/>
      <c r="R415" s="146"/>
      <c r="S415" s="145"/>
      <c r="T415" s="146"/>
      <c r="U415" s="132"/>
    </row>
    <row r="416" spans="1:21" hidden="1">
      <c r="A416" s="144">
        <v>401</v>
      </c>
      <c r="B416" s="145">
        <v>46234</v>
      </c>
      <c r="C416" s="214" t="s">
        <v>1740</v>
      </c>
      <c r="D416" s="146" t="s">
        <v>1116</v>
      </c>
      <c r="E416" s="146" t="s">
        <v>497</v>
      </c>
      <c r="F416" s="146" t="s">
        <v>1062</v>
      </c>
      <c r="G416" s="146" t="s">
        <v>1741</v>
      </c>
      <c r="H416" s="146" t="s">
        <v>522</v>
      </c>
      <c r="I416" s="145">
        <v>46234</v>
      </c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 t="s">
        <v>506</v>
      </c>
      <c r="P416" s="145"/>
      <c r="Q416" s="146"/>
      <c r="R416" s="146"/>
      <c r="S416" s="145"/>
      <c r="T416" s="146"/>
      <c r="U416" s="132"/>
    </row>
    <row r="417" spans="1:21" hidden="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 hidden="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 hidden="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 hidden="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 hidden="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 hidden="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 hidden="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 hidden="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 hidden="1">
      <c r="A425" s="144">
        <v>410</v>
      </c>
      <c r="B425" s="145"/>
      <c r="C425" s="214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 hidden="1">
      <c r="A426" s="144">
        <v>411</v>
      </c>
      <c r="B426" s="145"/>
      <c r="C426" s="214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 hidden="1">
      <c r="A427" s="144">
        <v>412</v>
      </c>
      <c r="B427" s="145"/>
      <c r="C427" s="214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 hidden="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 hidden="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 hidden="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 hidden="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 hidden="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 hidden="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 hidden="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 hidden="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 hidden="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 hidden="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 hidden="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 hidden="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 hidden="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 hidden="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 hidden="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 hidden="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 hidden="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 hidden="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 hidden="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 hidden="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 hidden="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 hidden="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 hidden="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 hidden="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 hidden="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 hidden="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 hidden="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 hidden="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 hidden="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 hidden="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 hidden="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 hidden="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 hidden="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 hidden="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 hidden="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 hidden="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 hidden="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 hidden="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 hidden="1">
      <c r="A466" s="144">
        <v>451</v>
      </c>
      <c r="B466" s="145"/>
      <c r="C466" s="145"/>
      <c r="D466" s="215"/>
      <c r="E466" s="215"/>
      <c r="F466" s="215"/>
      <c r="G466" s="215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 hidden="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 hidden="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 hidden="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 hidden="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 hidden="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 hidden="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 hidden="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 hidden="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 hidden="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 hidden="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 hidden="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 hidden="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 hidden="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 hidden="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 hidden="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 hidden="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 hidden="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 hidden="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 hidden="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 hidden="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 hidden="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 hidden="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 hidden="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 hidden="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 hidden="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 hidden="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 hidden="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 hidden="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 hidden="1">
      <c r="A495" s="144">
        <v>480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80"/>
      <c r="M495" s="178"/>
      <c r="N495" s="180">
        <f>IFERROR(Tabela225[[#This Row],[VALOR  (R$)]]/Tabela225[[#This Row],[PRAZO
EXECUÇÃO]],0)</f>
        <v>0</v>
      </c>
      <c r="O495" s="211"/>
      <c r="P495" s="145"/>
      <c r="Q495" s="146"/>
      <c r="R495" s="146"/>
      <c r="S495" s="145"/>
      <c r="T495" s="146"/>
      <c r="U495" s="132"/>
    </row>
    <row r="496" spans="1:21" hidden="1">
      <c r="A496" s="144">
        <v>481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80"/>
      <c r="M496" s="178"/>
      <c r="N496" s="180">
        <f>IFERROR(Tabela225[[#This Row],[VALOR  (R$)]]/Tabela225[[#This Row],[PRAZO
EXECUÇÃO]],0)</f>
        <v>0</v>
      </c>
      <c r="O496" s="211"/>
      <c r="P496" s="145"/>
      <c r="Q496" s="146"/>
      <c r="R496" s="146"/>
      <c r="S496" s="145"/>
      <c r="T496" s="146"/>
      <c r="U496" s="132"/>
    </row>
    <row r="497" spans="1:21" hidden="1">
      <c r="A497" s="144">
        <v>482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80"/>
      <c r="M497" s="178"/>
      <c r="N497" s="180">
        <f>IFERROR(Tabela225[[#This Row],[VALOR  (R$)]]/Tabela225[[#This Row],[PRAZO
EXECUÇÃO]],0)</f>
        <v>0</v>
      </c>
      <c r="O497" s="211"/>
      <c r="P497" s="145"/>
      <c r="Q497" s="146"/>
      <c r="R497" s="146"/>
      <c r="S497" s="145"/>
      <c r="T497" s="146"/>
      <c r="U497" s="132"/>
    </row>
    <row r="498" spans="1:21">
      <c r="Q498" s="132"/>
    </row>
    <row r="514" spans="12:12">
      <c r="L514" s="181"/>
    </row>
  </sheetData>
  <phoneticPr fontId="15" type="noConversion"/>
  <conditionalFormatting sqref="O1:O497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7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40 E479 E16:E234" xr:uid="{47986632-7426-4144-A9D0-F21E9A336CE3}">
      <formula1>"MANUTENÇÃO, FABRICANTE, CLIENTE FINAL"</formula1>
    </dataValidation>
    <dataValidation type="list" allowBlank="1" showInputMessage="1" showErrorMessage="1" sqref="O2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19" sqref="C19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190">
        <f>D4+C5</f>
        <v>7618349.7799999993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9961471.1799999997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10950172.779999999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190">
        <f>C8+D7</f>
        <v>14066427.399999999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2118072.5299999998</v>
      </c>
      <c r="D9" s="190">
        <f>C9+D8</f>
        <v>16184499.929999998</v>
      </c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757952.86</v>
      </c>
      <c r="D10" s="190">
        <f>C10+D9</f>
        <v>16942452.789999999</v>
      </c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16942452.789999999</v>
      </c>
      <c r="D15" s="197"/>
      <c r="E15" s="179"/>
    </row>
    <row r="16" spans="2:5">
      <c r="B16" s="194" t="s">
        <v>990</v>
      </c>
      <c r="C16" s="195">
        <f>AVERAGE(C3:C10)</f>
        <v>2117806.5987499999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34" zoomScale="85" zoomScaleNormal="85" workbookViewId="0">
      <selection activeCell="B56" sqref="B56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37711805.640000001</v>
      </c>
      <c r="D2" s="171">
        <f>SUM(D3:D64)</f>
        <v>6861090</v>
      </c>
      <c r="E2" s="171">
        <f>SUM(E3:E66)</f>
        <v>26766948.810000002</v>
      </c>
      <c r="F2" s="171">
        <f>SUM(F3:F66)</f>
        <v>16169019.280000001</v>
      </c>
      <c r="G2" s="171">
        <f>SUM(G3:G48)</f>
        <v>155303</v>
      </c>
      <c r="H2" s="171">
        <f>SUM(H3:H48)</f>
        <v>83163408.909999996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12560130</v>
      </c>
      <c r="D3" s="164">
        <f>SUMIFS('CONTROLE DE PROPOSTAS_2026'!L:L,
         'CONTROLE DE PROPOSTAS_2026'!D:D, $B3,
         'CONTROLE DE PROPOSTAS_2026'!O:O, "NEGOCIAÇÃO")</f>
        <v>3302414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15862544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14800150</v>
      </c>
      <c r="D7" s="164">
        <f>SUMIFS('CONTROLE DE PROPOSTAS_2026'!L:L,
         'CONTROLE DE PROPOSTAS_2026'!D:D, $B7,
         'CONTROLE DE PROPOSTAS_2026'!O:O, "NEGOCIAÇÃO")</f>
        <v>118490</v>
      </c>
      <c r="E7" s="164">
        <f>SUMIFS('CONTROLE DE PROPOSTAS_2026'!L:L,
         'CONTROLE DE PROPOSTAS_2026'!D:D, $B7,
         'CONTROLE DE PROPOSTAS_2026'!O:O, "PERDIDA")</f>
        <v>23860929.699999999</v>
      </c>
      <c r="F7" s="164">
        <f>SUMIFS('CONTROLE DE PROPOSTAS_2026'!L:L,
         'CONTROLE DE PROPOSTAS_2026'!D:D, $B7,
         'CONTROLE DE PROPOSTAS_2026'!O:O, "APROVADA")</f>
        <v>11317912.859999999</v>
      </c>
      <c r="G7" s="164">
        <f>SUMIFS('CONTROLE DE PROPOSTAS_2026'!L:L,
         'CONTROLE DE PROPOSTAS_2026'!D:D, $B7,
         'CONTROLE DE PROPOSTAS_2026'!O:O, "CANCELADA")</f>
        <v>130053</v>
      </c>
      <c r="H7" s="164">
        <f t="shared" si="0"/>
        <v>50227535.560000002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2908686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11243630.049999999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127850</v>
      </c>
      <c r="D18" s="164">
        <f>SUMIFS('CONTROLE DE PROPOSTAS_2026'!L:L,
         'CONTROLE DE PROPOSTAS_2026'!D:D, $B18,
         'CONTROLE DE PROPOSTAS_2026'!O:O, "NEGOCIAÇÃO")</f>
        <v>17400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1770.02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147020.01999999999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239960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1168658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319960.09999999998</v>
      </c>
      <c r="D41" s="164">
        <f>SUMIFS('CONTROLE DE PROPOSTAS_2026'!L:L,
         'CONTROLE DE PROPOSTAS_2026'!D:D, $B41,
         'CONTROLE DE PROPOSTAS_2026'!O:O, "NEGOCIAÇÃO")</f>
        <v>0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102110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1024094.88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2662261.2200000002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3374401.22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1742</v>
      </c>
      <c r="C55" s="164">
        <f>SUMIFS('CONTROLE DE PROPOSTAS_2026'!L:L,
         'CONTROLE DE PROPOSTAS_2026'!D:D, $B55,
         'CONTROLE DE PROPOSTAS_2026'!O:O, "EM ABERTO")</f>
        <v>14784</v>
      </c>
      <c r="D55" s="164">
        <f>SUMIFS('CONTROLE DE PROPOSTAS_2026'!L:L,
         'CONTROLE DE PROPOSTAS_2026'!D:D, $B55,
         'CONTROLE DE PROPOSTAS_2026'!O:O, "NEGOCIAÇÃO")</f>
        <v>25240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172800</v>
      </c>
      <c r="G55" s="164">
        <f>SUMIFS('CONTROLE DE PROPOSTAS_2026'!L:L,
         'CONTROLE DE PROPOSTAS_2026'!D:D, $B55,
         'CONTROLE DE PROPOSTAS_2026'!O:O, "CANCELADA")</f>
        <v>17600</v>
      </c>
      <c r="H55" s="164">
        <f t="shared" si="1"/>
        <v>230424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699420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5807498.7000000002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5948105.2800000003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20331764.899999999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2693244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306170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3376623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13096400.460000001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22048811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519840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3562463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3887607.6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2622475</v>
      </c>
      <c r="H6" s="175">
        <f t="shared" si="0"/>
        <v>32641196.600000001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43015118.300000004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5096653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1167200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4571645.62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5">
        <f t="shared" si="0"/>
        <v>53947116.920000002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10855246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1525797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4698900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2876025.3899999997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19955968.390000001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757952.86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757952.86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3642F137-5C2F-4029-999B-A97C28A972A9}">
  <ds:schemaRefs/>
</ds:datastoreItem>
</file>

<file path=customXml/itemProps2.xml><?xml version="1.0" encoding="utf-8"?>
<ds:datastoreItem xmlns:ds="http://schemas.openxmlformats.org/officeDocument/2006/customXml" ds:itemID="{59B9F3B0-B3D7-4F00-813D-4FFBDABA78DC}">
  <ds:schemaRefs/>
</ds:datastoreItem>
</file>

<file path=customXml/itemProps3.xml><?xml version="1.0" encoding="utf-8"?>
<ds:datastoreItem xmlns:ds="http://schemas.openxmlformats.org/officeDocument/2006/customXml" ds:itemID="{0FD8B868-ED02-4443-BADB-757412A1A9E9}">
  <ds:schemaRefs/>
</ds:datastoreItem>
</file>

<file path=customXml/itemProps4.xml><?xml version="1.0" encoding="utf-8"?>
<ds:datastoreItem xmlns:ds="http://schemas.openxmlformats.org/officeDocument/2006/customXml" ds:itemID="{D91DE483-627C-426D-AC0A-C3247A9302F7}">
  <ds:schemaRefs/>
</ds:datastoreItem>
</file>

<file path=customXml/itemProps5.xml><?xml version="1.0" encoding="utf-8"?>
<ds:datastoreItem xmlns:ds="http://schemas.openxmlformats.org/officeDocument/2006/customXml" ds:itemID="{8D7EEA88-AEF9-4B29-B588-4215162A22D0}">
  <ds:schemaRefs/>
</ds:datastoreItem>
</file>

<file path=customXml/itemProps6.xml><?xml version="1.0" encoding="utf-8"?>
<ds:datastoreItem xmlns:ds="http://schemas.openxmlformats.org/officeDocument/2006/customXml" ds:itemID="{4CB9B6AB-AEBA-4F52-A4D6-3D2FFA890641}">
  <ds:schemaRefs/>
</ds:datastoreItem>
</file>

<file path=customXml/itemProps7.xml><?xml version="1.0" encoding="utf-8"?>
<ds:datastoreItem xmlns:ds="http://schemas.openxmlformats.org/officeDocument/2006/customXml" ds:itemID="{E6596FDB-1CD1-4B70-9B18-0D6C890EE2DB}">
  <ds:schemaRefs/>
</ds:datastoreItem>
</file>

<file path=customXml/itemProps8.xml><?xml version="1.0" encoding="utf-8"?>
<ds:datastoreItem xmlns:ds="http://schemas.openxmlformats.org/officeDocument/2006/customXml" ds:itemID="{AADB22AD-C66C-4277-A95F-0602A38CADC0}">
  <ds:schemaRefs/>
</ds:datastoreItem>
</file>

<file path=customXml/itemProps9.xml><?xml version="1.0" encoding="utf-8"?>
<ds:datastoreItem xmlns:ds="http://schemas.openxmlformats.org/officeDocument/2006/customXml" ds:itemID="{FD8ED913-2A2D-4EDB-88C2-5FEFB5140ED6}">
  <ds:schemaRefs/>
</ds:datastoreItem>
</file>

<file path=customXml/itemProps10.xml><?xml version="1.0" encoding="utf-8"?>
<ds:datastoreItem xmlns:ds="http://schemas.openxmlformats.org/officeDocument/2006/customXml" ds:itemID="{0DABB6AA-7CA0-4236-950B-26780B674ADB}">
  <ds:schemaRefs/>
</ds:datastoreItem>
</file>

<file path=customXml/itemProps11.xml><?xml version="1.0" encoding="utf-8"?>
<ds:datastoreItem xmlns:ds="http://schemas.openxmlformats.org/officeDocument/2006/customXml" ds:itemID="{02E51E17-62BE-4FEB-8C10-EAA2DBA36FD7}">
  <ds:schemaRefs/>
</ds:datastoreItem>
</file>

<file path=customXml/itemProps12.xml><?xml version="1.0" encoding="utf-8"?>
<ds:datastoreItem xmlns:ds="http://schemas.openxmlformats.org/officeDocument/2006/customXml" ds:itemID="{D1B90390-2F67-44D3-B08C-20576C1B3CFF}">
  <ds:schemaRefs/>
</ds:datastoreItem>
</file>

<file path=customXml/itemProps13.xml><?xml version="1.0" encoding="utf-8"?>
<ds:datastoreItem xmlns:ds="http://schemas.openxmlformats.org/officeDocument/2006/customXml" ds:itemID="{8FE1CF45-085D-459B-A7B3-D12FEDB00648}">
  <ds:schemaRefs/>
</ds:datastoreItem>
</file>

<file path=customXml/itemProps14.xml><?xml version="1.0" encoding="utf-8"?>
<ds:datastoreItem xmlns:ds="http://schemas.openxmlformats.org/officeDocument/2006/customXml" ds:itemID="{58850E1A-AA42-42ED-A474-5E11E37B95C5}">
  <ds:schemaRefs/>
</ds:datastoreItem>
</file>

<file path=customXml/itemProps15.xml><?xml version="1.0" encoding="utf-8"?>
<ds:datastoreItem xmlns:ds="http://schemas.openxmlformats.org/officeDocument/2006/customXml" ds:itemID="{3A9BC4CC-CC6D-4628-8EFC-1662F74954AF}">
  <ds:schemaRefs/>
</ds:datastoreItem>
</file>

<file path=customXml/itemProps16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982C09EE-ED66-40C7-8AC6-390086D6DC9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2026-07-16T13:43:39Z</cp:lastPrinted>
  <dcterms:created xsi:type="dcterms:W3CDTF">2015-06-05T18:19:34Z</dcterms:created>
  <dcterms:modified xsi:type="dcterms:W3CDTF">2026-08-03T16:54:46Z</dcterms:modified>
  <cp:category/>
  <cp:contentStatus/>
</cp:coreProperties>
</file>